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3EE1B6-82D7-4BE1-8B86-86324E70C636}" xr6:coauthVersionLast="47" xr6:coauthVersionMax="47" xr10:uidLastSave="{00000000-0000-0000-0000-000000000000}"/>
  <bookViews>
    <workbookView xWindow="-120" yWindow="-120" windowWidth="38640" windowHeight="1572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0">Inputs!$F$1:$K$13</definedName>
  </definedNames>
  <calcPr calcId="0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B3" i="3"/>
  <c r="C3" i="3"/>
  <c r="D3" i="3"/>
  <c r="E3" i="3"/>
  <c r="F3" i="3"/>
  <c r="G3" i="3"/>
  <c r="H3" i="3"/>
  <c r="I3" i="3"/>
  <c r="J3" i="3"/>
  <c r="K3" i="3"/>
  <c r="B4" i="3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J34" i="2"/>
  <c r="Q34" i="2"/>
  <c r="T34" i="2"/>
  <c r="B35" i="2"/>
  <c r="C35" i="2"/>
  <c r="D35" i="2"/>
  <c r="E35" i="2"/>
  <c r="F35" i="2"/>
  <c r="G35" i="2"/>
  <c r="H35" i="2"/>
  <c r="I35" i="2"/>
  <c r="J35" i="2"/>
  <c r="Q35" i="2"/>
  <c r="T35" i="2"/>
  <c r="B36" i="2"/>
  <c r="C36" i="2"/>
  <c r="D36" i="2"/>
  <c r="E36" i="2"/>
  <c r="F36" i="2"/>
  <c r="G36" i="2"/>
  <c r="H36" i="2"/>
  <c r="I36" i="2"/>
  <c r="J36" i="2"/>
  <c r="Q36" i="2"/>
  <c r="T36" i="2"/>
  <c r="B37" i="2"/>
  <c r="C37" i="2"/>
  <c r="D37" i="2"/>
  <c r="E37" i="2"/>
  <c r="F37" i="2"/>
  <c r="G37" i="2"/>
  <c r="H37" i="2"/>
  <c r="I37" i="2"/>
  <c r="J37" i="2"/>
  <c r="Q37" i="2"/>
  <c r="T37" i="2"/>
  <c r="B38" i="2"/>
  <c r="C38" i="2"/>
  <c r="D38" i="2"/>
  <c r="E38" i="2"/>
  <c r="F38" i="2"/>
  <c r="G38" i="2"/>
  <c r="H38" i="2"/>
  <c r="I38" i="2"/>
  <c r="J38" i="2"/>
  <c r="Q38" i="2"/>
  <c r="T38" i="2"/>
  <c r="B39" i="2"/>
  <c r="C39" i="2"/>
  <c r="D39" i="2"/>
  <c r="E39" i="2"/>
  <c r="F39" i="2"/>
  <c r="G39" i="2"/>
  <c r="H39" i="2"/>
  <c r="I39" i="2"/>
  <c r="J39" i="2"/>
  <c r="Q39" i="2"/>
  <c r="T39" i="2"/>
  <c r="B40" i="2"/>
  <c r="C40" i="2"/>
  <c r="D40" i="2"/>
  <c r="E40" i="2"/>
  <c r="F40" i="2"/>
  <c r="G40" i="2"/>
  <c r="H40" i="2"/>
  <c r="I40" i="2"/>
  <c r="J40" i="2"/>
  <c r="Q40" i="2"/>
  <c r="T40" i="2"/>
  <c r="B41" i="2"/>
  <c r="C41" i="2"/>
  <c r="D41" i="2"/>
  <c r="E41" i="2"/>
  <c r="F41" i="2"/>
  <c r="G41" i="2"/>
  <c r="H41" i="2"/>
  <c r="I41" i="2"/>
  <c r="J41" i="2"/>
  <c r="Q41" i="2"/>
  <c r="T41" i="2"/>
  <c r="B42" i="2"/>
  <c r="C42" i="2"/>
  <c r="D42" i="2"/>
  <c r="E42" i="2"/>
  <c r="F42" i="2"/>
  <c r="G42" i="2"/>
  <c r="H42" i="2"/>
  <c r="I42" i="2"/>
  <c r="J42" i="2"/>
  <c r="Q42" i="2"/>
  <c r="T42" i="2"/>
  <c r="B43" i="2"/>
  <c r="C43" i="2"/>
  <c r="D43" i="2"/>
  <c r="E43" i="2"/>
  <c r="F43" i="2"/>
  <c r="G43" i="2"/>
  <c r="H43" i="2"/>
  <c r="I43" i="2"/>
  <c r="J43" i="2"/>
  <c r="Q43" i="2"/>
  <c r="T43" i="2"/>
  <c r="B44" i="2"/>
  <c r="C44" i="2"/>
  <c r="D44" i="2"/>
  <c r="E44" i="2"/>
  <c r="F44" i="2"/>
  <c r="G44" i="2"/>
  <c r="H44" i="2"/>
  <c r="I44" i="2"/>
  <c r="J44" i="2"/>
  <c r="Q44" i="2"/>
  <c r="T44" i="2"/>
  <c r="B45" i="2"/>
  <c r="C45" i="2"/>
  <c r="D45" i="2"/>
  <c r="E45" i="2"/>
  <c r="F45" i="2"/>
  <c r="G45" i="2"/>
  <c r="H45" i="2"/>
  <c r="I45" i="2"/>
  <c r="J45" i="2"/>
  <c r="Q45" i="2"/>
  <c r="T45" i="2"/>
  <c r="B46" i="2"/>
  <c r="C46" i="2"/>
  <c r="D46" i="2"/>
  <c r="E46" i="2"/>
  <c r="F46" i="2"/>
  <c r="G46" i="2"/>
  <c r="H46" i="2"/>
  <c r="I46" i="2"/>
  <c r="J46" i="2"/>
  <c r="Q46" i="2"/>
  <c r="T46" i="2"/>
  <c r="B47" i="2"/>
  <c r="C47" i="2"/>
  <c r="D47" i="2"/>
  <c r="E47" i="2"/>
  <c r="F47" i="2"/>
  <c r="G47" i="2"/>
  <c r="H47" i="2"/>
  <c r="I47" i="2"/>
  <c r="J47" i="2"/>
  <c r="Q47" i="2"/>
  <c r="T47" i="2"/>
  <c r="B48" i="2"/>
  <c r="C48" i="2"/>
  <c r="D48" i="2"/>
  <c r="E48" i="2"/>
  <c r="F48" i="2"/>
  <c r="G48" i="2"/>
  <c r="H48" i="2"/>
  <c r="I48" i="2"/>
  <c r="J48" i="2"/>
  <c r="Q48" i="2"/>
  <c r="T48" i="2"/>
  <c r="B49" i="2"/>
  <c r="C49" i="2"/>
  <c r="D49" i="2"/>
  <c r="E49" i="2"/>
  <c r="F49" i="2"/>
  <c r="G49" i="2"/>
  <c r="H49" i="2"/>
  <c r="I49" i="2"/>
  <c r="J49" i="2"/>
  <c r="Q49" i="2"/>
  <c r="T49" i="2"/>
  <c r="B50" i="2"/>
  <c r="C50" i="2"/>
  <c r="D50" i="2"/>
  <c r="E50" i="2"/>
  <c r="F50" i="2"/>
  <c r="G50" i="2"/>
  <c r="H50" i="2"/>
  <c r="I50" i="2"/>
  <c r="J50" i="2"/>
  <c r="Q50" i="2"/>
  <c r="T50" i="2"/>
  <c r="B51" i="2"/>
  <c r="C51" i="2"/>
  <c r="D51" i="2"/>
  <c r="E51" i="2"/>
  <c r="F51" i="2"/>
  <c r="G51" i="2"/>
  <c r="H51" i="2"/>
  <c r="I51" i="2"/>
  <c r="J51" i="2"/>
  <c r="Q51" i="2"/>
  <c r="T51" i="2"/>
  <c r="B52" i="2"/>
  <c r="C52" i="2"/>
  <c r="D52" i="2"/>
  <c r="E52" i="2"/>
  <c r="F52" i="2"/>
  <c r="G52" i="2"/>
  <c r="H52" i="2"/>
  <c r="I52" i="2"/>
  <c r="J52" i="2"/>
  <c r="Q52" i="2"/>
  <c r="T52" i="2"/>
  <c r="B53" i="2"/>
  <c r="C53" i="2"/>
  <c r="D53" i="2"/>
  <c r="E53" i="2"/>
  <c r="F53" i="2"/>
  <c r="G53" i="2"/>
  <c r="H53" i="2"/>
  <c r="I53" i="2"/>
  <c r="J53" i="2"/>
  <c r="Q53" i="2"/>
  <c r="T53" i="2"/>
  <c r="B54" i="2"/>
  <c r="C54" i="2"/>
  <c r="D54" i="2"/>
  <c r="E54" i="2"/>
  <c r="F54" i="2"/>
  <c r="G54" i="2"/>
  <c r="H54" i="2"/>
  <c r="I54" i="2"/>
  <c r="J54" i="2"/>
  <c r="Q54" i="2"/>
  <c r="T54" i="2"/>
  <c r="B55" i="2"/>
  <c r="C55" i="2"/>
  <c r="D55" i="2"/>
  <c r="E55" i="2"/>
  <c r="F55" i="2"/>
  <c r="G55" i="2"/>
  <c r="H55" i="2"/>
  <c r="I55" i="2"/>
  <c r="J55" i="2"/>
  <c r="Q55" i="2"/>
  <c r="T55" i="2"/>
  <c r="B56" i="2"/>
  <c r="C56" i="2"/>
  <c r="D56" i="2"/>
  <c r="E56" i="2"/>
  <c r="F56" i="2"/>
  <c r="G56" i="2"/>
  <c r="H56" i="2"/>
  <c r="I56" i="2"/>
  <c r="J56" i="2"/>
  <c r="Q56" i="2"/>
  <c r="T56" i="2"/>
  <c r="B57" i="2"/>
  <c r="C57" i="2"/>
  <c r="D57" i="2"/>
  <c r="E57" i="2"/>
  <c r="F57" i="2"/>
  <c r="G57" i="2"/>
  <c r="H57" i="2"/>
  <c r="I57" i="2"/>
  <c r="J57" i="2"/>
  <c r="Q57" i="2"/>
  <c r="T57" i="2"/>
  <c r="B58" i="2"/>
  <c r="C58" i="2"/>
  <c r="D58" i="2"/>
  <c r="E58" i="2"/>
  <c r="F58" i="2"/>
  <c r="G58" i="2"/>
  <c r="H58" i="2"/>
  <c r="I58" i="2"/>
  <c r="J58" i="2"/>
  <c r="Q58" i="2"/>
  <c r="T58" i="2"/>
  <c r="B59" i="2"/>
  <c r="C59" i="2"/>
  <c r="D59" i="2"/>
  <c r="E59" i="2"/>
  <c r="F59" i="2"/>
  <c r="G59" i="2"/>
  <c r="H59" i="2"/>
  <c r="I59" i="2"/>
  <c r="J59" i="2"/>
  <c r="Q59" i="2"/>
  <c r="T59" i="2"/>
  <c r="B60" i="2"/>
  <c r="C60" i="2"/>
  <c r="D60" i="2"/>
  <c r="E60" i="2"/>
  <c r="F60" i="2"/>
  <c r="G60" i="2"/>
  <c r="H60" i="2"/>
  <c r="I60" i="2"/>
  <c r="J60" i="2"/>
  <c r="Q60" i="2"/>
  <c r="T60" i="2"/>
  <c r="B61" i="2"/>
  <c r="C61" i="2"/>
  <c r="D61" i="2"/>
  <c r="E61" i="2"/>
  <c r="F61" i="2"/>
  <c r="G61" i="2"/>
  <c r="H61" i="2"/>
  <c r="I61" i="2"/>
  <c r="J61" i="2"/>
  <c r="Q61" i="2"/>
  <c r="T61" i="2"/>
  <c r="B62" i="2"/>
  <c r="C62" i="2"/>
  <c r="D62" i="2"/>
  <c r="E62" i="2"/>
  <c r="F62" i="2"/>
  <c r="G62" i="2"/>
  <c r="H62" i="2"/>
  <c r="I62" i="2"/>
  <c r="J62" i="2"/>
  <c r="Q62" i="2"/>
  <c r="T62" i="2"/>
  <c r="B63" i="2"/>
  <c r="C63" i="2"/>
  <c r="D63" i="2"/>
  <c r="E63" i="2"/>
  <c r="F63" i="2"/>
  <c r="G63" i="2"/>
  <c r="H63" i="2"/>
  <c r="I63" i="2"/>
  <c r="J63" i="2"/>
  <c r="Q63" i="2"/>
  <c r="T63" i="2"/>
  <c r="B64" i="2"/>
  <c r="C64" i="2"/>
  <c r="D64" i="2"/>
  <c r="E64" i="2"/>
  <c r="F64" i="2"/>
  <c r="G64" i="2"/>
  <c r="H64" i="2"/>
  <c r="I64" i="2"/>
  <c r="J64" i="2"/>
  <c r="Q64" i="2"/>
  <c r="T64" i="2"/>
  <c r="B65" i="2"/>
  <c r="C65" i="2"/>
  <c r="D65" i="2"/>
  <c r="E65" i="2"/>
  <c r="F65" i="2"/>
  <c r="G65" i="2"/>
  <c r="H65" i="2"/>
  <c r="I65" i="2"/>
  <c r="J65" i="2"/>
  <c r="Q65" i="2"/>
  <c r="T65" i="2"/>
  <c r="B66" i="2"/>
  <c r="C66" i="2"/>
  <c r="D66" i="2"/>
  <c r="E66" i="2"/>
  <c r="F66" i="2"/>
  <c r="G66" i="2"/>
  <c r="H66" i="2"/>
  <c r="I66" i="2"/>
  <c r="J66" i="2"/>
  <c r="Q66" i="2"/>
  <c r="T66" i="2"/>
  <c r="B67" i="2"/>
  <c r="C67" i="2"/>
  <c r="D67" i="2"/>
  <c r="E67" i="2"/>
  <c r="F67" i="2"/>
  <c r="G67" i="2"/>
  <c r="H67" i="2"/>
  <c r="I67" i="2"/>
  <c r="J67" i="2"/>
  <c r="Q67" i="2"/>
  <c r="T67" i="2"/>
  <c r="B68" i="2"/>
  <c r="C68" i="2"/>
  <c r="D68" i="2"/>
  <c r="E68" i="2"/>
  <c r="F68" i="2"/>
  <c r="G68" i="2"/>
  <c r="H68" i="2"/>
  <c r="I68" i="2"/>
  <c r="J68" i="2"/>
  <c r="Q68" i="2"/>
  <c r="T68" i="2"/>
  <c r="B69" i="2"/>
  <c r="C69" i="2"/>
  <c r="D69" i="2"/>
  <c r="E69" i="2"/>
  <c r="F69" i="2"/>
  <c r="G69" i="2"/>
  <c r="H69" i="2"/>
  <c r="I69" i="2"/>
  <c r="J69" i="2"/>
  <c r="Q69" i="2"/>
  <c r="T69" i="2"/>
  <c r="B70" i="2"/>
  <c r="C70" i="2"/>
  <c r="D70" i="2"/>
  <c r="E70" i="2"/>
  <c r="F70" i="2"/>
  <c r="G70" i="2"/>
  <c r="H70" i="2"/>
  <c r="I70" i="2"/>
  <c r="J70" i="2"/>
  <c r="Q70" i="2"/>
  <c r="T70" i="2"/>
  <c r="B71" i="2"/>
  <c r="C71" i="2"/>
  <c r="D71" i="2"/>
  <c r="E71" i="2"/>
  <c r="F71" i="2"/>
  <c r="G71" i="2"/>
  <c r="H71" i="2"/>
  <c r="I71" i="2"/>
  <c r="J71" i="2"/>
  <c r="Q71" i="2"/>
  <c r="T71" i="2"/>
  <c r="B72" i="2"/>
  <c r="C72" i="2"/>
  <c r="D72" i="2"/>
  <c r="E72" i="2"/>
  <c r="F72" i="2"/>
  <c r="G72" i="2"/>
  <c r="H72" i="2"/>
  <c r="I72" i="2"/>
  <c r="J72" i="2"/>
  <c r="Q72" i="2"/>
  <c r="T72" i="2"/>
  <c r="B73" i="2"/>
  <c r="C73" i="2"/>
  <c r="D73" i="2"/>
  <c r="E73" i="2"/>
  <c r="F73" i="2"/>
  <c r="G73" i="2"/>
  <c r="H73" i="2"/>
  <c r="I73" i="2"/>
  <c r="J73" i="2"/>
  <c r="Q73" i="2"/>
  <c r="T73" i="2"/>
  <c r="B74" i="2"/>
  <c r="C74" i="2"/>
  <c r="D74" i="2"/>
  <c r="E74" i="2"/>
  <c r="F74" i="2"/>
  <c r="G74" i="2"/>
  <c r="H74" i="2"/>
  <c r="I74" i="2"/>
  <c r="J74" i="2"/>
  <c r="Q74" i="2"/>
  <c r="T74" i="2"/>
  <c r="B75" i="2"/>
  <c r="C75" i="2"/>
  <c r="D75" i="2"/>
  <c r="E75" i="2"/>
  <c r="F75" i="2"/>
  <c r="G75" i="2"/>
  <c r="H75" i="2"/>
  <c r="I75" i="2"/>
  <c r="J75" i="2"/>
  <c r="Q75" i="2"/>
  <c r="T75" i="2"/>
  <c r="B76" i="2"/>
  <c r="C76" i="2"/>
  <c r="D76" i="2"/>
  <c r="E76" i="2"/>
  <c r="F76" i="2"/>
  <c r="G76" i="2"/>
  <c r="H76" i="2"/>
  <c r="I76" i="2"/>
  <c r="J76" i="2"/>
  <c r="Q76" i="2"/>
  <c r="T76" i="2"/>
  <c r="B77" i="2"/>
  <c r="C77" i="2"/>
  <c r="D77" i="2"/>
  <c r="E77" i="2"/>
  <c r="F77" i="2"/>
  <c r="G77" i="2"/>
  <c r="H77" i="2"/>
  <c r="I77" i="2"/>
  <c r="J77" i="2"/>
  <c r="Q77" i="2"/>
  <c r="T77" i="2"/>
  <c r="B78" i="2"/>
  <c r="C78" i="2"/>
  <c r="D78" i="2"/>
  <c r="E78" i="2"/>
  <c r="F78" i="2"/>
  <c r="G78" i="2"/>
  <c r="H78" i="2"/>
  <c r="I78" i="2"/>
  <c r="J78" i="2"/>
  <c r="Q78" i="2"/>
  <c r="T78" i="2"/>
  <c r="B79" i="2"/>
  <c r="C79" i="2"/>
  <c r="D79" i="2"/>
  <c r="E79" i="2"/>
  <c r="F79" i="2"/>
  <c r="G79" i="2"/>
  <c r="H79" i="2"/>
  <c r="I79" i="2"/>
  <c r="J79" i="2"/>
  <c r="Q79" i="2"/>
  <c r="T79" i="2"/>
  <c r="B80" i="2"/>
  <c r="C80" i="2"/>
  <c r="D80" i="2"/>
  <c r="E80" i="2"/>
  <c r="F80" i="2"/>
  <c r="G80" i="2"/>
  <c r="H80" i="2"/>
  <c r="I80" i="2"/>
  <c r="J80" i="2"/>
  <c r="Q80" i="2"/>
  <c r="T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<sst xmlns="http://schemas.openxmlformats.org/spreadsheetml/2006/main" count="120" uniqueCount="50">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</sst>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58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8" fillId="0" borderId="0" xfId="0" applyNumberFormat="1" applyFont="1"/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823791122380728E-2"/>
          <c:w val="0.85836131116435943"/>
          <c:h val="0.7450662826074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B-4C73-B6B4-570330522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57248607"/>
        <c:axId val="1"/>
      </c:barChart>
      <c:catAx>
        <c:axId val="155724860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7248607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9FCA174-0FA8-B7D7-6592-31C6B4AFEA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276225</xdr:colOff>
      <xdr:row>1</xdr:row>
      <xdr:rowOff>133350</xdr:rowOff>
    </xdr:from>
    <xdr:to>
      <xdr:col>21</xdr:col>
      <xdr:colOff>171450</xdr:colOff>
      <xdr:row>18</xdr:row>
      <xdr:rowOff>9525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C473C147-F8DC-894F-7B8B-562C471A9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FileCollect/Metals/MetalsCurveData/Positions/MGPositions19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ENLS1 19-07-2000"/>
      <sheetName val="Copper Option Position"/>
    </sheetNames>
    <sheetDataSet>
      <sheetData sheetId="0">
        <row r="7">
          <cell r="R7">
            <v>36708</v>
          </cell>
          <cell r="S7">
            <v>394524</v>
          </cell>
          <cell r="U7">
            <v>36708</v>
          </cell>
          <cell r="V7">
            <v>513709</v>
          </cell>
          <cell r="X7">
            <v>36708</v>
          </cell>
          <cell r="Y7">
            <v>104398</v>
          </cell>
          <cell r="AA7">
            <v>36708</v>
          </cell>
          <cell r="AB7">
            <v>8786</v>
          </cell>
          <cell r="AD7">
            <v>36708</v>
          </cell>
          <cell r="AE7">
            <v>26010</v>
          </cell>
          <cell r="AG7">
            <v>36708</v>
          </cell>
          <cell r="AH7">
            <v>2490</v>
          </cell>
          <cell r="AJ7">
            <v>36708</v>
          </cell>
          <cell r="AK7">
            <v>98690</v>
          </cell>
          <cell r="AM7">
            <v>36708</v>
          </cell>
          <cell r="AN7">
            <v>-103428</v>
          </cell>
          <cell r="AP7">
            <v>36708</v>
          </cell>
          <cell r="AQ7">
            <v>72350</v>
          </cell>
        </row>
        <row r="8">
          <cell r="R8">
            <v>36739</v>
          </cell>
          <cell r="S8">
            <v>-377702</v>
          </cell>
          <cell r="U8">
            <v>36739</v>
          </cell>
          <cell r="V8">
            <v>-107879</v>
          </cell>
          <cell r="X8">
            <v>36739</v>
          </cell>
          <cell r="Y8">
            <v>2731</v>
          </cell>
          <cell r="AA8">
            <v>36739</v>
          </cell>
          <cell r="AB8">
            <v>-3442</v>
          </cell>
          <cell r="AD8">
            <v>36739</v>
          </cell>
          <cell r="AE8">
            <v>864468</v>
          </cell>
          <cell r="AG8">
            <v>36739</v>
          </cell>
          <cell r="AH8">
            <v>-730</v>
          </cell>
          <cell r="AJ8">
            <v>36739</v>
          </cell>
          <cell r="AK8">
            <v>-9831</v>
          </cell>
          <cell r="AM8">
            <v>36739</v>
          </cell>
          <cell r="AN8">
            <v>27649</v>
          </cell>
          <cell r="AP8">
            <v>36770</v>
          </cell>
          <cell r="AQ8">
            <v>-3780</v>
          </cell>
        </row>
        <row r="9">
          <cell r="R9">
            <v>36770</v>
          </cell>
          <cell r="S9">
            <v>43577</v>
          </cell>
          <cell r="U9">
            <v>36770</v>
          </cell>
          <cell r="V9">
            <v>-155039</v>
          </cell>
          <cell r="X9">
            <v>36770</v>
          </cell>
          <cell r="Y9">
            <v>-15978</v>
          </cell>
          <cell r="AA9">
            <v>36770</v>
          </cell>
          <cell r="AB9">
            <v>4561</v>
          </cell>
          <cell r="AD9">
            <v>36770</v>
          </cell>
          <cell r="AE9">
            <v>-1237031</v>
          </cell>
          <cell r="AG9">
            <v>36770</v>
          </cell>
          <cell r="AH9">
            <v>712</v>
          </cell>
          <cell r="AJ9">
            <v>36770</v>
          </cell>
          <cell r="AK9">
            <v>-52636</v>
          </cell>
          <cell r="AM9">
            <v>36770</v>
          </cell>
          <cell r="AN9">
            <v>13632</v>
          </cell>
          <cell r="AP9">
            <v>36861</v>
          </cell>
          <cell r="AQ9">
            <v>-22250</v>
          </cell>
        </row>
        <row r="10">
          <cell r="R10">
            <v>36800</v>
          </cell>
          <cell r="S10">
            <v>41692</v>
          </cell>
          <cell r="U10">
            <v>36800</v>
          </cell>
          <cell r="V10">
            <v>-41753</v>
          </cell>
          <cell r="X10">
            <v>36800</v>
          </cell>
          <cell r="Y10">
            <v>11846</v>
          </cell>
          <cell r="AA10">
            <v>36800</v>
          </cell>
          <cell r="AB10">
            <v>873</v>
          </cell>
          <cell r="AD10">
            <v>36800</v>
          </cell>
          <cell r="AE10">
            <v>328741</v>
          </cell>
          <cell r="AG10">
            <v>36800</v>
          </cell>
          <cell r="AH10">
            <v>-504</v>
          </cell>
          <cell r="AJ10">
            <v>36800</v>
          </cell>
          <cell r="AK10">
            <v>20534</v>
          </cell>
          <cell r="AM10">
            <v>36800</v>
          </cell>
          <cell r="AN10">
            <v>-54110</v>
          </cell>
          <cell r="AP10">
            <v>36951</v>
          </cell>
          <cell r="AQ10">
            <v>-43310</v>
          </cell>
        </row>
        <row r="11">
          <cell r="R11">
            <v>36831</v>
          </cell>
          <cell r="S11">
            <v>-33824</v>
          </cell>
          <cell r="U11">
            <v>36831</v>
          </cell>
          <cell r="V11">
            <v>954</v>
          </cell>
          <cell r="X11">
            <v>36831</v>
          </cell>
          <cell r="Y11">
            <v>2784</v>
          </cell>
          <cell r="AA11">
            <v>36831</v>
          </cell>
          <cell r="AB11">
            <v>-877</v>
          </cell>
          <cell r="AD11">
            <v>36831</v>
          </cell>
          <cell r="AE11">
            <v>553218</v>
          </cell>
          <cell r="AG11">
            <v>36831</v>
          </cell>
          <cell r="AH11">
            <v>-140</v>
          </cell>
          <cell r="AJ11">
            <v>36831</v>
          </cell>
          <cell r="AK11">
            <v>-10655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</row>
        <row r="12">
          <cell r="R12">
            <v>36861</v>
          </cell>
          <cell r="S12">
            <v>-64770</v>
          </cell>
          <cell r="U12">
            <v>36861</v>
          </cell>
          <cell r="V12">
            <v>47952</v>
          </cell>
          <cell r="X12">
            <v>36861</v>
          </cell>
          <cell r="Y12">
            <v>-4830</v>
          </cell>
          <cell r="AA12">
            <v>36861</v>
          </cell>
          <cell r="AB12">
            <v>2299</v>
          </cell>
          <cell r="AD12">
            <v>36861</v>
          </cell>
          <cell r="AE12">
            <v>-749080</v>
          </cell>
          <cell r="AG12">
            <v>36861</v>
          </cell>
          <cell r="AH12">
            <v>-296</v>
          </cell>
          <cell r="AJ12">
            <v>36861</v>
          </cell>
          <cell r="AK12">
            <v>-6380</v>
          </cell>
          <cell r="AM12">
            <v>36861</v>
          </cell>
          <cell r="AN12">
            <v>16944</v>
          </cell>
          <cell r="AP12">
            <v>37377</v>
          </cell>
          <cell r="AQ12">
            <v>-20000</v>
          </cell>
        </row>
        <row r="13">
          <cell r="R13">
            <v>36892</v>
          </cell>
          <cell r="S13">
            <v>11460</v>
          </cell>
          <cell r="U13">
            <v>36892</v>
          </cell>
          <cell r="V13">
            <v>8847</v>
          </cell>
          <cell r="X13">
            <v>36892</v>
          </cell>
          <cell r="Y13">
            <v>-17733</v>
          </cell>
          <cell r="AA13">
            <v>36892</v>
          </cell>
          <cell r="AB13">
            <v>703</v>
          </cell>
          <cell r="AD13">
            <v>36892</v>
          </cell>
          <cell r="AE13">
            <v>214927</v>
          </cell>
          <cell r="AG13">
            <v>36892</v>
          </cell>
          <cell r="AH13">
            <v>-26</v>
          </cell>
          <cell r="AJ13">
            <v>36892</v>
          </cell>
          <cell r="AK13">
            <v>-5178</v>
          </cell>
          <cell r="AM13">
            <v>36892</v>
          </cell>
          <cell r="AN13">
            <v>35076</v>
          </cell>
        </row>
        <row r="14">
          <cell r="R14">
            <v>36923</v>
          </cell>
          <cell r="S14">
            <v>-7328</v>
          </cell>
          <cell r="U14">
            <v>36923</v>
          </cell>
          <cell r="V14">
            <v>-130</v>
          </cell>
          <cell r="X14">
            <v>36923</v>
          </cell>
          <cell r="Y14">
            <v>-5497</v>
          </cell>
          <cell r="AA14">
            <v>36923</v>
          </cell>
          <cell r="AB14">
            <v>264</v>
          </cell>
          <cell r="AD14">
            <v>36923</v>
          </cell>
          <cell r="AE14">
            <v>-21380</v>
          </cell>
          <cell r="AG14">
            <v>36923</v>
          </cell>
          <cell r="AH14">
            <v>-25</v>
          </cell>
          <cell r="AJ14">
            <v>36923</v>
          </cell>
          <cell r="AK14">
            <v>-2077</v>
          </cell>
          <cell r="AM14">
            <v>36923</v>
          </cell>
          <cell r="AN14">
            <v>14821</v>
          </cell>
        </row>
        <row r="15">
          <cell r="R15">
            <v>36951</v>
          </cell>
          <cell r="S15">
            <v>-9111</v>
          </cell>
          <cell r="U15">
            <v>36951</v>
          </cell>
          <cell r="V15">
            <v>-59604</v>
          </cell>
          <cell r="X15">
            <v>36951</v>
          </cell>
          <cell r="Y15">
            <v>-9147</v>
          </cell>
          <cell r="AA15">
            <v>36951</v>
          </cell>
          <cell r="AB15">
            <v>553</v>
          </cell>
          <cell r="AD15">
            <v>36951</v>
          </cell>
          <cell r="AE15">
            <v>137252</v>
          </cell>
          <cell r="AG15">
            <v>36951</v>
          </cell>
          <cell r="AH15">
            <v>-94</v>
          </cell>
          <cell r="AJ15">
            <v>36951</v>
          </cell>
          <cell r="AK15">
            <v>-1419</v>
          </cell>
          <cell r="AM15">
            <v>36951</v>
          </cell>
          <cell r="AN15">
            <v>11928</v>
          </cell>
        </row>
        <row r="16">
          <cell r="R16">
            <v>36982</v>
          </cell>
          <cell r="S16">
            <v>-8812</v>
          </cell>
          <cell r="U16">
            <v>36982</v>
          </cell>
          <cell r="V16">
            <v>-31288</v>
          </cell>
          <cell r="X16">
            <v>36982</v>
          </cell>
          <cell r="Y16">
            <v>-907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-4</v>
          </cell>
          <cell r="AJ16">
            <v>36982</v>
          </cell>
          <cell r="AK16">
            <v>-2270</v>
          </cell>
          <cell r="AM16">
            <v>36982</v>
          </cell>
          <cell r="AN16">
            <v>26878</v>
          </cell>
        </row>
        <row r="17">
          <cell r="R17">
            <v>37012</v>
          </cell>
          <cell r="S17">
            <v>-1747</v>
          </cell>
          <cell r="U17">
            <v>37012</v>
          </cell>
          <cell r="V17">
            <v>1937</v>
          </cell>
          <cell r="X17">
            <v>37012</v>
          </cell>
          <cell r="Y17">
            <v>-6855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-4653</v>
          </cell>
          <cell r="AM17">
            <v>37012</v>
          </cell>
          <cell r="AN17">
            <v>-23470</v>
          </cell>
        </row>
        <row r="18">
          <cell r="R18">
            <v>37043</v>
          </cell>
          <cell r="S18">
            <v>-3091</v>
          </cell>
          <cell r="U18">
            <v>37043</v>
          </cell>
          <cell r="V18">
            <v>-550</v>
          </cell>
          <cell r="X18">
            <v>37043</v>
          </cell>
          <cell r="Y18">
            <v>-9674</v>
          </cell>
          <cell r="AA18">
            <v>37043</v>
          </cell>
          <cell r="AB18">
            <v>2237</v>
          </cell>
          <cell r="AD18">
            <v>37043</v>
          </cell>
          <cell r="AE18">
            <v>-3794</v>
          </cell>
          <cell r="AG18">
            <v>37043</v>
          </cell>
          <cell r="AH18">
            <v>-152</v>
          </cell>
          <cell r="AJ18">
            <v>37043</v>
          </cell>
          <cell r="AK18">
            <v>1300</v>
          </cell>
          <cell r="AM18">
            <v>37043</v>
          </cell>
          <cell r="AN18">
            <v>24724</v>
          </cell>
        </row>
        <row r="19">
          <cell r="R19">
            <v>37073</v>
          </cell>
          <cell r="S19">
            <v>-6252</v>
          </cell>
          <cell r="U19">
            <v>37073</v>
          </cell>
          <cell r="V19">
            <v>718</v>
          </cell>
          <cell r="X19">
            <v>37073</v>
          </cell>
          <cell r="Y19">
            <v>-25900</v>
          </cell>
          <cell r="AA19">
            <v>37073</v>
          </cell>
          <cell r="AB19">
            <v>-1067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-3389</v>
          </cell>
          <cell r="AM19">
            <v>37073</v>
          </cell>
          <cell r="AN19">
            <v>611</v>
          </cell>
        </row>
        <row r="20">
          <cell r="R20">
            <v>37104</v>
          </cell>
          <cell r="S20">
            <v>987</v>
          </cell>
          <cell r="U20">
            <v>37104</v>
          </cell>
          <cell r="V20">
            <v>-1744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-6767</v>
          </cell>
          <cell r="AM20">
            <v>37104</v>
          </cell>
          <cell r="AN20">
            <v>-6720</v>
          </cell>
        </row>
        <row r="21">
          <cell r="R21">
            <v>37135</v>
          </cell>
          <cell r="S21">
            <v>-1332</v>
          </cell>
          <cell r="U21">
            <v>37135</v>
          </cell>
          <cell r="V21">
            <v>-6389</v>
          </cell>
          <cell r="X21">
            <v>37135</v>
          </cell>
          <cell r="Y21">
            <v>-1325</v>
          </cell>
          <cell r="AA21">
            <v>37135</v>
          </cell>
          <cell r="AB21">
            <v>-353</v>
          </cell>
          <cell r="AD21">
            <v>37135</v>
          </cell>
          <cell r="AE21">
            <v>9163</v>
          </cell>
          <cell r="AJ21">
            <v>37135</v>
          </cell>
          <cell r="AK21">
            <v>-1398</v>
          </cell>
          <cell r="AM21">
            <v>37135</v>
          </cell>
          <cell r="AN21">
            <v>611</v>
          </cell>
        </row>
        <row r="22">
          <cell r="R22">
            <v>37165</v>
          </cell>
          <cell r="S22">
            <v>2728</v>
          </cell>
          <cell r="U22">
            <v>37165</v>
          </cell>
          <cell r="V22">
            <v>590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-3346</v>
          </cell>
          <cell r="AM22">
            <v>37165</v>
          </cell>
          <cell r="AN22">
            <v>7813</v>
          </cell>
        </row>
        <row r="23">
          <cell r="R23">
            <v>37196</v>
          </cell>
          <cell r="S23">
            <v>9733</v>
          </cell>
          <cell r="U23">
            <v>37196</v>
          </cell>
          <cell r="V23">
            <v>-4670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</row>
        <row r="24">
          <cell r="R24">
            <v>37226</v>
          </cell>
          <cell r="S24">
            <v>-18157</v>
          </cell>
          <cell r="U24">
            <v>37226</v>
          </cell>
          <cell r="V24">
            <v>-111039</v>
          </cell>
          <cell r="X24">
            <v>37226</v>
          </cell>
          <cell r="Y24">
            <v>925</v>
          </cell>
          <cell r="AA24">
            <v>37226</v>
          </cell>
          <cell r="AB24">
            <v>-10134</v>
          </cell>
          <cell r="AD24">
            <v>37226</v>
          </cell>
          <cell r="AE24">
            <v>0</v>
          </cell>
          <cell r="AJ24">
            <v>37226</v>
          </cell>
          <cell r="AK24">
            <v>4883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39024</v>
          </cell>
          <cell r="U25">
            <v>37257</v>
          </cell>
          <cell r="V25">
            <v>-1147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4193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15611</v>
          </cell>
          <cell r="U26">
            <v>37288</v>
          </cell>
          <cell r="V26">
            <v>-191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-813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22319</v>
          </cell>
          <cell r="U27">
            <v>37316</v>
          </cell>
          <cell r="V27">
            <v>986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814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5738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-1135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5307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-1401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-23140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355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3100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-2040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-13904</v>
          </cell>
          <cell r="U32">
            <v>37469</v>
          </cell>
          <cell r="V32">
            <v>-1100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-387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40386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-481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-549</v>
          </cell>
          <cell r="U34">
            <v>37530</v>
          </cell>
          <cell r="V34">
            <v>50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221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3925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225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-12184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229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-874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234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-5501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-5434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258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247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216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-9765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-6649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197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817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809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781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5 23 7 23" advise="1">
        <values rows="9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501.00</val>
          </value>
          <value t="str">
            <val xml:space="preserve"> 503.00</val>
          </value>
          <value t="str">
            <val xml:space="preserve"> 504.50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503.00</val>
          </value>
          <value t="str">
            <val xml:space="preserve"> 504.50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504.50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505.00</val>
          </value>
          <value t="str">
            <val xml:space="preserve"> 505.00</val>
          </value>
          <value t="str">
            <val xml:space="preserve"> 505.00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5 23 7 23" advise="1">
        <values rows="9">
          <value t="str">
            <val>1572.75</val>
          </value>
          <value t="str">
            <val>1569.00</val>
          </value>
          <value t="str">
            <val>1566.00</val>
          </value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1551.00</val>
          </value>
          <value t="str">
            <val>1548.50</val>
          </value>
          <value t="str">
            <val>1546.00</val>
          </value>
          <value t="str">
            <val>1545.00</val>
          </value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1541.00</val>
          </value>
          <value t="str">
            <val>1540.00</val>
          </value>
          <value t="str">
            <val>1539.00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1575.00</val>
          </value>
          <value t="str">
            <val>1584.00</val>
          </value>
          <value t="str">
            <val>1587.00</val>
          </value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1569.00</val>
          </value>
          <value t="str">
            <val>1566.00</val>
          </value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1540.00</val>
          </value>
          <value t="str">
            <val>1539.00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1584.00</val>
          </value>
          <value t="str">
            <val>1587.00</val>
          </value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1566.00</val>
          </value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1546.00</val>
          </value>
          <value t="str">
            <val>1545.00</val>
          </value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1539.00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1587.00</val>
          </value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1563.00</val>
          </value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1545.00</val>
          </value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1538.00</val>
          </value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1587.00</val>
          </value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1560.00</val>
          </value>
          <value t="str">
            <val>1557.00</val>
          </value>
          <value t="str">
            <val>1554.00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1544.00</val>
          </value>
          <value t="str">
            <val>1543.00</val>
          </value>
          <value t="str">
            <val>1542.00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1537.00</val>
          </value>
          <value t="str">
            <val>1536.00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1584.00</val>
          </value>
          <value t="str">
            <val>1580.25</val>
          </value>
          <value t="str">
            <val>1576.50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5 23 7 23" advise="1">
        <values rows="9">
          <value t="str">
            <val>1877.75</val>
          </value>
          <value t="str">
            <val>1876.50</val>
          </value>
          <value t="str">
            <val>1875.25</val>
          </value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1869.00</val>
          </value>
          <value t="str">
            <val>1868.00</val>
          </value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1854.25</val>
          </value>
          <value t="str">
            <val>1866.25</val>
          </value>
          <value t="str">
            <val>1874.00</val>
          </value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1876.50</val>
          </value>
          <value t="str">
            <val>1875.25</val>
          </value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1866.25</val>
          </value>
          <value t="str">
            <val>1874.00</val>
          </value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1875.25</val>
          </value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1860.00</val>
          </value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1874.00</val>
          </value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1874.00</val>
          </value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1866.00</val>
          </value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1859.00</val>
          </value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1878.50</val>
          </value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1872.75</val>
          </value>
          <value t="str">
            <val>1871.50</val>
          </value>
          <value t="str">
            <val>1870.25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1865.00</val>
          </value>
          <value t="str">
            <val>1864.00</val>
          </value>
          <value t="str">
            <val>1863.00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1858.00</val>
          </value>
          <value t="str">
            <val>1857.00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1881.50</val>
          </value>
          <value t="str">
            <val>1880.25</val>
          </value>
          <value t="str">
            <val>1879.00</val>
          </value>
          <value t="str">
            <val xml:space="preserve">       </val>
          </value>
          <value t="str">
            <val>pt Date</val>
          </value>
        </values>
      </ddeItem>
      <ddeItem name="MNI/CLS1 10 23 7 23" advise="1">
        <values rows="4"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10 39 7 23" advise="1">
        <values rows="4"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10 7 7 23" advise="1">
        <values rows="4"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11 23 7 23" advise="1">
        <values rows="3"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11 39 7 23" advise="1">
        <values rows="3"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11 7 7 23" advise="1">
        <values rows="3"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5 23 7 23" advise="1">
        <values rows="9">
          <value t="str">
            <val xml:space="preserve">   7690</val>
          </value>
          <value t="str">
            <val xml:space="preserve">   7615</val>
          </value>
          <value t="str">
            <val xml:space="preserve">   7545</val>
          </value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5 39 7 23" advise="1">
        <values rows="9">
          <value t="str">
            <val xml:space="preserve">   7255</val>
          </value>
          <value t="str">
            <val xml:space="preserve">   7210</val>
          </value>
          <value t="str">
            <val xml:space="preserve">   7165</val>
          </value>
          <value t="str">
            <val xml:space="preserve">   7115</val>
          </value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5 55 7 23" advise="1">
        <values rows="9">
          <value t="str">
            <val xml:space="preserve">   6985</val>
          </value>
          <value t="str">
            <val xml:space="preserve">   6960</val>
          </value>
          <value t="str">
            <val xml:space="preserve">   6935</val>
          </value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5 7 7 23" advise="1">
        <values rows="9">
          <value t="str">
            <val xml:space="preserve">   8165</val>
          </value>
          <value t="str">
            <val xml:space="preserve">   8140</val>
          </value>
          <value t="str">
            <val xml:space="preserve">   8070</val>
          </value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6 23 7 23" advise="1">
        <values rows="8">
          <value t="str">
            <val xml:space="preserve">   7615</val>
          </value>
          <value t="str">
            <val xml:space="preserve">   7545</val>
          </value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6 55 7 23" advise="1">
        <values rows="8">
          <value t="str">
            <val xml:space="preserve">   6960</val>
          </value>
          <value t="str">
            <val xml:space="preserve">   6935</val>
          </value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6 7 7 23" advise="1">
        <values rows="8">
          <value t="str">
            <val xml:space="preserve">   8140</val>
          </value>
          <value t="str">
            <val xml:space="preserve">   8070</val>
          </value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7 23 7 23" advise="1">
        <values rows="7">
          <value t="str">
            <val xml:space="preserve">   7545</val>
          </value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7 39 7 23" advise="1">
        <values rows="7">
          <value t="str">
            <val xml:space="preserve">   7165</val>
          </value>
          <value t="str">
            <val xml:space="preserve">   7115</val>
          </value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7 55 7 23" advise="1">
        <values rows="7">
          <value t="str">
            <val xml:space="preserve">   6935</val>
          </value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7 7 7 23" advise="1">
        <values rows="7">
          <value t="str">
            <val xml:space="preserve">   8070</val>
          </value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8 23 7 23" advise="1">
        <values rows="6">
          <value t="str">
            <val xml:space="preserve">   7475</val>
          </value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8 39 7 23" advise="1">
        <values rows="6">
          <value t="str">
            <val xml:space="preserve">   7115</val>
          </value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8 55 7 23" advise="1">
        <values rows="6">
          <value t="str">
            <val xml:space="preserve">   6910</val>
          </value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8 7 7 23" advise="1">
        <values rows="6">
          <value t="str">
            <val xml:space="preserve">   8010</val>
          </value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NI/CLS1 9 23 7 23" advise="1">
        <values rows="5">
          <value t="str">
            <val xml:space="preserve">   7410</val>
          </value>
          <value t="str">
            <val xml:space="preserve">   7345</val>
          </value>
          <value t="str">
            <val xml:space="preserve">   7300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NI/CLS1 9 39 7 23" advise="1">
        <values rows="5">
          <value t="str">
            <val xml:space="preserve">   7075</val>
          </value>
          <value t="str">
            <val xml:space="preserve">   7035</val>
          </value>
          <value t="str">
            <val xml:space="preserve">   7010</val>
          </value>
          <value t="str">
            <val xml:space="preserve">       </val>
          </value>
          <value t="str">
            <val>Records</val>
          </value>
        </values>
      </ddeItem>
      <ddeItem name="MNI/CLS1 9 55 7 23" advise="1">
        <values rows="5">
          <value t="str">
            <val xml:space="preserve">   6885</val>
          </value>
          <value t="str">
            <val xml:space="preserve">   6865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NI/CLS1 9 7 7 23" advise="1">
        <values rows="5">
          <value t="str">
            <val xml:space="preserve">   7940</val>
          </value>
          <value t="str">
            <val xml:space="preserve">   7855</val>
          </value>
          <value t="str">
            <val xml:space="preserve">   7770</val>
          </value>
          <value t="str">
            <val xml:space="preserve">       </val>
          </value>
          <value t="str">
            <val>pt Date</val>
          </value>
        </values>
      </ddeItem>
      <ddeItem name="MPB/CLS1 10 23 7 23" advise="1">
        <values rows="4"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10 7 7 23" advise="1">
        <values rows="4"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11 23 7 23" advise="1">
        <values rows="3"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11 7 7 23" advise="1">
        <values rows="3"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5 23 7 23" advise="1">
        <values rows="9">
          <value t="str">
            <val xml:space="preserve"> 487.00</val>
          </value>
          <value t="str">
            <val xml:space="preserve"> 488.00</val>
          </value>
          <value t="str">
            <val xml:space="preserve"> 489.00</val>
          </value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5 7 7 23" advise="1">
        <values rows="9">
          <value t="str">
            <val xml:space="preserve"> 474.75</val>
          </value>
          <value t="str">
            <val xml:space="preserve"> 478.00</val>
          </value>
          <value t="str">
            <val xml:space="preserve"> 479.75</val>
          </value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6 23 7 23" advise="1">
        <values rows="8">
          <value t="str">
            <val xml:space="preserve"> 488.00</val>
          </value>
          <value t="str">
            <val xml:space="preserve"> 489.00</val>
          </value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6 7 7 23" advise="1">
        <values rows="8">
          <value t="str">
            <val xml:space="preserve"> 478.00</val>
          </value>
          <value t="str">
            <val xml:space="preserve"> 479.75</val>
          </value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7 23 7 23" advise="1">
        <values rows="7">
          <value t="str">
            <val xml:space="preserve"> 489.00</val>
          </value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7 7 7 23" advise="1">
        <values rows="7">
          <value t="str">
            <val xml:space="preserve"> 479.75</val>
          </value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8 23 7 23" advise="1">
        <values rows="6">
          <value t="str">
            <val xml:space="preserve"> 490.00</val>
          </value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8 7 7 23" advise="1">
        <values rows="6">
          <value t="str">
            <val xml:space="preserve"> 482.50</val>
          </value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PB/CLS1 9 23 7 23" advise="1">
        <values rows="5">
          <value t="str">
            <val xml:space="preserve"> 491.00</val>
          </value>
          <value t="str">
            <val xml:space="preserve"> 492.00</val>
          </value>
          <value t="str">
            <val xml:space="preserve"> 492.75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PB/CLS1 9 7 7 23" advise="1">
        <values rows="5">
          <value t="str">
            <val xml:space="preserve"> 483.50</val>
          </value>
          <value t="str">
            <val xml:space="preserve"> 484.75</val>
          </value>
          <value t="str">
            <val xml:space="preserve"> 486.00</val>
          </value>
          <value t="str">
            <val xml:space="preserve">       </val>
          </value>
          <value t="str">
            <val>pt Date</val>
          </value>
        </values>
      </ddeItem>
      <ddeItem name="MSN/CLS1 10 23 7 23" advise="1">
        <values rows="4"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5 23 7 23" advise="1">
        <values rows="9">
          <value t="str">
            <val>5343.00</val>
          </value>
          <value t="str">
            <val>5349.00</val>
          </value>
          <value t="str">
            <val>5355.00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5381.00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5286.00</val>
          </value>
          <value t="str">
            <val>5299.00</val>
          </value>
          <value t="str">
            <val>5309.00</val>
          </value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5349.00</val>
          </value>
          <value t="str">
            <val>5355.00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5299.00</val>
          </value>
          <value t="str">
            <val>5309.00</val>
          </value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5355.00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5309.00</val>
          </value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5361.00</val>
          </value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5317.00</val>
          </value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5366.00</val>
          </value>
          <value t="str">
            <val>5371.00</val>
          </value>
          <value t="str">
            <val>5376.00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5325.00</val>
          </value>
          <value t="str">
            <val>5331.00</val>
          </value>
          <value t="str">
            <val>5337.00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5 23 7 23" advise="1">
        <values rows="9">
          <value t="str">
            <val>1163.00</val>
          </value>
          <value t="str">
            <val>1161.00</val>
          </value>
          <value t="str">
            <val>1159.25</val>
          </value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1150.50</val>
          </value>
          <value t="str">
            <val>1148.75</val>
          </value>
          <value t="str">
            <val>1147.00</val>
          </value>
          <value t="str">
            <val>1145.25</val>
          </value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1138.25</val>
          </value>
          <value t="str">
            <val>1136.50</val>
          </value>
          <value t="str">
            <val>1134.75</val>
          </value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1155.50</val>
          </value>
          <value t="str">
            <val>1164.50</val>
          </value>
          <value t="str">
            <val>1166.00</val>
          </value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1161.00</val>
          </value>
          <value t="str">
            <val>1159.25</val>
          </value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1136.50</val>
          </value>
          <value t="str">
            <val>1134.75</val>
          </value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1164.50</val>
          </value>
          <value t="str">
            <val>1166.00</val>
          </value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1159.25</val>
          </value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1147.00</val>
          </value>
          <value t="str">
            <val>1145.25</val>
          </value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1134.75</val>
          </value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1166.00</val>
          </value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1157.50</val>
          </value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1145.25</val>
          </value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1133.00</val>
          </value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1167.50</val>
          </value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1155.75</val>
          </value>
          <value t="str">
            <val>1154.00</val>
          </value>
          <value t="str">
            <val>1152.25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1143.50</val>
          </value>
          <value t="str">
            <val>1141.75</val>
          </value>
          <value t="str">
            <val>1140.00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1131.25</val>
          </value>
          <value t="str">
            <val>1129.50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1168.50</val>
          </value>
          <value t="str">
            <val>1167.00</val>
          </value>
          <value t="str">
            <val>1165.00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workbookViewId="0"/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4" width="22.140625" style="26" customWidth="1"/>
    <col min="15" max="15" width="15.28515625" style="26" customWidth="1"/>
    <col min="16" max="16384" width="9.140625" style="26"/>
  </cols>
  <sheetData>
    <row r="1" spans="1:27" ht="16.5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2" t="s">
        <v>0</v>
      </c>
      <c r="K1" s="183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6" t="s">
        <v>1</v>
      </c>
      <c r="C2" s="147" t="s">
        <v>2</v>
      </c>
      <c r="D2" s="148" t="s">
        <v>3</v>
      </c>
      <c r="E2" s="148" t="s">
        <v>4</v>
      </c>
      <c r="F2" s="149" t="s">
        <v>5</v>
      </c>
      <c r="G2" s="61"/>
      <c r="H2" s="24"/>
      <c r="J2" s="184" t="s">
        <v>6</v>
      </c>
      <c r="K2" s="185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50" t="s">
        <v>30</v>
      </c>
      <c r="B3" s="192">
        <v>1</v>
      </c>
      <c r="C3" s="193">
        <v>1</v>
      </c>
      <c r="D3" s="194">
        <v>1</v>
      </c>
      <c r="E3" s="194">
        <v>0</v>
      </c>
      <c r="F3" s="195">
        <v>0</v>
      </c>
      <c r="G3" s="61"/>
      <c r="H3" s="24"/>
      <c r="J3" s="184" t="s">
        <v>7</v>
      </c>
      <c r="K3" s="185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1" t="s">
        <v>31</v>
      </c>
      <c r="B4" s="196">
        <v>2</v>
      </c>
      <c r="C4" s="197">
        <v>2</v>
      </c>
      <c r="D4" s="198">
        <v>2</v>
      </c>
      <c r="E4" s="198">
        <v>0</v>
      </c>
      <c r="F4" s="199">
        <v>0</v>
      </c>
      <c r="G4" s="61"/>
      <c r="H4" s="24"/>
      <c r="J4" s="184" t="s">
        <v>8</v>
      </c>
      <c r="K4" s="185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1" t="s">
        <v>32</v>
      </c>
      <c r="B5" s="196">
        <v>3</v>
      </c>
      <c r="C5" s="197">
        <v>3</v>
      </c>
      <c r="D5" s="198">
        <v>3</v>
      </c>
      <c r="E5" s="198">
        <v>0</v>
      </c>
      <c r="F5" s="199">
        <v>0</v>
      </c>
      <c r="G5" s="61"/>
      <c r="H5" s="24"/>
      <c r="J5" s="184" t="s">
        <v>10</v>
      </c>
      <c r="K5" s="186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2" t="s">
        <v>33</v>
      </c>
      <c r="B6" s="196">
        <v>4</v>
      </c>
      <c r="C6" s="197">
        <v>4</v>
      </c>
      <c r="D6" s="198">
        <v>4</v>
      </c>
      <c r="E6" s="198">
        <v>0</v>
      </c>
      <c r="F6" s="199">
        <v>0</v>
      </c>
      <c r="G6" s="24"/>
      <c r="H6"/>
      <c r="I6"/>
      <c r="J6" s="184" t="s">
        <v>11</v>
      </c>
      <c r="K6" s="187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2" t="s">
        <v>34</v>
      </c>
      <c r="B7" s="196">
        <v>5</v>
      </c>
      <c r="C7" s="197">
        <v>5</v>
      </c>
      <c r="D7" s="198">
        <v>5</v>
      </c>
      <c r="E7" s="198">
        <v>0</v>
      </c>
      <c r="F7" s="199">
        <v>0</v>
      </c>
      <c r="G7" s="138"/>
      <c r="H7" s="67" t="s">
        <v>12</v>
      </c>
      <c r="I7" s="38"/>
      <c r="J7" s="188" t="s">
        <v>13</v>
      </c>
      <c r="K7" s="189">
        <v>36707</v>
      </c>
      <c r="L7" s="156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2" t="s">
        <v>35</v>
      </c>
      <c r="B8" s="196">
        <v>6</v>
      </c>
      <c r="C8" s="197">
        <v>6</v>
      </c>
      <c r="D8" s="198">
        <v>6</v>
      </c>
      <c r="E8" s="198">
        <v>0</v>
      </c>
      <c r="F8" s="199">
        <v>0</v>
      </c>
      <c r="G8" s="138"/>
      <c r="H8" s="67" t="s">
        <v>14</v>
      </c>
      <c r="I8" s="38"/>
      <c r="J8" s="184" t="s">
        <v>15</v>
      </c>
      <c r="K8" s="185">
        <v>1</v>
      </c>
      <c r="L8" s="156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2" t="s">
        <v>36</v>
      </c>
      <c r="B9" s="196">
        <v>7</v>
      </c>
      <c r="C9" s="197">
        <v>7</v>
      </c>
      <c r="D9" s="198">
        <v>7</v>
      </c>
      <c r="E9" s="198">
        <v>0</v>
      </c>
      <c r="F9" s="199">
        <v>0</v>
      </c>
      <c r="G9" s="57"/>
      <c r="H9" s="24"/>
      <c r="J9" s="184" t="s">
        <v>16</v>
      </c>
      <c r="K9" s="185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2" t="s">
        <v>37</v>
      </c>
      <c r="B10" s="196">
        <v>8</v>
      </c>
      <c r="C10" s="197">
        <v>8</v>
      </c>
      <c r="D10" s="198">
        <v>8</v>
      </c>
      <c r="E10" s="198">
        <v>0</v>
      </c>
      <c r="F10" s="199">
        <v>0</v>
      </c>
      <c r="G10" s="24"/>
      <c r="H10"/>
      <c r="I10"/>
      <c r="J10" s="190" t="s">
        <v>17</v>
      </c>
      <c r="K10" s="191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2" t="s">
        <v>38</v>
      </c>
      <c r="B11" s="196">
        <v>9</v>
      </c>
      <c r="C11" s="197">
        <v>9</v>
      </c>
      <c r="D11" s="198">
        <v>9</v>
      </c>
      <c r="E11" s="198">
        <v>0</v>
      </c>
      <c r="F11" s="199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2" t="s">
        <v>39</v>
      </c>
      <c r="B12" s="196">
        <v>10</v>
      </c>
      <c r="C12" s="197">
        <v>10</v>
      </c>
      <c r="D12" s="198">
        <v>10</v>
      </c>
      <c r="E12" s="198">
        <v>0</v>
      </c>
      <c r="F12" s="199">
        <v>0</v>
      </c>
      <c r="G12" s="24"/>
      <c r="H12" s="142"/>
      <c r="I12" s="142"/>
      <c r="J12" s="143" t="s">
        <v>18</v>
      </c>
      <c r="K12" s="144" t="s">
        <v>19</v>
      </c>
      <c r="L12" s="39"/>
      <c r="M12" s="66"/>
      <c r="N12" s="154" t="s">
        <v>44</v>
      </c>
      <c r="O12" s="24"/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3" t="s">
        <v>9</v>
      </c>
      <c r="B13" s="200">
        <v>11</v>
      </c>
      <c r="C13" s="201">
        <v>10</v>
      </c>
      <c r="D13" s="202">
        <v>10</v>
      </c>
      <c r="E13" s="202">
        <v>0</v>
      </c>
      <c r="F13" s="203">
        <v>0</v>
      </c>
      <c r="G13" s="24"/>
      <c r="H13" s="139" t="s">
        <v>30</v>
      </c>
      <c r="I13" s="145"/>
      <c r="J13" s="140">
        <v>1</v>
      </c>
      <c r="K13" s="240">
        <v>-552888.37644996692</v>
      </c>
      <c r="L13" s="51"/>
      <c r="M13" s="66"/>
      <c r="N13" s="155">
        <v>-552888.37644996692</v>
      </c>
      <c r="O13" s="24"/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79"/>
      <c r="H14" s="139" t="s">
        <v>31</v>
      </c>
      <c r="I14" s="145"/>
      <c r="J14" s="140">
        <v>2</v>
      </c>
      <c r="K14" s="240">
        <v>-3100568.2250459851</v>
      </c>
      <c r="L14" s="51"/>
      <c r="M14" s="24"/>
      <c r="N14" s="155">
        <v>-3100568.2250459851</v>
      </c>
      <c r="O14" s="24"/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4"/>
      <c r="G15" s="173"/>
      <c r="H15" s="139" t="s">
        <v>32</v>
      </c>
      <c r="I15" s="145"/>
      <c r="J15" s="140">
        <v>3</v>
      </c>
      <c r="K15" s="240">
        <v>-421390.97466169432</v>
      </c>
      <c r="L15" s="51"/>
      <c r="M15" s="24"/>
      <c r="N15" s="155">
        <v>-421390.97466169432</v>
      </c>
      <c r="O15" s="24"/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4"/>
      <c r="H16" s="139" t="s">
        <v>33</v>
      </c>
      <c r="I16" s="145"/>
      <c r="J16" s="140">
        <v>4</v>
      </c>
      <c r="K16" s="240">
        <v>-2568543.7415360119</v>
      </c>
      <c r="L16" s="51"/>
      <c r="M16"/>
      <c r="N16" s="155">
        <v>-2568543.7415360119</v>
      </c>
      <c r="O16" s="24"/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78"/>
      <c r="H17" s="139" t="s">
        <v>34</v>
      </c>
      <c r="I17" s="145"/>
      <c r="J17" s="140">
        <v>5</v>
      </c>
      <c r="K17" s="240">
        <v>-11553.613052117455</v>
      </c>
      <c r="L17" s="51"/>
      <c r="M17"/>
      <c r="N17" s="155">
        <v>-11553.613052117455</v>
      </c>
      <c r="O17" s="24"/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77"/>
      <c r="H18" s="139" t="s">
        <v>35</v>
      </c>
      <c r="I18" s="145"/>
      <c r="J18" s="140">
        <v>6</v>
      </c>
      <c r="K18" s="240">
        <v>-64903.229977038136</v>
      </c>
      <c r="L18" s="51"/>
      <c r="M18"/>
      <c r="N18" s="155">
        <v>-64903.229977038136</v>
      </c>
      <c r="O18" s="24"/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75"/>
      <c r="H19" s="139" t="s">
        <v>36</v>
      </c>
      <c r="I19" s="145"/>
      <c r="J19" s="140">
        <v>7</v>
      </c>
      <c r="K19" s="240">
        <v>-350243.2017905867</v>
      </c>
      <c r="L19" s="51"/>
      <c r="M19" s="54"/>
      <c r="N19" s="155">
        <v>-350243.2017905867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80"/>
      <c r="H20" s="139" t="s">
        <v>37</v>
      </c>
      <c r="I20" s="145"/>
      <c r="J20" s="140">
        <v>8</v>
      </c>
      <c r="K20" s="240">
        <v>-88237.592039464595</v>
      </c>
      <c r="L20" s="51"/>
      <c r="M20" s="54"/>
      <c r="N20" s="155">
        <v>-88237.592039464595</v>
      </c>
      <c r="Z20" s="26">
        <v>-718</v>
      </c>
      <c r="AA20" s="26">
        <v>308</v>
      </c>
    </row>
    <row r="21" spans="1:27" ht="15" x14ac:dyDescent="0.25">
      <c r="A21" s="63"/>
      <c r="B21" s="205" t="s">
        <v>47</v>
      </c>
      <c r="C21" s="206"/>
      <c r="D21" s="207"/>
      <c r="E21" s="208"/>
      <c r="F21" s="64"/>
      <c r="G21" s="176"/>
      <c r="H21" s="139" t="s">
        <v>38</v>
      </c>
      <c r="I21" s="145"/>
      <c r="J21" s="140">
        <v>9</v>
      </c>
      <c r="K21" s="240">
        <v>-60236.511027367087</v>
      </c>
      <c r="L21" s="51"/>
      <c r="M21" s="54"/>
      <c r="N21" s="155">
        <v>-60236.511027367087</v>
      </c>
      <c r="Z21" s="26">
        <v>8472</v>
      </c>
      <c r="AA21" s="26">
        <v>307</v>
      </c>
    </row>
    <row r="22" spans="1:27" ht="15" x14ac:dyDescent="0.25">
      <c r="A22" s="57"/>
      <c r="B22" s="209" t="s">
        <v>48</v>
      </c>
      <c r="C22" s="210"/>
      <c r="D22" s="211"/>
      <c r="E22" s="212"/>
      <c r="F22" s="64"/>
      <c r="G22" s="181"/>
      <c r="H22" s="139" t="s">
        <v>39</v>
      </c>
      <c r="I22" s="145"/>
      <c r="J22" s="140">
        <v>10</v>
      </c>
      <c r="K22" s="240">
        <v>-1247.9971689740928</v>
      </c>
      <c r="L22" s="51"/>
      <c r="M22" s="54"/>
      <c r="N22" s="155">
        <v>-1247.9971689740928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9" t="s">
        <v>40</v>
      </c>
      <c r="I23" s="145" t="s">
        <v>41</v>
      </c>
      <c r="J23" s="233"/>
      <c r="K23" s="241">
        <v>-5539816.6011411576</v>
      </c>
      <c r="L23" s="51"/>
      <c r="M23" s="54"/>
      <c r="N23" s="155">
        <v>-5539816.6011411576</v>
      </c>
      <c r="O23" s="133"/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9"/>
      <c r="I24" s="145"/>
      <c r="J24" s="140"/>
      <c r="K24" s="141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9"/>
      <c r="I25" s="145"/>
      <c r="J25" s="140"/>
      <c r="K25" s="141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horizontalDpi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/>
  </sheetViews>
  <sheetFormatPr defaultRowHeight="12.75" x14ac:dyDescent="0.2"/>
  <cols>
    <col min="1" max="1" width="3.140625" style="12" customWidth="1"/>
    <col min="2" max="2" width="10.5703125" style="214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27"/>
    <col min="14" max="14" width="9.7109375" style="227" customWidth="1"/>
    <col min="15" max="15" width="9.140625" style="227"/>
    <col min="16" max="16" width="9.140625" style="228"/>
    <col min="17" max="17" width="9.140625" style="218"/>
    <col min="18" max="18" width="9.140625" style="229"/>
    <col min="19" max="19" width="9.140625" style="227"/>
    <col min="20" max="20" width="9.140625" style="218"/>
    <col min="21" max="22" width="9.140625" style="227"/>
    <col min="23" max="26" width="9.140625" style="230"/>
    <col min="27" max="27" width="9.140625" style="227"/>
    <col min="28" max="28" width="11.7109375" style="230" customWidth="1"/>
    <col min="29" max="29" width="9.140625" style="227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3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3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4">
        <f>DATE(YEAR(Inputs!$K$7),MONTH(Inputs!$K$7)+1,1)</f>
        <v>36708</v>
      </c>
      <c r="C2" s="213" t="str">
        <f>[2]!'MAL/CLS1 5 7 7 23'</f>
        <v>1575.00</v>
      </c>
      <c r="D2" s="213" t="str">
        <f>[2]!'MCU/CLS1 5 7 7 23'</f>
        <v>1854.25</v>
      </c>
      <c r="E2" s="213" t="str">
        <f>[2]!'MPB/CLS1 5 7 7 23'</f>
        <v xml:space="preserve"> 474.75</v>
      </c>
      <c r="F2" s="123" t="str">
        <f>[2]!'MNI/CLS1 5 7 7 23'</f>
        <v xml:space="preserve">   8165</v>
      </c>
      <c r="G2" s="213">
        <f>[2]!'MAG/CLS1 5 7 7 23'/100</f>
        <v>5.01</v>
      </c>
      <c r="H2" s="213" t="str">
        <f>[2]!'MSN/CLS1 5 7 7 23'</f>
        <v>5286.00</v>
      </c>
      <c r="I2" s="213" t="str">
        <f>[2]!'MZN/CLS1 5 7 7 23'</f>
        <v>1155.50</v>
      </c>
      <c r="J2" s="249">
        <v>291.5</v>
      </c>
      <c r="K2" s="250">
        <v>820</v>
      </c>
      <c r="L2" s="213">
        <v>20.175000000000001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4">
        <v>0.1888</v>
      </c>
      <c r="R2" s="41">
        <v>8.8667485398350912E-2</v>
      </c>
      <c r="S2" s="41">
        <v>0.15262752640177774</v>
      </c>
      <c r="T2" s="224">
        <v>0.16879999999999998</v>
      </c>
      <c r="U2" s="41">
        <v>0.45099208277957642</v>
      </c>
      <c r="V2" s="41">
        <v>8.8667485398350912E-2</v>
      </c>
      <c r="W2" s="41"/>
      <c r="X2" s="41"/>
      <c r="Y2" s="41"/>
      <c r="Z2" s="41"/>
      <c r="AA2" s="41"/>
      <c r="AB2" s="41"/>
      <c r="AC2" s="41"/>
      <c r="AD2" s="215"/>
      <c r="AE2" s="17"/>
      <c r="AF2" s="17"/>
      <c r="AG2" s="17"/>
    </row>
    <row r="3" spans="2:33" x14ac:dyDescent="0.2">
      <c r="B3" s="214">
        <f>DATE(YEAR(B2),MONTH(B2)+1,1)</f>
        <v>36739</v>
      </c>
      <c r="C3" s="213" t="str">
        <f>[2]!'MAL/CLS1 6 7 7 23'</f>
        <v>1584.00</v>
      </c>
      <c r="D3" s="213" t="str">
        <f>[2]!'MCU/CLS1 6 7 7 23'</f>
        <v>1866.25</v>
      </c>
      <c r="E3" s="213" t="str">
        <f>[2]!'MPB/CLS1 6 7 7 23'</f>
        <v xml:space="preserve"> 478.00</v>
      </c>
      <c r="F3" s="123" t="str">
        <f>[2]!'MNI/CLS1 6 7 7 23'</f>
        <v xml:space="preserve">   8140</v>
      </c>
      <c r="G3" s="213">
        <f>[2]!'MAG/CLS1 6 7 7 23'/100</f>
        <v>5.03</v>
      </c>
      <c r="H3" s="213" t="str">
        <f>[2]!'MSN/CLS1 6 7 7 23'</f>
        <v>5299.00</v>
      </c>
      <c r="I3" s="213" t="str">
        <f>[2]!'MZN/CLS1 6 7 7 23'</f>
        <v>1164.50</v>
      </c>
      <c r="J3" s="249">
        <v>290.64</v>
      </c>
      <c r="K3" s="250">
        <v>820</v>
      </c>
      <c r="L3" s="213">
        <v>19.344999999999999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4">
        <v>0.1888</v>
      </c>
      <c r="R3" s="41">
        <v>7.7948949059375924E-2</v>
      </c>
      <c r="S3" s="41">
        <v>0.14845783587299705</v>
      </c>
      <c r="T3" s="224">
        <v>0.16879999999999998</v>
      </c>
      <c r="U3" s="41">
        <v>0.45099208277957642</v>
      </c>
      <c r="V3" s="41">
        <v>7.7948949059375924E-2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4">
        <f t="shared" ref="B4:B19" si="0">DATE(YEAR(B3),MONTH(B3)+1,1)</f>
        <v>36770</v>
      </c>
      <c r="C4" s="213" t="str">
        <f>[2]!'MAL/CLS1 7 7 7 23'</f>
        <v>1587.00</v>
      </c>
      <c r="D4" s="213" t="str">
        <f>[2]!'MCU/CLS1 7 7 7 23'</f>
        <v>1874.00</v>
      </c>
      <c r="E4" s="213" t="str">
        <f>[2]!'MPB/CLS1 7 7 7 23'</f>
        <v xml:space="preserve"> 479.75</v>
      </c>
      <c r="F4" s="123" t="str">
        <f>[2]!'MNI/CLS1 7 7 7 23'</f>
        <v xml:space="preserve">   8070</v>
      </c>
      <c r="G4" s="213">
        <f>[2]!'MAG/CLS1 7 7 7 23'/100</f>
        <v>5.0449999999999999</v>
      </c>
      <c r="H4" s="213" t="str">
        <f>[2]!'MSN/CLS1 7 7 7 23'</f>
        <v>5309.00</v>
      </c>
      <c r="I4" s="213" t="str">
        <f>[2]!'MZN/CLS1 7 7 7 23'</f>
        <v>1166.00</v>
      </c>
      <c r="J4" s="249">
        <v>293.19</v>
      </c>
      <c r="K4" s="250">
        <v>820</v>
      </c>
      <c r="L4" s="213">
        <v>18.515000000000001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4">
        <v>0.1888</v>
      </c>
      <c r="R4" s="41">
        <v>7.543659696173384E-2</v>
      </c>
      <c r="S4" s="41">
        <v>0.14581952274047347</v>
      </c>
      <c r="T4" s="224">
        <v>0.16879999999999998</v>
      </c>
      <c r="U4" s="41">
        <v>0.45099208277957642</v>
      </c>
      <c r="V4" s="41">
        <v>7.543659696173384E-2</v>
      </c>
      <c r="W4" s="41"/>
      <c r="X4" s="41"/>
      <c r="Y4" s="41"/>
      <c r="Z4" s="41"/>
      <c r="AA4" s="41"/>
      <c r="AB4" s="41"/>
      <c r="AC4" s="41"/>
      <c r="AD4" s="215"/>
      <c r="AE4" s="17"/>
      <c r="AF4" s="17"/>
      <c r="AG4" s="17"/>
    </row>
    <row r="5" spans="2:33" x14ac:dyDescent="0.2">
      <c r="B5" s="214">
        <f t="shared" si="0"/>
        <v>36800</v>
      </c>
      <c r="C5" s="213" t="str">
        <f>[2]!'MAL/CLS1 8 7 7 23'</f>
        <v>1587.00</v>
      </c>
      <c r="D5" s="213" t="str">
        <f>[2]!'MCU/CLS1 8 7 7 23'</f>
        <v>1878.50</v>
      </c>
      <c r="E5" s="213" t="str">
        <f>[2]!'MPB/CLS1 8 7 7 23'</f>
        <v xml:space="preserve"> 482.50</v>
      </c>
      <c r="F5" s="123" t="str">
        <f>[2]!'MNI/CLS1 8 7 7 23'</f>
        <v xml:space="preserve">   8010</v>
      </c>
      <c r="G5" s="213">
        <f>[2]!'MAG/CLS1 8 7 7 23'/100</f>
        <v>5.05</v>
      </c>
      <c r="H5" s="213" t="str">
        <f>[2]!'MSN/CLS1 8 7 7 23'</f>
        <v>5317.00</v>
      </c>
      <c r="I5" s="213" t="str">
        <f>[2]!'MZN/CLS1 8 7 7 23'</f>
        <v>1167.50</v>
      </c>
      <c r="J5" s="249">
        <v>293.5</v>
      </c>
      <c r="K5" s="250">
        <v>820</v>
      </c>
      <c r="L5" s="213">
        <v>17.684999999999999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4">
        <v>0.1888</v>
      </c>
      <c r="R5" s="41">
        <v>7.3617925396293166E-2</v>
      </c>
      <c r="S5" s="41">
        <v>0.14009623875536742</v>
      </c>
      <c r="T5" s="224">
        <v>0.16879999999999998</v>
      </c>
      <c r="U5" s="41">
        <v>0.45099208277957642</v>
      </c>
      <c r="V5" s="41">
        <v>7.3617925396293166E-2</v>
      </c>
      <c r="W5" s="41"/>
      <c r="X5" s="41"/>
      <c r="Y5" s="41"/>
      <c r="Z5" s="41"/>
      <c r="AA5" s="41"/>
      <c r="AB5" s="41"/>
      <c r="AC5" s="41"/>
      <c r="AD5" s="215"/>
      <c r="AE5" s="17"/>
      <c r="AF5" s="17"/>
      <c r="AG5" s="17"/>
    </row>
    <row r="6" spans="2:33" x14ac:dyDescent="0.2">
      <c r="B6" s="214">
        <f t="shared" si="0"/>
        <v>36831</v>
      </c>
      <c r="C6" s="213" t="str">
        <f>[2]!'MAL/CLS1 9 7 7 23'</f>
        <v>1584.00</v>
      </c>
      <c r="D6" s="213" t="str">
        <f>[2]!'MCU/CLS1 9 7 7 23'</f>
        <v>1881.50</v>
      </c>
      <c r="E6" s="213" t="str">
        <f>[2]!'MPB/CLS1 9 7 7 23'</f>
        <v xml:space="preserve"> 483.50</v>
      </c>
      <c r="F6" s="123" t="str">
        <f>[2]!'MNI/CLS1 9 7 7 23'</f>
        <v xml:space="preserve">   7940</v>
      </c>
      <c r="G6" s="213">
        <f>[2]!'MAG/CLS1 9 7 7 23'/100</f>
        <v>5.05</v>
      </c>
      <c r="H6" s="213" t="str">
        <f>[2]!'MSN/CLS1 9 7 7 23'</f>
        <v>5325.00</v>
      </c>
      <c r="I6" s="213" t="str">
        <f>[2]!'MZN/CLS1 9 7 7 23'</f>
        <v>1168.50</v>
      </c>
      <c r="J6" s="249">
        <v>295.58999999999997</v>
      </c>
      <c r="K6" s="250">
        <v>820</v>
      </c>
      <c r="L6" s="213">
        <v>16.855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4">
        <v>0.18809999999999999</v>
      </c>
      <c r="R6" s="41">
        <v>7.2151661614489063E-2</v>
      </c>
      <c r="S6" s="41">
        <v>0.13799367624364509</v>
      </c>
      <c r="T6" s="224">
        <v>0.1681</v>
      </c>
      <c r="U6" s="41">
        <v>0.45099208277957642</v>
      </c>
      <c r="V6" s="41">
        <v>7.2151661614489063E-2</v>
      </c>
      <c r="W6" s="41"/>
      <c r="X6" s="41"/>
      <c r="Y6" s="41"/>
      <c r="Z6" s="41"/>
      <c r="AA6" s="41"/>
      <c r="AB6" s="41"/>
      <c r="AC6" s="41"/>
      <c r="AD6" s="215"/>
      <c r="AE6" s="17"/>
      <c r="AF6" s="17"/>
      <c r="AG6" s="17"/>
    </row>
    <row r="7" spans="2:33" x14ac:dyDescent="0.2">
      <c r="B7" s="214">
        <f t="shared" si="0"/>
        <v>36861</v>
      </c>
      <c r="C7" s="213" t="str">
        <f>[2]!'MAL/CLS1 10 7 7 23'</f>
        <v>1580.25</v>
      </c>
      <c r="D7" s="213" t="str">
        <f>[2]!'MCU/CLS1 10 7 7 23'</f>
        <v>1880.25</v>
      </c>
      <c r="E7" s="213" t="str">
        <f>[2]!'MPB/CLS1 10 7 7 23'</f>
        <v xml:space="preserve"> 484.75</v>
      </c>
      <c r="F7" s="123" t="str">
        <f>[2]!'MNI/CLS1 10 7 7 23'</f>
        <v xml:space="preserve">   7855</v>
      </c>
      <c r="G7" s="213">
        <f>[2]!'MAG/CLS1 10 7 7 23'/100</f>
        <v>5.05</v>
      </c>
      <c r="H7" s="213" t="str">
        <f>[2]!'MSN/CLS1 10 7 7 23'</f>
        <v>5331.00</v>
      </c>
      <c r="I7" s="213" t="str">
        <f>[2]!'MZN/CLS1 10 7 7 23'</f>
        <v>1167.00</v>
      </c>
      <c r="J7" s="249">
        <v>297.61</v>
      </c>
      <c r="K7" s="250">
        <v>820</v>
      </c>
      <c r="L7" s="213">
        <v>16.024999999999999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4">
        <v>0.18429999999999999</v>
      </c>
      <c r="R7" s="41">
        <v>7.0995124968545056E-2</v>
      </c>
      <c r="S7" s="41">
        <v>0.1354859055782594</v>
      </c>
      <c r="T7" s="224">
        <v>0.1643</v>
      </c>
      <c r="U7" s="41">
        <v>0.45099208277957642</v>
      </c>
      <c r="V7" s="41">
        <v>7.0995124968545056E-2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4">
        <f t="shared" si="0"/>
        <v>36892</v>
      </c>
      <c r="C8" s="213" t="str">
        <f>[2]!'MAL/CLS1 11 7 7 23'</f>
        <v>1576.50</v>
      </c>
      <c r="D8" s="213" t="str">
        <f>[2]!'MCU/CLS1 11 7 7 23'</f>
        <v>1879.00</v>
      </c>
      <c r="E8" s="213" t="str">
        <f>[2]!'MPB/CLS1 11 7 7 23'</f>
        <v xml:space="preserve"> 486.00</v>
      </c>
      <c r="F8" s="123" t="str">
        <f>[2]!'MNI/CLS1 11 7 7 23'</f>
        <v xml:space="preserve">   7770</v>
      </c>
      <c r="G8" s="213">
        <f>[2]!'MAG/CLS1 11 7 7 23'/100</f>
        <v>5.05</v>
      </c>
      <c r="H8" s="213" t="str">
        <f>[2]!'MSN/CLS1 11 7 7 23'</f>
        <v>5337.00</v>
      </c>
      <c r="I8" s="213" t="str">
        <f>[2]!'MZN/CLS1 11 7 7 23'</f>
        <v>1165.00</v>
      </c>
      <c r="J8" s="249">
        <v>296.56</v>
      </c>
      <c r="K8" s="250">
        <v>820</v>
      </c>
      <c r="L8" s="213">
        <v>17.060714285714301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4">
        <v>0.17879999999999999</v>
      </c>
      <c r="R8" s="41">
        <v>7.0147211478152768E-2</v>
      </c>
      <c r="S8" s="41">
        <v>0.13293081494325792</v>
      </c>
      <c r="T8" s="224">
        <v>0.1588</v>
      </c>
      <c r="U8" s="41">
        <v>0.45099208277957642</v>
      </c>
      <c r="V8" s="41">
        <v>7.0147211478152768E-2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4">
        <f t="shared" si="0"/>
        <v>36923</v>
      </c>
      <c r="C9" s="213" t="str">
        <f>[2]!'MAL/CLS1 5 23 7 23'</f>
        <v>1572.75</v>
      </c>
      <c r="D9" s="213" t="str">
        <f>[2]!'MCU/CLS1 5 23 7 23'</f>
        <v>1877.75</v>
      </c>
      <c r="E9" s="213" t="str">
        <f>[2]!'MPB/CLS1 5 23 7 23'</f>
        <v xml:space="preserve"> 487.00</v>
      </c>
      <c r="F9" s="123" t="str">
        <f>[2]!'MNI/CLS1 5 23 7 23'</f>
        <v xml:space="preserve">   7690</v>
      </c>
      <c r="G9" s="213">
        <f>[2]!'MAG/CLS1 5 23 7 23'/100</f>
        <v>5.05</v>
      </c>
      <c r="H9" s="213" t="str">
        <f>[2]!'MSN/CLS1 5 23 7 23'</f>
        <v>5343.00</v>
      </c>
      <c r="I9" s="213" t="str">
        <f>[2]!'MZN/CLS1 5 23 7 23'</f>
        <v>1163.00</v>
      </c>
      <c r="J9" s="249">
        <v>302.06</v>
      </c>
      <c r="K9" s="250">
        <v>820</v>
      </c>
      <c r="L9" s="213">
        <v>18.096428571428579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4">
        <v>0.17879999999999999</v>
      </c>
      <c r="R9" s="41">
        <v>6.949245298981177E-2</v>
      </c>
      <c r="S9" s="41">
        <v>0.13039381861512392</v>
      </c>
      <c r="T9" s="224">
        <v>0.155</v>
      </c>
      <c r="U9" s="41">
        <v>0.45099208277957642</v>
      </c>
      <c r="V9" s="41">
        <v>6.949245298981177E-2</v>
      </c>
      <c r="W9" s="41"/>
      <c r="X9" s="41"/>
      <c r="Y9" s="41"/>
      <c r="Z9" s="41"/>
      <c r="AA9" s="41"/>
      <c r="AB9" s="41"/>
      <c r="AC9" s="41"/>
    </row>
    <row r="10" spans="2:33" x14ac:dyDescent="0.2">
      <c r="B10" s="214">
        <f t="shared" si="0"/>
        <v>36951</v>
      </c>
      <c r="C10" s="213" t="str">
        <f>[2]!'MAL/CLS1 6 23 7 23'</f>
        <v>1569.00</v>
      </c>
      <c r="D10" s="213" t="str">
        <f>[2]!'MCU/CLS1 6 23 7 23'</f>
        <v>1876.50</v>
      </c>
      <c r="E10" s="213" t="str">
        <f>[2]!'MPB/CLS1 6 23 7 23'</f>
        <v xml:space="preserve"> 488.00</v>
      </c>
      <c r="F10" s="123" t="str">
        <f>[2]!'MNI/CLS1 6 23 7 23'</f>
        <v xml:space="preserve">   7615</v>
      </c>
      <c r="G10" s="213">
        <f>[2]!'MAG/CLS1 6 23 7 23'/100</f>
        <v>5.05</v>
      </c>
      <c r="H10" s="213" t="str">
        <f>[2]!'MSN/CLS1 6 23 7 23'</f>
        <v>5349.00</v>
      </c>
      <c r="I10" s="213" t="str">
        <f>[2]!'MZN/CLS1 6 23 7 23'</f>
        <v>1161.00</v>
      </c>
      <c r="J10" s="249">
        <v>302.06</v>
      </c>
      <c r="K10" s="250">
        <v>820</v>
      </c>
      <c r="L10" s="213">
        <v>19.132142857142856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4">
        <v>0.17879999999999999</v>
      </c>
      <c r="R10" s="41">
        <v>6.8952842229290434E-2</v>
      </c>
      <c r="S10" s="41">
        <v>0.12768914852892421</v>
      </c>
      <c r="T10" s="224">
        <v>0.155</v>
      </c>
      <c r="U10" s="41">
        <v>0.45099208277957642</v>
      </c>
      <c r="V10" s="41">
        <v>6.8952842229290434E-2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4">
        <f t="shared" si="0"/>
        <v>36982</v>
      </c>
      <c r="C11" s="213" t="str">
        <f>[2]!'MAL/CLS1 7 23 7 23'</f>
        <v>1566.00</v>
      </c>
      <c r="D11" s="213" t="str">
        <f>[2]!'MCU/CLS1 7 23 7 23'</f>
        <v>1875.25</v>
      </c>
      <c r="E11" s="213" t="str">
        <f>[2]!'MPB/CLS1 7 23 7 23'</f>
        <v xml:space="preserve"> 489.00</v>
      </c>
      <c r="F11" s="123" t="str">
        <f>[2]!'MNI/CLS1 7 23 7 23'</f>
        <v xml:space="preserve">   7545</v>
      </c>
      <c r="G11" s="213">
        <f>[2]!'MAG/CLS1 7 23 7 23'/100</f>
        <v>5.05</v>
      </c>
      <c r="H11" s="213" t="str">
        <f>[2]!'MSN/CLS1 7 23 7 23'</f>
        <v>5355.00</v>
      </c>
      <c r="I11" s="213" t="str">
        <f>[2]!'MZN/CLS1 7 23 7 23'</f>
        <v>1159.25</v>
      </c>
      <c r="J11" s="249">
        <v>302.06</v>
      </c>
      <c r="K11" s="250">
        <v>820</v>
      </c>
      <c r="L11" s="213">
        <v>20.167857142857134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4">
        <v>0.17879999999999999</v>
      </c>
      <c r="R11" s="41">
        <v>6.8332025923955292E-2</v>
      </c>
      <c r="S11" s="41">
        <v>0.12455580874806294</v>
      </c>
      <c r="T11" s="224">
        <v>0.155</v>
      </c>
      <c r="U11" s="41">
        <v>0.45099208277957642</v>
      </c>
      <c r="V11" s="41">
        <v>6.8332025923955292E-2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4">
        <f t="shared" si="0"/>
        <v>37012</v>
      </c>
      <c r="C12" s="213" t="str">
        <f>[2]!'MAL/CLS1 8 23 7 23'</f>
        <v>1563.00</v>
      </c>
      <c r="D12" s="213" t="str">
        <f>[2]!'MCU/CLS1 8 23 7 23'</f>
        <v>1874.00</v>
      </c>
      <c r="E12" s="213" t="str">
        <f>[2]!'MPB/CLS1 8 23 7 23'</f>
        <v xml:space="preserve"> 490.00</v>
      </c>
      <c r="F12" s="123" t="str">
        <f>[2]!'MNI/CLS1 8 23 7 23'</f>
        <v xml:space="preserve">   7475</v>
      </c>
      <c r="G12" s="213">
        <f>[2]!'MAG/CLS1 8 23 7 23'/100</f>
        <v>5.05</v>
      </c>
      <c r="H12" s="213" t="str">
        <f>[2]!'MSN/CLS1 8 23 7 23'</f>
        <v>5361.00</v>
      </c>
      <c r="I12" s="213" t="str">
        <f>[2]!'MZN/CLS1 8 23 7 23'</f>
        <v>1157.50</v>
      </c>
      <c r="J12" s="249">
        <v>304.5</v>
      </c>
      <c r="K12" s="250">
        <v>820</v>
      </c>
      <c r="L12" s="213">
        <v>21.203571428571411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4">
        <v>0.17879999999999999</v>
      </c>
      <c r="R12" s="41">
        <v>6.7732460475046372E-2</v>
      </c>
      <c r="S12" s="41">
        <v>0.12151975196190107</v>
      </c>
      <c r="T12" s="224">
        <v>0.14880000000000002</v>
      </c>
      <c r="U12" s="41">
        <v>0.45099208277957642</v>
      </c>
      <c r="V12" s="41">
        <v>6.7732460475046372E-2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4">
        <f t="shared" si="0"/>
        <v>37043</v>
      </c>
      <c r="C13" s="213" t="str">
        <f>[2]!'MAL/CLS1 9 23 7 23'</f>
        <v>1560.00</v>
      </c>
      <c r="D13" s="213" t="str">
        <f>[2]!'MCU/CLS1 9 23 7 23'</f>
        <v>1872.75</v>
      </c>
      <c r="E13" s="213" t="str">
        <f>[2]!'MPB/CLS1 9 23 7 23'</f>
        <v xml:space="preserve"> 491.00</v>
      </c>
      <c r="F13" s="123" t="str">
        <f>[2]!'MNI/CLS1 9 23 7 23'</f>
        <v xml:space="preserve">   7410</v>
      </c>
      <c r="G13" s="213">
        <f>[2]!'MAG/CLS1 9 23 7 23'/100</f>
        <v>5.05</v>
      </c>
      <c r="H13" s="213" t="str">
        <f>[2]!'MSN/CLS1 9 23 7 23'</f>
        <v>5366.00</v>
      </c>
      <c r="I13" s="213" t="str">
        <f>[2]!'MZN/CLS1 9 23 7 23'</f>
        <v>1155.75</v>
      </c>
      <c r="J13" s="249">
        <v>304.5</v>
      </c>
      <c r="K13" s="250">
        <v>820</v>
      </c>
      <c r="L13" s="213">
        <v>22.239285714285689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4">
        <v>0.17879999999999999</v>
      </c>
      <c r="R13" s="41">
        <v>6.7154605034871084E-2</v>
      </c>
      <c r="S13" s="41">
        <v>0.11848993613713735</v>
      </c>
      <c r="T13" s="224">
        <v>0.14880000000000002</v>
      </c>
      <c r="U13" s="41">
        <v>0.45099208277957642</v>
      </c>
      <c r="V13" s="41">
        <v>6.7154605034871084E-2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4">
        <f t="shared" si="0"/>
        <v>37073</v>
      </c>
      <c r="C14" s="213" t="str">
        <f>[2]!'MAL/CLS1 10 23 7 23'</f>
        <v>1557.00</v>
      </c>
      <c r="D14" s="213" t="str">
        <f>[2]!'MCU/CLS1 10 23 7 23'</f>
        <v>1871.50</v>
      </c>
      <c r="E14" s="213" t="str">
        <f>[2]!'MPB/CLS1 10 23 7 23'</f>
        <v xml:space="preserve"> 492.00</v>
      </c>
      <c r="F14" s="123" t="str">
        <f>[2]!'MNI/CLS1 10 23 7 23'</f>
        <v xml:space="preserve">   7345</v>
      </c>
      <c r="G14" s="213">
        <f>[2]!'MAG/CLS1 10 23 7 23'/100</f>
        <v>5.05</v>
      </c>
      <c r="H14" s="213" t="str">
        <f>[2]!'MSN/CLS1 10 23 7 23'</f>
        <v>5371.00</v>
      </c>
      <c r="I14" s="213" t="str">
        <f>[2]!'MZN/CLS1 10 23 7 23'</f>
        <v>1154.00</v>
      </c>
      <c r="J14" s="249">
        <v>304.5</v>
      </c>
      <c r="K14" s="250">
        <v>820</v>
      </c>
      <c r="L14" s="213">
        <v>21.829395604395586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4">
        <v>0.17879999999999999</v>
      </c>
      <c r="R14" s="41">
        <v>6.6598914230553419E-2</v>
      </c>
      <c r="S14" s="41">
        <v>0.1179755357024314</v>
      </c>
      <c r="T14" s="224">
        <v>0.14880000000000002</v>
      </c>
      <c r="U14" s="41">
        <v>0.45099208277957642</v>
      </c>
      <c r="V14" s="41">
        <v>6.6598914230553419E-2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4">
        <f t="shared" si="0"/>
        <v>37104</v>
      </c>
      <c r="C15" s="213" t="str">
        <f>[2]!'MAL/CLS1 11 23 7 23'</f>
        <v>1554.00</v>
      </c>
      <c r="D15" s="213" t="str">
        <f>[2]!'MCU/CLS1 11 23 7 23'</f>
        <v>1870.25</v>
      </c>
      <c r="E15" s="213" t="str">
        <f>[2]!'MPB/CLS1 11 23 7 23'</f>
        <v xml:space="preserve"> 492.75</v>
      </c>
      <c r="F15" s="123" t="str">
        <f>[2]!'MNI/CLS1 11 23 7 23'</f>
        <v xml:space="preserve">   7300</v>
      </c>
      <c r="G15" s="213">
        <f>[2]!'MAG/CLS1 11 23 7 23'/100</f>
        <v>5.05</v>
      </c>
      <c r="H15" s="213" t="str">
        <f>[2]!'MSN/CLS1 11 23 7 23'</f>
        <v>5376.00</v>
      </c>
      <c r="I15" s="213" t="str">
        <f>[2]!'MZN/CLS1 11 23 7 23'</f>
        <v>1152.25</v>
      </c>
      <c r="J15" s="249">
        <v>310.08999999999997</v>
      </c>
      <c r="K15" s="250">
        <v>820</v>
      </c>
      <c r="L15" s="213">
        <v>21.419505494505483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4">
        <v>0.17670000000000002</v>
      </c>
      <c r="R15" s="41">
        <v>6.6065836454332685E-2</v>
      </c>
      <c r="S15" s="41">
        <v>0.1152371740358724</v>
      </c>
      <c r="T15" s="224">
        <v>0.1467</v>
      </c>
      <c r="U15" s="41">
        <v>0.45099208277957642</v>
      </c>
      <c r="V15" s="41">
        <v>6.6065836454332685E-2</v>
      </c>
      <c r="W15" s="41"/>
      <c r="X15" s="41"/>
      <c r="Y15" s="41"/>
      <c r="Z15" s="41"/>
      <c r="AA15" s="41"/>
      <c r="AB15" s="41"/>
      <c r="AC15" s="41"/>
    </row>
    <row r="16" spans="2:33" s="217" customFormat="1" x14ac:dyDescent="0.2">
      <c r="B16" s="216">
        <f t="shared" si="0"/>
        <v>37135</v>
      </c>
      <c r="C16" s="234" t="str">
        <f>[2]!'MAL/CLS1 5 39 7 23'</f>
        <v>1551.00</v>
      </c>
      <c r="D16" s="234" t="str">
        <f>[2]!'MCU/CLS1 5 39 7 23'</f>
        <v>1869.00</v>
      </c>
      <c r="E16" s="234" t="str">
        <f>E15</f>
        <v xml:space="preserve"> 492.75</v>
      </c>
      <c r="F16" s="239" t="str">
        <f>[2]!'MNI/CLS1 5 39 7 23'</f>
        <v xml:space="preserve">   7255</v>
      </c>
      <c r="G16" s="234">
        <f>G15</f>
        <v>5.05</v>
      </c>
      <c r="H16" s="234" t="str">
        <f>[2]!'MSN/CLS1 5 39 7 23'</f>
        <v>5381.00</v>
      </c>
      <c r="I16" s="234" t="str">
        <f>[2]!'MZN/CLS1 5 39 7 23'</f>
        <v>1150.50</v>
      </c>
      <c r="J16" s="249">
        <v>310.08999999999997</v>
      </c>
      <c r="K16" s="250">
        <v>820</v>
      </c>
      <c r="L16" s="234">
        <v>21.00961538461538</v>
      </c>
      <c r="M16" s="236">
        <v>0.16414402363847264</v>
      </c>
      <c r="N16" s="236">
        <v>0.15379141700985116</v>
      </c>
      <c r="O16" s="236">
        <v>0.11224098893320893</v>
      </c>
      <c r="P16" s="236">
        <v>0.38858294116466396</v>
      </c>
      <c r="Q16" s="242">
        <v>0.17670000000000002</v>
      </c>
      <c r="R16" s="236">
        <v>6.5555812065799635E-2</v>
      </c>
      <c r="S16" s="236">
        <v>0.11273686184438793</v>
      </c>
      <c r="T16" s="242">
        <v>0.1467</v>
      </c>
      <c r="U16" s="236">
        <v>0.45099208277957642</v>
      </c>
      <c r="V16" s="236">
        <v>6.5555812065799635E-2</v>
      </c>
      <c r="W16" s="236"/>
      <c r="X16" s="236"/>
      <c r="Y16" s="236"/>
      <c r="Z16" s="236"/>
      <c r="AA16" s="236"/>
      <c r="AB16" s="236"/>
      <c r="AC16" s="236"/>
    </row>
    <row r="17" spans="1:29" x14ac:dyDescent="0.2">
      <c r="B17" s="214">
        <f t="shared" si="0"/>
        <v>37165</v>
      </c>
      <c r="C17" s="213" t="str">
        <f>[2]!'MAL/CLS1 7 39 7 23'</f>
        <v>1546.00</v>
      </c>
      <c r="D17" s="213" t="str">
        <f>[2]!'MCU/CLS1 7 39 7 23'</f>
        <v>1867.00</v>
      </c>
      <c r="E17" s="213" t="str">
        <f>E16</f>
        <v xml:space="preserve"> 492.75</v>
      </c>
      <c r="F17" s="123" t="str">
        <f>[2]!'MNI/CLS1 7 39 7 23'</f>
        <v xml:space="preserve">   7165</v>
      </c>
      <c r="G17" s="213">
        <f t="shared" ref="G17:G80" si="1">G16</f>
        <v>5.05</v>
      </c>
      <c r="H17" s="213" t="str">
        <f>H16</f>
        <v>5381.00</v>
      </c>
      <c r="I17" s="213" t="str">
        <f>[2]!'MZN/CLS1 7 39 7 23'</f>
        <v>1147.00</v>
      </c>
      <c r="J17" s="249">
        <v>310.08999999999997</v>
      </c>
      <c r="K17" s="250">
        <v>820</v>
      </c>
      <c r="L17" s="213">
        <v>20.599725274725277</v>
      </c>
      <c r="M17" s="41">
        <v>0.15879672901585598</v>
      </c>
      <c r="N17" s="41">
        <v>0.15194227713960623</v>
      </c>
      <c r="O17" s="41">
        <v>0.11224098893320893</v>
      </c>
      <c r="P17" s="41">
        <v>0.38587386742952545</v>
      </c>
      <c r="Q17" s="224">
        <v>0.17670000000000002</v>
      </c>
      <c r="R17" s="41">
        <v>6.5555812065799635E-2</v>
      </c>
      <c r="S17" s="41">
        <v>0.11043061361630832</v>
      </c>
      <c r="T17" s="224">
        <v>0.1467</v>
      </c>
      <c r="U17" s="41">
        <v>0.45099208277957642</v>
      </c>
      <c r="V17" s="41">
        <v>6.5555812065799635E-2</v>
      </c>
      <c r="W17" s="41"/>
      <c r="X17" s="41"/>
      <c r="Y17" s="41"/>
      <c r="Z17" s="41"/>
      <c r="AA17" s="41"/>
      <c r="AB17" s="41"/>
      <c r="AC17" s="41"/>
    </row>
    <row r="18" spans="1:29" x14ac:dyDescent="0.2">
      <c r="B18" s="214">
        <f t="shared" si="0"/>
        <v>37196</v>
      </c>
      <c r="C18" s="213" t="str">
        <f>[2]!'MAL/CLS1 7 39 7 23'</f>
        <v>1546.00</v>
      </c>
      <c r="D18" s="213" t="str">
        <f>[2]!'MCU/CLS1 7 39 7 23'</f>
        <v>1867.00</v>
      </c>
      <c r="E18" s="213" t="str">
        <f t="shared" ref="E18:E80" si="2">E17</f>
        <v xml:space="preserve"> 492.75</v>
      </c>
      <c r="F18" s="123" t="str">
        <f>[2]!'MNI/CLS1 7 39 7 23'</f>
        <v xml:space="preserve">   7165</v>
      </c>
      <c r="G18" s="213">
        <f t="shared" si="1"/>
        <v>5.05</v>
      </c>
      <c r="H18" s="213" t="str">
        <f t="shared" ref="H18:H80" si="3">H17</f>
        <v>5381.00</v>
      </c>
      <c r="I18" s="213" t="str">
        <f>[2]!'MZN/CLS1 7 39 7 23'</f>
        <v>1147.00</v>
      </c>
      <c r="J18" s="249">
        <v>313.56</v>
      </c>
      <c r="K18" s="250">
        <v>820</v>
      </c>
      <c r="L18" s="213">
        <v>20.189835164835173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4">
        <v>0.17670000000000002</v>
      </c>
      <c r="R18" s="41">
        <v>6.5555812065799635E-2</v>
      </c>
      <c r="S18" s="41">
        <v>0.10811788284103697</v>
      </c>
      <c r="T18" s="224">
        <v>0.1467</v>
      </c>
      <c r="U18" s="41">
        <v>0.45099208277957642</v>
      </c>
      <c r="V18" s="41">
        <v>6.5555812065799635E-2</v>
      </c>
      <c r="W18" s="41"/>
      <c r="X18" s="41"/>
      <c r="Y18" s="41"/>
      <c r="Z18" s="41"/>
      <c r="AA18" s="41"/>
      <c r="AB18" s="41"/>
      <c r="AC18" s="41"/>
    </row>
    <row r="19" spans="1:29" x14ac:dyDescent="0.2">
      <c r="B19" s="214">
        <f t="shared" si="0"/>
        <v>37226</v>
      </c>
      <c r="C19" s="213" t="str">
        <f>[2]!'MAL/CLS1 8 39 7 23'</f>
        <v>1545.00</v>
      </c>
      <c r="D19" s="213" t="str">
        <f>[2]!'MCU/CLS1 8 39 7 23'</f>
        <v>1866.00</v>
      </c>
      <c r="E19" s="213" t="str">
        <f t="shared" si="2"/>
        <v xml:space="preserve"> 492.75</v>
      </c>
      <c r="F19" s="123" t="str">
        <f>[2]!'MNI/CLS1 8 39 7 23'</f>
        <v xml:space="preserve">   7115</v>
      </c>
      <c r="G19" s="213">
        <f t="shared" si="1"/>
        <v>5.05</v>
      </c>
      <c r="H19" s="213" t="str">
        <f t="shared" si="3"/>
        <v>5381.00</v>
      </c>
      <c r="I19" s="213" t="str">
        <f>[2]!'MZN/CLS1 8 39 7 23'</f>
        <v>1145.25</v>
      </c>
      <c r="J19" s="249">
        <v>313.56</v>
      </c>
      <c r="K19" s="250">
        <v>820</v>
      </c>
      <c r="L19" s="213">
        <v>19.77994505494507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4">
        <v>0.17670000000000002</v>
      </c>
      <c r="R19" s="41">
        <v>6.5555812065799635E-2</v>
      </c>
      <c r="S19" s="41">
        <v>0.1060837265382728</v>
      </c>
      <c r="T19" s="224">
        <v>0.1467</v>
      </c>
      <c r="U19" s="41">
        <v>0.45099208277957642</v>
      </c>
      <c r="V19" s="41">
        <v>6.5555812065799635E-2</v>
      </c>
      <c r="W19" s="41"/>
      <c r="X19" s="41"/>
      <c r="Y19" s="41"/>
      <c r="Z19" s="41"/>
      <c r="AA19" s="41"/>
      <c r="AB19" s="41"/>
      <c r="AC19" s="41"/>
    </row>
    <row r="20" spans="1:29" x14ac:dyDescent="0.2">
      <c r="B20" s="214">
        <f t="shared" ref="B20:B35" si="4">DATE(YEAR(B19),MONTH(B19)+1,1)</f>
        <v>37257</v>
      </c>
      <c r="C20" s="213" t="str">
        <f>[2]!'MAL/CLS1 9 39 7 23'</f>
        <v>1544.00</v>
      </c>
      <c r="D20" s="213" t="str">
        <f>[2]!'MCU/CLS1 9 39 7 23'</f>
        <v>1865.00</v>
      </c>
      <c r="E20" s="213" t="str">
        <f t="shared" si="2"/>
        <v xml:space="preserve"> 492.75</v>
      </c>
      <c r="F20" s="123" t="str">
        <f>[2]!'MNI/CLS1 9 39 7 23'</f>
        <v xml:space="preserve">   7075</v>
      </c>
      <c r="G20" s="213">
        <f t="shared" si="1"/>
        <v>5.05</v>
      </c>
      <c r="H20" s="213" t="str">
        <f t="shared" si="3"/>
        <v>5381.00</v>
      </c>
      <c r="I20" s="213" t="str">
        <f>[2]!'MZN/CLS1 9 39 7 23'</f>
        <v>1143.50</v>
      </c>
      <c r="J20" s="249">
        <v>313.56</v>
      </c>
      <c r="K20" s="250">
        <v>820</v>
      </c>
      <c r="L20" s="213">
        <v>19.370054945054967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4">
        <v>0.17670000000000002</v>
      </c>
      <c r="R20" s="41">
        <v>6.5555812065799635E-2</v>
      </c>
      <c r="S20" s="41">
        <v>0.10465112356670604</v>
      </c>
      <c r="T20" s="224">
        <v>0.1467</v>
      </c>
      <c r="U20" s="41">
        <v>0.45099208277957642</v>
      </c>
      <c r="V20" s="41">
        <v>6.5555812065799635E-2</v>
      </c>
      <c r="W20" s="41"/>
      <c r="X20" s="41"/>
      <c r="Y20" s="41"/>
      <c r="Z20" s="41"/>
      <c r="AA20" s="41"/>
      <c r="AB20" s="41"/>
      <c r="AC20" s="41"/>
    </row>
    <row r="21" spans="1:29" x14ac:dyDescent="0.2">
      <c r="B21" s="214">
        <f t="shared" si="4"/>
        <v>37288</v>
      </c>
      <c r="C21" s="213" t="str">
        <f>[2]!'MAL/CLS1 10 39 7 23'</f>
        <v>1543.00</v>
      </c>
      <c r="D21" s="213" t="str">
        <f>[2]!'MCU/CLS1 10 39 7 23'</f>
        <v>1864.00</v>
      </c>
      <c r="E21" s="213" t="str">
        <f t="shared" si="2"/>
        <v xml:space="preserve"> 492.75</v>
      </c>
      <c r="F21" s="123" t="str">
        <f>[2]!'MNI/CLS1 10 39 7 23'</f>
        <v xml:space="preserve">   7035</v>
      </c>
      <c r="G21" s="213">
        <f t="shared" si="1"/>
        <v>5.05</v>
      </c>
      <c r="H21" s="213" t="str">
        <f t="shared" si="3"/>
        <v>5381.00</v>
      </c>
      <c r="I21" s="213" t="str">
        <f>[2]!'MZN/CLS1 10 39 7 23'</f>
        <v>1141.75</v>
      </c>
      <c r="J21" s="249">
        <v>319.06</v>
      </c>
      <c r="K21" s="250">
        <v>820</v>
      </c>
      <c r="L21" s="213">
        <v>18.960164835164864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4">
        <v>0.17670000000000002</v>
      </c>
      <c r="R21" s="41">
        <v>6.5555812065799635E-2</v>
      </c>
      <c r="S21" s="41">
        <v>0.10359452561983599</v>
      </c>
      <c r="T21" s="224">
        <v>0.1467</v>
      </c>
      <c r="U21" s="41">
        <v>0.45099208277957642</v>
      </c>
      <c r="V21" s="41">
        <v>6.5555812065799635E-2</v>
      </c>
      <c r="W21" s="41"/>
      <c r="X21" s="41"/>
      <c r="Y21" s="41"/>
      <c r="Z21" s="41"/>
      <c r="AA21" s="41"/>
      <c r="AB21" s="41"/>
      <c r="AC21" s="41"/>
    </row>
    <row r="22" spans="1:29" x14ac:dyDescent="0.2">
      <c r="B22" s="214">
        <f t="shared" si="4"/>
        <v>37316</v>
      </c>
      <c r="C22" s="213" t="str">
        <f>[2]!'MAL/CLS1 11 39 7 23'</f>
        <v>1542.00</v>
      </c>
      <c r="D22" s="213" t="str">
        <f>[2]!'MCU/CLS1 11 39 7 23'</f>
        <v>1863.00</v>
      </c>
      <c r="E22" s="213" t="str">
        <f t="shared" si="2"/>
        <v xml:space="preserve"> 492.75</v>
      </c>
      <c r="F22" s="123" t="str">
        <f>[2]!'MNI/CLS1 11 39 7 23'</f>
        <v xml:space="preserve">   7010</v>
      </c>
      <c r="G22" s="213">
        <f t="shared" si="1"/>
        <v>5.05</v>
      </c>
      <c r="H22" s="213" t="str">
        <f t="shared" si="3"/>
        <v>5381.00</v>
      </c>
      <c r="I22" s="213" t="str">
        <f>[2]!'MZN/CLS1 11 39 7 23'</f>
        <v>1140.00</v>
      </c>
      <c r="J22" s="249">
        <v>319.06</v>
      </c>
      <c r="K22" s="250">
        <v>820</v>
      </c>
      <c r="L22" s="213">
        <v>18.550274725274761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4">
        <v>0.17670000000000002</v>
      </c>
      <c r="R22" s="41">
        <v>6.5555812065799635E-2</v>
      </c>
      <c r="S22" s="41">
        <v>0.10267327175645956</v>
      </c>
      <c r="T22" s="224">
        <v>0.1467</v>
      </c>
      <c r="U22" s="41">
        <v>0.45099208277957642</v>
      </c>
      <c r="V22" s="41">
        <v>6.5555812065799635E-2</v>
      </c>
      <c r="W22" s="41"/>
      <c r="X22" s="41"/>
      <c r="Y22" s="41"/>
      <c r="Z22" s="41"/>
      <c r="AA22" s="41"/>
      <c r="AB22" s="41"/>
      <c r="AC22" s="41"/>
    </row>
    <row r="23" spans="1:29" x14ac:dyDescent="0.2">
      <c r="B23" s="214">
        <f t="shared" si="4"/>
        <v>37347</v>
      </c>
      <c r="C23" s="213" t="str">
        <f>[2]!'MAL/CLS1 5 55 7 23'</f>
        <v>1541.00</v>
      </c>
      <c r="D23" s="213" t="str">
        <f>[2]!'MCU/CLS1 5 55 7 23'</f>
        <v>1862.00</v>
      </c>
      <c r="E23" s="213" t="str">
        <f t="shared" si="2"/>
        <v xml:space="preserve"> 492.75</v>
      </c>
      <c r="F23" s="123" t="str">
        <f>[2]!'MNI/CLS1 5 55 7 23'</f>
        <v xml:space="preserve">   6985</v>
      </c>
      <c r="G23" s="213">
        <f t="shared" si="1"/>
        <v>5.05</v>
      </c>
      <c r="H23" s="213" t="str">
        <f t="shared" si="3"/>
        <v>5381.00</v>
      </c>
      <c r="I23" s="213" t="str">
        <f>[2]!'MZN/CLS1 5 55 7 23'</f>
        <v>1138.25</v>
      </c>
      <c r="J23" s="249">
        <v>319.06</v>
      </c>
      <c r="K23" s="250">
        <v>820</v>
      </c>
      <c r="L23" s="213">
        <v>18.140384615384658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4">
        <v>0.17670000000000002</v>
      </c>
      <c r="R23" s="41">
        <v>6.5555812065799635E-2</v>
      </c>
      <c r="S23" s="41">
        <v>0.10177147445774104</v>
      </c>
      <c r="T23" s="224">
        <v>0.1467</v>
      </c>
      <c r="U23" s="41">
        <v>0.45099208277957642</v>
      </c>
      <c r="V23" s="41">
        <v>6.5555812065799635E-2</v>
      </c>
      <c r="W23" s="41"/>
      <c r="X23" s="41"/>
      <c r="Y23" s="41"/>
      <c r="Z23" s="41"/>
      <c r="AA23" s="41"/>
      <c r="AB23" s="41"/>
      <c r="AC23" s="41"/>
    </row>
    <row r="24" spans="1:29" x14ac:dyDescent="0.2">
      <c r="B24" s="214">
        <f t="shared" si="4"/>
        <v>37377</v>
      </c>
      <c r="C24" s="213" t="str">
        <f>[2]!'MAL/CLS1 6 55 7 23'</f>
        <v>1540.00</v>
      </c>
      <c r="D24" s="213" t="str">
        <f>[2]!'MCU/CLS1 6 55 7 23'</f>
        <v>1861.00</v>
      </c>
      <c r="E24" s="213" t="str">
        <f t="shared" si="2"/>
        <v xml:space="preserve"> 492.75</v>
      </c>
      <c r="F24" s="123" t="str">
        <f>[2]!'MNI/CLS1 6 55 7 23'</f>
        <v xml:space="preserve">   6960</v>
      </c>
      <c r="G24" s="213">
        <f t="shared" si="1"/>
        <v>5.05</v>
      </c>
      <c r="H24" s="213" t="str">
        <f t="shared" si="3"/>
        <v>5381.00</v>
      </c>
      <c r="I24" s="213" t="str">
        <f>[2]!'MZN/CLS1 6 55 7 23'</f>
        <v>1136.50</v>
      </c>
      <c r="J24" s="249">
        <v>321.5</v>
      </c>
      <c r="K24" s="250">
        <v>820</v>
      </c>
      <c r="L24" s="213">
        <v>17.730494505494555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4">
        <v>0.17670000000000002</v>
      </c>
      <c r="R24" s="41">
        <v>6.5555812065799635E-2</v>
      </c>
      <c r="S24" s="41">
        <v>0.10096050570221553</v>
      </c>
      <c r="T24" s="224">
        <v>0.1467</v>
      </c>
      <c r="U24" s="41">
        <v>0.45099208277957642</v>
      </c>
      <c r="V24" s="41">
        <v>6.5555812065799635E-2</v>
      </c>
      <c r="W24" s="41"/>
      <c r="X24" s="41"/>
      <c r="Y24" s="41"/>
      <c r="Z24" s="41"/>
      <c r="AA24" s="41"/>
      <c r="AB24" s="41"/>
      <c r="AC24" s="41"/>
    </row>
    <row r="25" spans="1:29" x14ac:dyDescent="0.2">
      <c r="B25" s="214">
        <f t="shared" si="4"/>
        <v>37408</v>
      </c>
      <c r="C25" s="213" t="str">
        <f>[2]!'MAL/CLS1 7 55 7 23'</f>
        <v>1539.00</v>
      </c>
      <c r="D25" s="213" t="str">
        <f>[2]!'MCU/CLS1 7 55 7 23'</f>
        <v>1860.00</v>
      </c>
      <c r="E25" s="213" t="str">
        <f t="shared" si="2"/>
        <v xml:space="preserve"> 492.75</v>
      </c>
      <c r="F25" s="123" t="str">
        <f>[2]!'MNI/CLS1 7 55 7 23'</f>
        <v xml:space="preserve">   6935</v>
      </c>
      <c r="G25" s="213">
        <f t="shared" si="1"/>
        <v>5.05</v>
      </c>
      <c r="H25" s="213" t="str">
        <f t="shared" si="3"/>
        <v>5381.00</v>
      </c>
      <c r="I25" s="213" t="str">
        <f>[2]!'MZN/CLS1 7 55 7 23'</f>
        <v>1134.75</v>
      </c>
      <c r="J25" s="249">
        <v>321.5</v>
      </c>
      <c r="K25" s="250">
        <v>820</v>
      </c>
      <c r="L25" s="213">
        <v>17.320604395604452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4">
        <v>0.17670000000000002</v>
      </c>
      <c r="R25" s="41">
        <v>6.5555812065799635E-2</v>
      </c>
      <c r="S25" s="41">
        <v>0.10024380093936239</v>
      </c>
      <c r="T25" s="224">
        <v>0.1467</v>
      </c>
      <c r="U25" s="41">
        <v>0.45099208277957642</v>
      </c>
      <c r="V25" s="41">
        <v>6.5555812065799635E-2</v>
      </c>
      <c r="W25" s="41"/>
      <c r="X25" s="41"/>
      <c r="Y25" s="41"/>
      <c r="Z25" s="41"/>
      <c r="AA25" s="41"/>
      <c r="AB25" s="41"/>
      <c r="AC25" s="41"/>
    </row>
    <row r="26" spans="1:29" x14ac:dyDescent="0.2">
      <c r="B26" s="214">
        <f t="shared" si="4"/>
        <v>37438</v>
      </c>
      <c r="C26" s="213" t="str">
        <f>[2]!'MAL/CLS1 8 55 7 23'</f>
        <v>1538.00</v>
      </c>
      <c r="D26" s="213" t="str">
        <f>[2]!'MCU/CLS1 8 55 7 23'</f>
        <v>1859.00</v>
      </c>
      <c r="E26" s="213" t="str">
        <f t="shared" si="2"/>
        <v xml:space="preserve"> 492.75</v>
      </c>
      <c r="F26" s="123" t="str">
        <f>[2]!'MNI/CLS1 8 55 7 23'</f>
        <v xml:space="preserve">   6910</v>
      </c>
      <c r="G26" s="213">
        <f t="shared" si="1"/>
        <v>5.05</v>
      </c>
      <c r="H26" s="213" t="str">
        <f t="shared" si="3"/>
        <v>5381.00</v>
      </c>
      <c r="I26" s="213" t="str">
        <f>[2]!'MZN/CLS1 8 55 7 23'</f>
        <v>1133.00</v>
      </c>
      <c r="J26" s="249">
        <v>321.5</v>
      </c>
      <c r="K26" s="250">
        <v>820</v>
      </c>
      <c r="L26" s="213">
        <v>17.752049873203763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4">
        <v>0.17670000000000002</v>
      </c>
      <c r="R26" s="41">
        <v>6.5555812065799635E-2</v>
      </c>
      <c r="S26" s="41">
        <v>9.9624649427759879E-2</v>
      </c>
      <c r="T26" s="224">
        <v>0.1467</v>
      </c>
      <c r="U26" s="41">
        <v>0.45099208277957642</v>
      </c>
      <c r="V26" s="41">
        <v>6.5555812065799635E-2</v>
      </c>
      <c r="W26" s="41"/>
      <c r="X26" s="41"/>
      <c r="Y26" s="41"/>
      <c r="Z26" s="41"/>
      <c r="AA26" s="41"/>
      <c r="AB26" s="41"/>
      <c r="AC26" s="41"/>
    </row>
    <row r="27" spans="1:29" s="217" customFormat="1" x14ac:dyDescent="0.2">
      <c r="B27" s="216">
        <f t="shared" si="4"/>
        <v>37469</v>
      </c>
      <c r="C27" s="234" t="str">
        <f>[2]!'MAL/CLS1 9 55 7 23'</f>
        <v>1537.00</v>
      </c>
      <c r="D27" s="234" t="str">
        <f>[2]!'MCU/CLS1 9 55 7 23'</f>
        <v>1858.00</v>
      </c>
      <c r="E27" s="234" t="str">
        <f t="shared" si="2"/>
        <v xml:space="preserve"> 492.75</v>
      </c>
      <c r="F27" s="235" t="str">
        <f>[2]!'MNI/CLS1 9 55 7 23'</f>
        <v xml:space="preserve">   6885</v>
      </c>
      <c r="G27" s="234">
        <f t="shared" si="1"/>
        <v>5.05</v>
      </c>
      <c r="H27" s="234" t="str">
        <f t="shared" si="3"/>
        <v>5381.00</v>
      </c>
      <c r="I27" s="234" t="str">
        <f>[2]!'MZN/CLS1 9 55 7 23'</f>
        <v>1131.25</v>
      </c>
      <c r="J27" s="249">
        <v>326.82</v>
      </c>
      <c r="K27" s="250">
        <v>820</v>
      </c>
      <c r="L27" s="234">
        <v>18.183495350803074</v>
      </c>
      <c r="M27" s="236">
        <v>0.13781093109483755</v>
      </c>
      <c r="N27" s="236">
        <v>0.13902809734457253</v>
      </c>
      <c r="O27" s="236">
        <v>0.11224098893320893</v>
      </c>
      <c r="P27" s="236">
        <v>0.41371857733535328</v>
      </c>
      <c r="Q27" s="242">
        <v>0.17670000000000002</v>
      </c>
      <c r="R27" s="236">
        <v>6.5555812065799635E-2</v>
      </c>
      <c r="S27" s="236">
        <v>9.9104330812487484E-2</v>
      </c>
      <c r="T27" s="242">
        <v>0.1467</v>
      </c>
      <c r="U27" s="236">
        <v>0.45099208277957642</v>
      </c>
      <c r="V27" s="236">
        <v>6.5555812065799635E-2</v>
      </c>
      <c r="W27" s="236"/>
      <c r="X27" s="236"/>
      <c r="Y27" s="236"/>
      <c r="Z27" s="236"/>
      <c r="AA27" s="236"/>
      <c r="AB27" s="236"/>
      <c r="AC27" s="236"/>
    </row>
    <row r="28" spans="1:29" x14ac:dyDescent="0.2">
      <c r="B28" s="214">
        <f t="shared" si="4"/>
        <v>37500</v>
      </c>
      <c r="C28" s="213" t="str">
        <f>C27</f>
        <v>1537.00</v>
      </c>
      <c r="D28" s="213" t="str">
        <f>D27</f>
        <v>1858.00</v>
      </c>
      <c r="E28" s="213" t="str">
        <f t="shared" si="2"/>
        <v xml:space="preserve"> 492.75</v>
      </c>
      <c r="F28" s="123" t="str">
        <f>F27</f>
        <v xml:space="preserve">   6885</v>
      </c>
      <c r="G28" s="213">
        <f t="shared" si="1"/>
        <v>5.05</v>
      </c>
      <c r="H28" s="213" t="str">
        <f t="shared" si="3"/>
        <v>5381.00</v>
      </c>
      <c r="I28" s="213" t="str">
        <f>I27</f>
        <v>1131.25</v>
      </c>
      <c r="J28" s="249">
        <v>326.82</v>
      </c>
      <c r="K28" s="250">
        <v>820</v>
      </c>
      <c r="L28" s="213">
        <v>18.614940828402386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4">
        <v>0.17670000000000002</v>
      </c>
      <c r="R28" s="41">
        <v>6.5555812065799635E-2</v>
      </c>
      <c r="S28" s="41">
        <v>9.8693922528988509E-2</v>
      </c>
      <c r="T28" s="224">
        <v>0.1467</v>
      </c>
      <c r="U28" s="41">
        <v>0.45099208277957642</v>
      </c>
      <c r="V28" s="41">
        <v>6.5555812065799635E-2</v>
      </c>
      <c r="W28" s="41"/>
      <c r="X28" s="41"/>
      <c r="Y28" s="41"/>
      <c r="Z28" s="41"/>
      <c r="AA28" s="41"/>
      <c r="AB28" s="41"/>
      <c r="AC28" s="41"/>
    </row>
    <row r="29" spans="1:29" s="217" customFormat="1" x14ac:dyDescent="0.2">
      <c r="A29" s="237"/>
      <c r="B29" s="238">
        <f t="shared" si="4"/>
        <v>37530</v>
      </c>
      <c r="C29" s="213" t="str">
        <f t="shared" ref="C29:C80" si="5">C28</f>
        <v>1537.00</v>
      </c>
      <c r="D29" s="213" t="str">
        <f t="shared" ref="D29:D80" si="6">D28</f>
        <v>1858.00</v>
      </c>
      <c r="E29" s="213" t="str">
        <f t="shared" si="2"/>
        <v xml:space="preserve"> 492.75</v>
      </c>
      <c r="F29" s="123" t="str">
        <f t="shared" ref="F29:F80" si="7">F28</f>
        <v xml:space="preserve">   6885</v>
      </c>
      <c r="G29" s="213">
        <f t="shared" si="1"/>
        <v>5.05</v>
      </c>
      <c r="H29" s="213" t="str">
        <f t="shared" si="3"/>
        <v>5381.00</v>
      </c>
      <c r="I29" s="213" t="str">
        <f t="shared" ref="I29:I80" si="8">I28</f>
        <v>1131.25</v>
      </c>
      <c r="J29" s="249">
        <v>326.82</v>
      </c>
      <c r="K29" s="250">
        <v>820</v>
      </c>
      <c r="L29" s="213">
        <v>18.614940828402386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4">
        <v>0.17670000000000002</v>
      </c>
      <c r="R29" s="41">
        <v>6.5555812065799635E-2</v>
      </c>
      <c r="S29" s="41">
        <v>9.8693922528988509E-2</v>
      </c>
      <c r="T29" s="224">
        <v>0.1467</v>
      </c>
      <c r="U29" s="41">
        <v>0.45099208277957642</v>
      </c>
      <c r="V29" s="41">
        <v>6.5555812065799635E-2</v>
      </c>
      <c r="W29" s="41"/>
      <c r="X29" s="41"/>
      <c r="Y29" s="41"/>
      <c r="Z29" s="41"/>
      <c r="AA29" s="41"/>
      <c r="AB29" s="41"/>
      <c r="AC29" s="41"/>
    </row>
    <row r="30" spans="1:29" x14ac:dyDescent="0.2">
      <c r="B30" s="214">
        <f t="shared" si="4"/>
        <v>37561</v>
      </c>
      <c r="C30" s="213" t="str">
        <f t="shared" si="5"/>
        <v>1537.00</v>
      </c>
      <c r="D30" s="213" t="str">
        <f t="shared" si="6"/>
        <v>1858.00</v>
      </c>
      <c r="E30" s="213" t="str">
        <f t="shared" si="2"/>
        <v xml:space="preserve"> 492.75</v>
      </c>
      <c r="F30" s="123" t="str">
        <f t="shared" si="7"/>
        <v xml:space="preserve">   6885</v>
      </c>
      <c r="G30" s="213">
        <f t="shared" si="1"/>
        <v>5.05</v>
      </c>
      <c r="H30" s="213" t="str">
        <f t="shared" si="3"/>
        <v>5381.00</v>
      </c>
      <c r="I30" s="213" t="str">
        <f t="shared" si="8"/>
        <v>1131.25</v>
      </c>
      <c r="J30" s="249">
        <v>326.82</v>
      </c>
      <c r="K30" s="250">
        <v>820</v>
      </c>
      <c r="L30" s="213">
        <v>18.614940828402386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4">
        <v>0.17670000000000002</v>
      </c>
      <c r="R30" s="41">
        <v>6.5555812065799635E-2</v>
      </c>
      <c r="S30" s="41">
        <v>9.8693922528988509E-2</v>
      </c>
      <c r="T30" s="224">
        <v>0.1467</v>
      </c>
      <c r="U30" s="41">
        <v>0.45099208277957642</v>
      </c>
      <c r="V30" s="41">
        <v>6.5555812065799635E-2</v>
      </c>
      <c r="W30" s="41"/>
      <c r="X30" s="41"/>
      <c r="Y30" s="41"/>
      <c r="Z30" s="41"/>
      <c r="AA30" s="41"/>
      <c r="AB30" s="41"/>
      <c r="AC30" s="41"/>
    </row>
    <row r="31" spans="1:29" x14ac:dyDescent="0.2">
      <c r="B31" s="214">
        <f t="shared" si="4"/>
        <v>37591</v>
      </c>
      <c r="C31" s="213" t="str">
        <f t="shared" si="5"/>
        <v>1537.00</v>
      </c>
      <c r="D31" s="213" t="str">
        <f t="shared" si="6"/>
        <v>1858.00</v>
      </c>
      <c r="E31" s="213" t="str">
        <f t="shared" si="2"/>
        <v xml:space="preserve"> 492.75</v>
      </c>
      <c r="F31" s="123" t="str">
        <f t="shared" si="7"/>
        <v xml:space="preserve">   6885</v>
      </c>
      <c r="G31" s="213">
        <f t="shared" si="1"/>
        <v>5.05</v>
      </c>
      <c r="H31" s="213" t="str">
        <f t="shared" si="3"/>
        <v>5381.00</v>
      </c>
      <c r="I31" s="213" t="str">
        <f t="shared" si="8"/>
        <v>1131.25</v>
      </c>
      <c r="J31" s="249">
        <v>326.82</v>
      </c>
      <c r="K31" s="250">
        <v>820</v>
      </c>
      <c r="L31" s="213">
        <v>18.614940828402386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4">
        <v>0.17670000000000002</v>
      </c>
      <c r="R31" s="41">
        <v>6.5555812065799635E-2</v>
      </c>
      <c r="S31" s="41">
        <v>9.8693922528988509E-2</v>
      </c>
      <c r="T31" s="224">
        <v>0.1467</v>
      </c>
      <c r="U31" s="41">
        <v>0.45099208277957642</v>
      </c>
      <c r="V31" s="41">
        <v>6.5555812065799635E-2</v>
      </c>
      <c r="W31" s="41"/>
      <c r="X31" s="41"/>
      <c r="Y31" s="41"/>
      <c r="Z31" s="41"/>
      <c r="AA31" s="41"/>
      <c r="AB31" s="41"/>
      <c r="AC31" s="41"/>
    </row>
    <row r="32" spans="1:29" x14ac:dyDescent="0.2">
      <c r="B32" s="214">
        <f t="shared" si="4"/>
        <v>37622</v>
      </c>
      <c r="C32" s="213" t="str">
        <f t="shared" si="5"/>
        <v>1537.00</v>
      </c>
      <c r="D32" s="213" t="str">
        <f t="shared" si="6"/>
        <v>1858.00</v>
      </c>
      <c r="E32" s="213" t="str">
        <f t="shared" si="2"/>
        <v xml:space="preserve"> 492.75</v>
      </c>
      <c r="F32" s="123" t="str">
        <f t="shared" si="7"/>
        <v xml:space="preserve">   6885</v>
      </c>
      <c r="G32" s="213">
        <f t="shared" si="1"/>
        <v>5.05</v>
      </c>
      <c r="H32" s="213" t="str">
        <f t="shared" si="3"/>
        <v>5381.00</v>
      </c>
      <c r="I32" s="213" t="str">
        <f t="shared" si="8"/>
        <v>1131.25</v>
      </c>
      <c r="J32" s="249">
        <v>326.82</v>
      </c>
      <c r="K32" s="250">
        <v>820</v>
      </c>
      <c r="L32" s="213">
        <v>18.614940828402386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4">
        <v>0.17670000000000002</v>
      </c>
      <c r="R32" s="41">
        <v>6.5555812065799635E-2</v>
      </c>
      <c r="S32" s="41">
        <v>9.8693922528988509E-2</v>
      </c>
      <c r="T32" s="224">
        <v>0.1467</v>
      </c>
      <c r="U32" s="41">
        <v>0.45099208277957642</v>
      </c>
      <c r="V32" s="41">
        <v>6.5555812065799635E-2</v>
      </c>
      <c r="W32" s="41"/>
      <c r="X32" s="41"/>
      <c r="Y32" s="41"/>
      <c r="Z32" s="41"/>
      <c r="AA32" s="41"/>
      <c r="AB32" s="41"/>
      <c r="AC32" s="41"/>
    </row>
    <row r="33" spans="2:29" x14ac:dyDescent="0.2">
      <c r="B33" s="214">
        <f t="shared" si="4"/>
        <v>37653</v>
      </c>
      <c r="C33" s="213" t="str">
        <f t="shared" si="5"/>
        <v>1537.00</v>
      </c>
      <c r="D33" s="213" t="str">
        <f t="shared" si="6"/>
        <v>1858.00</v>
      </c>
      <c r="E33" s="213" t="str">
        <f t="shared" si="2"/>
        <v xml:space="preserve"> 492.75</v>
      </c>
      <c r="F33" s="123" t="str">
        <f t="shared" si="7"/>
        <v xml:space="preserve">   6885</v>
      </c>
      <c r="G33" s="213">
        <f t="shared" si="1"/>
        <v>5.05</v>
      </c>
      <c r="H33" s="213" t="str">
        <f t="shared" si="3"/>
        <v>5381.00</v>
      </c>
      <c r="I33" s="213" t="str">
        <f t="shared" si="8"/>
        <v>1131.25</v>
      </c>
      <c r="J33" s="249">
        <v>326.82</v>
      </c>
      <c r="K33" s="250">
        <v>820</v>
      </c>
      <c r="L33" s="213">
        <v>18.614940828402386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4">
        <v>0.17670000000000002</v>
      </c>
      <c r="R33" s="41">
        <v>6.5555812065799635E-2</v>
      </c>
      <c r="S33" s="41">
        <v>9.8693922528988509E-2</v>
      </c>
      <c r="T33" s="224">
        <v>0.1467</v>
      </c>
      <c r="U33" s="41">
        <v>0.45099208277957642</v>
      </c>
      <c r="V33" s="41">
        <v>6.5555812065799635E-2</v>
      </c>
      <c r="W33" s="41"/>
      <c r="X33" s="41"/>
      <c r="Y33" s="41"/>
      <c r="Z33" s="41"/>
      <c r="AA33" s="41"/>
      <c r="AB33" s="41"/>
      <c r="AC33" s="41"/>
    </row>
    <row r="34" spans="2:29" s="217" customFormat="1" x14ac:dyDescent="0.2">
      <c r="B34" s="216">
        <f t="shared" si="4"/>
        <v>37681</v>
      </c>
      <c r="C34" s="234" t="str">
        <f t="shared" si="5"/>
        <v>1537.00</v>
      </c>
      <c r="D34" s="234" t="str">
        <f t="shared" si="6"/>
        <v>1858.00</v>
      </c>
      <c r="E34" s="234" t="str">
        <f t="shared" si="2"/>
        <v xml:space="preserve"> 492.75</v>
      </c>
      <c r="F34" s="235" t="str">
        <f t="shared" si="7"/>
        <v xml:space="preserve">   6885</v>
      </c>
      <c r="G34" s="234">
        <f t="shared" si="1"/>
        <v>5.05</v>
      </c>
      <c r="H34" s="234" t="str">
        <f t="shared" si="3"/>
        <v>5381.00</v>
      </c>
      <c r="I34" s="234" t="str">
        <f t="shared" si="8"/>
        <v>1131.25</v>
      </c>
      <c r="J34" s="249">
        <f>J33</f>
        <v>326.82</v>
      </c>
      <c r="K34" s="250">
        <v>820</v>
      </c>
      <c r="L34" s="234">
        <v>18.614940828402386</v>
      </c>
      <c r="M34" s="236">
        <v>0.13576809766503367</v>
      </c>
      <c r="N34" s="236">
        <v>0.13807688716276326</v>
      </c>
      <c r="O34" s="236">
        <v>0.11224098893320893</v>
      </c>
      <c r="P34" s="236">
        <v>0.41988050205287181</v>
      </c>
      <c r="Q34" s="242">
        <f>Q33</f>
        <v>0.17670000000000002</v>
      </c>
      <c r="R34" s="236">
        <v>6.5555812065799635E-2</v>
      </c>
      <c r="S34" s="236">
        <v>9.8693922528988509E-2</v>
      </c>
      <c r="T34" s="242">
        <f>T33</f>
        <v>0.1467</v>
      </c>
      <c r="U34" s="236">
        <v>0.45099208277957642</v>
      </c>
      <c r="V34" s="236">
        <v>6.5555812065799635E-2</v>
      </c>
      <c r="W34" s="236"/>
      <c r="X34" s="236"/>
      <c r="Y34" s="236"/>
      <c r="Z34" s="236"/>
      <c r="AA34" s="236"/>
      <c r="AB34" s="236"/>
      <c r="AC34" s="236"/>
    </row>
    <row r="35" spans="2:29" x14ac:dyDescent="0.2">
      <c r="B35" s="214">
        <f t="shared" si="4"/>
        <v>37712</v>
      </c>
      <c r="C35" s="213" t="str">
        <f t="shared" si="5"/>
        <v>1537.00</v>
      </c>
      <c r="D35" s="213" t="str">
        <f t="shared" si="6"/>
        <v>1858.00</v>
      </c>
      <c r="E35" s="213" t="str">
        <f t="shared" si="2"/>
        <v xml:space="preserve"> 492.75</v>
      </c>
      <c r="F35" s="123" t="str">
        <f t="shared" si="7"/>
        <v xml:space="preserve">   6885</v>
      </c>
      <c r="G35" s="213">
        <f t="shared" si="1"/>
        <v>5.05</v>
      </c>
      <c r="H35" s="213" t="str">
        <f t="shared" si="3"/>
        <v>5381.00</v>
      </c>
      <c r="I35" s="213" t="str">
        <f t="shared" si="8"/>
        <v>1131.25</v>
      </c>
      <c r="J35" s="249">
        <f t="shared" ref="J35:J80" si="9">J34</f>
        <v>326.82</v>
      </c>
      <c r="K35" s="250">
        <v>820</v>
      </c>
      <c r="L35" s="213">
        <v>18.614940828402386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4">
        <f>Q34</f>
        <v>0.17670000000000002</v>
      </c>
      <c r="R35" s="41">
        <v>6.5555812065799635E-2</v>
      </c>
      <c r="S35" s="41">
        <v>9.8693922528988509E-2</v>
      </c>
      <c r="T35" s="224">
        <f>T34</f>
        <v>0.1467</v>
      </c>
      <c r="U35" s="41">
        <v>0.45099208277957642</v>
      </c>
      <c r="V35" s="41">
        <v>6.5555812065799635E-2</v>
      </c>
      <c r="W35" s="41"/>
      <c r="X35" s="41"/>
      <c r="Y35" s="41"/>
      <c r="Z35" s="41"/>
      <c r="AA35" s="41"/>
      <c r="AB35" s="41"/>
      <c r="AC35" s="41"/>
    </row>
    <row r="36" spans="2:29" x14ac:dyDescent="0.2">
      <c r="B36" s="214">
        <f t="shared" ref="B36:B51" si="10">DATE(YEAR(B35),MONTH(B35)+1,1)</f>
        <v>37742</v>
      </c>
      <c r="C36" s="213" t="str">
        <f t="shared" si="5"/>
        <v>1537.00</v>
      </c>
      <c r="D36" s="213" t="str">
        <f t="shared" si="6"/>
        <v>1858.00</v>
      </c>
      <c r="E36" s="213" t="str">
        <f t="shared" si="2"/>
        <v xml:space="preserve"> 492.75</v>
      </c>
      <c r="F36" s="123" t="str">
        <f t="shared" si="7"/>
        <v xml:space="preserve">   6885</v>
      </c>
      <c r="G36" s="213">
        <f t="shared" si="1"/>
        <v>5.05</v>
      </c>
      <c r="H36" s="213" t="str">
        <f t="shared" si="3"/>
        <v>5381.00</v>
      </c>
      <c r="I36" s="213" t="str">
        <f t="shared" si="8"/>
        <v>1131.25</v>
      </c>
      <c r="J36" s="249">
        <f t="shared" si="9"/>
        <v>326.82</v>
      </c>
      <c r="K36" s="250">
        <v>820</v>
      </c>
      <c r="L36" s="213">
        <v>18.614940828402386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4">
        <f t="shared" ref="Q36:Q80" si="11">Q35</f>
        <v>0.17670000000000002</v>
      </c>
      <c r="R36" s="41">
        <v>6.5555812065799635E-2</v>
      </c>
      <c r="S36" s="41">
        <v>9.8693922528988509E-2</v>
      </c>
      <c r="T36" s="224">
        <f t="shared" ref="T36:T80" si="12">T35</f>
        <v>0.1467</v>
      </c>
      <c r="U36" s="41">
        <v>0.45099208277957642</v>
      </c>
      <c r="V36" s="41">
        <v>6.5555812065799635E-2</v>
      </c>
      <c r="W36" s="41"/>
      <c r="X36" s="41"/>
      <c r="Y36" s="41"/>
      <c r="Z36" s="41"/>
      <c r="AA36" s="41"/>
      <c r="AB36" s="41"/>
      <c r="AC36" s="41"/>
    </row>
    <row r="37" spans="2:29" x14ac:dyDescent="0.2">
      <c r="B37" s="214">
        <f t="shared" si="10"/>
        <v>37773</v>
      </c>
      <c r="C37" s="213" t="str">
        <f t="shared" si="5"/>
        <v>1537.00</v>
      </c>
      <c r="D37" s="213" t="str">
        <f t="shared" si="6"/>
        <v>1858.00</v>
      </c>
      <c r="E37" s="213" t="str">
        <f t="shared" si="2"/>
        <v xml:space="preserve"> 492.75</v>
      </c>
      <c r="F37" s="123" t="str">
        <f t="shared" si="7"/>
        <v xml:space="preserve">   6885</v>
      </c>
      <c r="G37" s="213">
        <f t="shared" si="1"/>
        <v>5.05</v>
      </c>
      <c r="H37" s="213" t="str">
        <f t="shared" si="3"/>
        <v>5381.00</v>
      </c>
      <c r="I37" s="213" t="str">
        <f t="shared" si="8"/>
        <v>1131.25</v>
      </c>
      <c r="J37" s="249">
        <f t="shared" si="9"/>
        <v>326.82</v>
      </c>
      <c r="K37" s="250">
        <v>820</v>
      </c>
      <c r="L37" s="213">
        <v>18.614940828402386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4">
        <f t="shared" si="11"/>
        <v>0.17670000000000002</v>
      </c>
      <c r="R37" s="41">
        <v>6.5555812065799635E-2</v>
      </c>
      <c r="S37" s="41">
        <v>9.8693922528988509E-2</v>
      </c>
      <c r="T37" s="224">
        <f t="shared" si="12"/>
        <v>0.1467</v>
      </c>
      <c r="U37" s="41">
        <v>0.45099208277957642</v>
      </c>
      <c r="V37" s="41">
        <v>6.5555812065799635E-2</v>
      </c>
      <c r="W37" s="41"/>
      <c r="X37" s="41"/>
      <c r="Y37" s="41"/>
      <c r="Z37" s="41"/>
      <c r="AA37" s="41"/>
      <c r="AB37" s="41"/>
      <c r="AC37" s="41"/>
    </row>
    <row r="38" spans="2:29" x14ac:dyDescent="0.2">
      <c r="B38" s="214">
        <f t="shared" si="10"/>
        <v>37803</v>
      </c>
      <c r="C38" s="213" t="str">
        <f t="shared" si="5"/>
        <v>1537.00</v>
      </c>
      <c r="D38" s="213" t="str">
        <f t="shared" si="6"/>
        <v>1858.00</v>
      </c>
      <c r="E38" s="213" t="str">
        <f t="shared" si="2"/>
        <v xml:space="preserve"> 492.75</v>
      </c>
      <c r="F38" s="123" t="str">
        <f t="shared" si="7"/>
        <v xml:space="preserve">   6885</v>
      </c>
      <c r="G38" s="213">
        <f t="shared" si="1"/>
        <v>5.05</v>
      </c>
      <c r="H38" s="213" t="str">
        <f t="shared" si="3"/>
        <v>5381.00</v>
      </c>
      <c r="I38" s="213" t="str">
        <f t="shared" si="8"/>
        <v>1131.25</v>
      </c>
      <c r="J38" s="249">
        <f t="shared" si="9"/>
        <v>326.82</v>
      </c>
      <c r="K38" s="250">
        <v>820</v>
      </c>
      <c r="L38" s="213">
        <v>18.614940828402386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4">
        <f t="shared" si="11"/>
        <v>0.17670000000000002</v>
      </c>
      <c r="R38" s="41">
        <v>6.5555812065799635E-2</v>
      </c>
      <c r="S38" s="41">
        <v>9.8693922528988509E-2</v>
      </c>
      <c r="T38" s="224">
        <f t="shared" si="12"/>
        <v>0.1467</v>
      </c>
      <c r="U38" s="41">
        <v>0.45099208277957642</v>
      </c>
      <c r="V38" s="41">
        <v>6.5555812065799635E-2</v>
      </c>
      <c r="W38" s="41"/>
      <c r="X38" s="41"/>
      <c r="Y38" s="41"/>
      <c r="Z38" s="41"/>
      <c r="AA38" s="41"/>
      <c r="AB38" s="41"/>
      <c r="AC38" s="41"/>
    </row>
    <row r="39" spans="2:29" x14ac:dyDescent="0.2">
      <c r="B39" s="214">
        <f t="shared" si="10"/>
        <v>37834</v>
      </c>
      <c r="C39" s="213" t="str">
        <f t="shared" si="5"/>
        <v>1537.00</v>
      </c>
      <c r="D39" s="213" t="str">
        <f t="shared" si="6"/>
        <v>1858.00</v>
      </c>
      <c r="E39" s="213" t="str">
        <f t="shared" si="2"/>
        <v xml:space="preserve"> 492.75</v>
      </c>
      <c r="F39" s="123" t="str">
        <f t="shared" si="7"/>
        <v xml:space="preserve">   6885</v>
      </c>
      <c r="G39" s="213">
        <f t="shared" si="1"/>
        <v>5.05</v>
      </c>
      <c r="H39" s="213" t="str">
        <f t="shared" si="3"/>
        <v>5381.00</v>
      </c>
      <c r="I39" s="213" t="str">
        <f t="shared" si="8"/>
        <v>1131.25</v>
      </c>
      <c r="J39" s="249">
        <f t="shared" si="9"/>
        <v>326.82</v>
      </c>
      <c r="K39" s="250">
        <v>820</v>
      </c>
      <c r="L39" s="213">
        <v>18.614940828402386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4">
        <f t="shared" si="11"/>
        <v>0.17670000000000002</v>
      </c>
      <c r="R39" s="41">
        <v>6.5555812065799635E-2</v>
      </c>
      <c r="S39" s="41">
        <v>9.8693922528988509E-2</v>
      </c>
      <c r="T39" s="224">
        <f t="shared" si="12"/>
        <v>0.1467</v>
      </c>
      <c r="U39" s="41">
        <v>0.45099208277957642</v>
      </c>
      <c r="V39" s="41">
        <v>6.5555812065799635E-2</v>
      </c>
      <c r="W39" s="41"/>
      <c r="X39" s="41"/>
      <c r="Y39" s="41"/>
      <c r="Z39" s="41"/>
      <c r="AA39" s="41"/>
      <c r="AB39" s="41"/>
      <c r="AC39" s="41"/>
    </row>
    <row r="40" spans="2:29" x14ac:dyDescent="0.2">
      <c r="B40" s="214">
        <f t="shared" si="10"/>
        <v>37865</v>
      </c>
      <c r="C40" s="213" t="str">
        <f t="shared" si="5"/>
        <v>1537.00</v>
      </c>
      <c r="D40" s="213" t="str">
        <f t="shared" si="6"/>
        <v>1858.00</v>
      </c>
      <c r="E40" s="213" t="str">
        <f t="shared" si="2"/>
        <v xml:space="preserve"> 492.75</v>
      </c>
      <c r="F40" s="123" t="str">
        <f t="shared" si="7"/>
        <v xml:space="preserve">   6885</v>
      </c>
      <c r="G40" s="213">
        <f t="shared" si="1"/>
        <v>5.05</v>
      </c>
      <c r="H40" s="213" t="str">
        <f t="shared" si="3"/>
        <v>5381.00</v>
      </c>
      <c r="I40" s="213" t="str">
        <f t="shared" si="8"/>
        <v>1131.25</v>
      </c>
      <c r="J40" s="249">
        <f t="shared" si="9"/>
        <v>326.82</v>
      </c>
      <c r="K40" s="250">
        <v>820</v>
      </c>
      <c r="L40" s="213">
        <v>18.614940828402386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4">
        <f t="shared" si="11"/>
        <v>0.17670000000000002</v>
      </c>
      <c r="R40" s="41">
        <v>6.5555812065799635E-2</v>
      </c>
      <c r="S40" s="41">
        <v>9.8693922528988509E-2</v>
      </c>
      <c r="T40" s="224">
        <f t="shared" si="12"/>
        <v>0.1467</v>
      </c>
      <c r="U40" s="41">
        <v>0.45099208277957642</v>
      </c>
      <c r="V40" s="41">
        <v>6.5555812065799635E-2</v>
      </c>
      <c r="W40" s="41"/>
      <c r="X40" s="41"/>
      <c r="Y40" s="41"/>
      <c r="Z40" s="41"/>
      <c r="AA40" s="41"/>
      <c r="AB40" s="41"/>
      <c r="AC40" s="41"/>
    </row>
    <row r="41" spans="2:29" x14ac:dyDescent="0.2">
      <c r="B41" s="214">
        <f t="shared" si="10"/>
        <v>37895</v>
      </c>
      <c r="C41" s="213" t="str">
        <f t="shared" si="5"/>
        <v>1537.00</v>
      </c>
      <c r="D41" s="213" t="str">
        <f t="shared" si="6"/>
        <v>1858.00</v>
      </c>
      <c r="E41" s="213" t="str">
        <f t="shared" si="2"/>
        <v xml:space="preserve"> 492.75</v>
      </c>
      <c r="F41" s="123" t="str">
        <f t="shared" si="7"/>
        <v xml:space="preserve">   6885</v>
      </c>
      <c r="G41" s="213">
        <f t="shared" si="1"/>
        <v>5.05</v>
      </c>
      <c r="H41" s="213" t="str">
        <f t="shared" si="3"/>
        <v>5381.00</v>
      </c>
      <c r="I41" s="213" t="str">
        <f t="shared" si="8"/>
        <v>1131.25</v>
      </c>
      <c r="J41" s="249">
        <f t="shared" si="9"/>
        <v>326.82</v>
      </c>
      <c r="K41" s="250">
        <v>820</v>
      </c>
      <c r="L41" s="213">
        <v>18.614940828402386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4">
        <f t="shared" si="11"/>
        <v>0.17670000000000002</v>
      </c>
      <c r="R41" s="41">
        <v>6.5555812065799635E-2</v>
      </c>
      <c r="S41" s="41">
        <v>9.8693922528988509E-2</v>
      </c>
      <c r="T41" s="224">
        <f t="shared" si="12"/>
        <v>0.1467</v>
      </c>
      <c r="U41" s="41">
        <v>0.45099208277957642</v>
      </c>
      <c r="V41" s="41">
        <v>6.5555812065799635E-2</v>
      </c>
      <c r="W41" s="41"/>
      <c r="X41" s="41"/>
      <c r="Y41" s="41"/>
      <c r="Z41" s="41"/>
      <c r="AA41" s="41"/>
      <c r="AB41" s="41"/>
      <c r="AC41" s="41"/>
    </row>
    <row r="42" spans="2:29" x14ac:dyDescent="0.2">
      <c r="B42" s="214">
        <f t="shared" si="10"/>
        <v>37926</v>
      </c>
      <c r="C42" s="213" t="str">
        <f t="shared" si="5"/>
        <v>1537.00</v>
      </c>
      <c r="D42" s="213" t="str">
        <f t="shared" si="6"/>
        <v>1858.00</v>
      </c>
      <c r="E42" s="213" t="str">
        <f t="shared" si="2"/>
        <v xml:space="preserve"> 492.75</v>
      </c>
      <c r="F42" s="123" t="str">
        <f t="shared" si="7"/>
        <v xml:space="preserve">   6885</v>
      </c>
      <c r="G42" s="213">
        <f t="shared" si="1"/>
        <v>5.05</v>
      </c>
      <c r="H42" s="213" t="str">
        <f t="shared" si="3"/>
        <v>5381.00</v>
      </c>
      <c r="I42" s="213" t="str">
        <f t="shared" si="8"/>
        <v>1131.25</v>
      </c>
      <c r="J42" s="249">
        <f t="shared" si="9"/>
        <v>326.82</v>
      </c>
      <c r="K42" s="250">
        <v>820</v>
      </c>
      <c r="L42" s="213">
        <v>18.614940828402386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4">
        <f t="shared" si="11"/>
        <v>0.17670000000000002</v>
      </c>
      <c r="R42" s="41">
        <v>6.5555812065799635E-2</v>
      </c>
      <c r="S42" s="41">
        <v>9.8693922528988509E-2</v>
      </c>
      <c r="T42" s="224">
        <f t="shared" si="12"/>
        <v>0.1467</v>
      </c>
      <c r="U42" s="41">
        <v>0.45099208277957642</v>
      </c>
      <c r="V42" s="41">
        <v>6.5555812065799635E-2</v>
      </c>
      <c r="W42" s="41"/>
      <c r="X42" s="41"/>
      <c r="Y42" s="41"/>
      <c r="Z42" s="41"/>
      <c r="AA42" s="41"/>
      <c r="AB42" s="41"/>
      <c r="AC42" s="41"/>
    </row>
    <row r="43" spans="2:29" x14ac:dyDescent="0.2">
      <c r="B43" s="214">
        <f t="shared" si="10"/>
        <v>37956</v>
      </c>
      <c r="C43" s="213" t="str">
        <f t="shared" si="5"/>
        <v>1537.00</v>
      </c>
      <c r="D43" s="213" t="str">
        <f t="shared" si="6"/>
        <v>1858.00</v>
      </c>
      <c r="E43" s="213" t="str">
        <f t="shared" si="2"/>
        <v xml:space="preserve"> 492.75</v>
      </c>
      <c r="F43" s="123" t="str">
        <f t="shared" si="7"/>
        <v xml:space="preserve">   6885</v>
      </c>
      <c r="G43" s="213">
        <f t="shared" si="1"/>
        <v>5.05</v>
      </c>
      <c r="H43" s="213" t="str">
        <f t="shared" si="3"/>
        <v>5381.00</v>
      </c>
      <c r="I43" s="213" t="str">
        <f t="shared" si="8"/>
        <v>1131.25</v>
      </c>
      <c r="J43" s="249">
        <f t="shared" si="9"/>
        <v>326.82</v>
      </c>
      <c r="K43" s="250">
        <v>820</v>
      </c>
      <c r="L43" s="213">
        <v>18.614940828402386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4">
        <f t="shared" si="11"/>
        <v>0.17670000000000002</v>
      </c>
      <c r="R43" s="41">
        <v>6.5555812065799635E-2</v>
      </c>
      <c r="S43" s="41">
        <v>9.8693922528988509E-2</v>
      </c>
      <c r="T43" s="224">
        <f t="shared" si="12"/>
        <v>0.1467</v>
      </c>
      <c r="U43" s="41">
        <v>0.45099208277957642</v>
      </c>
      <c r="V43" s="41">
        <v>6.5555812065799635E-2</v>
      </c>
      <c r="W43" s="41"/>
      <c r="X43" s="41"/>
      <c r="Y43" s="41"/>
      <c r="Z43" s="41"/>
      <c r="AA43" s="41"/>
      <c r="AB43" s="41"/>
      <c r="AC43" s="41"/>
    </row>
    <row r="44" spans="2:29" x14ac:dyDescent="0.2">
      <c r="B44" s="214">
        <f t="shared" si="10"/>
        <v>37987</v>
      </c>
      <c r="C44" s="213" t="str">
        <f t="shared" si="5"/>
        <v>1537.00</v>
      </c>
      <c r="D44" s="213" t="str">
        <f t="shared" si="6"/>
        <v>1858.00</v>
      </c>
      <c r="E44" s="213" t="str">
        <f t="shared" si="2"/>
        <v xml:space="preserve"> 492.75</v>
      </c>
      <c r="F44" s="123" t="str">
        <f t="shared" si="7"/>
        <v xml:space="preserve">   6885</v>
      </c>
      <c r="G44" s="213">
        <f t="shared" si="1"/>
        <v>5.05</v>
      </c>
      <c r="H44" s="213" t="str">
        <f t="shared" si="3"/>
        <v>5381.00</v>
      </c>
      <c r="I44" s="213" t="str">
        <f t="shared" si="8"/>
        <v>1131.25</v>
      </c>
      <c r="J44" s="249">
        <f t="shared" si="9"/>
        <v>326.82</v>
      </c>
      <c r="K44" s="250">
        <v>820</v>
      </c>
      <c r="L44" s="213">
        <v>18.614940828402386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4">
        <f t="shared" si="11"/>
        <v>0.17670000000000002</v>
      </c>
      <c r="R44" s="41">
        <v>6.5555812065799635E-2</v>
      </c>
      <c r="S44" s="41">
        <v>9.8693922528988509E-2</v>
      </c>
      <c r="T44" s="224">
        <f t="shared" si="12"/>
        <v>0.1467</v>
      </c>
      <c r="U44" s="41">
        <v>0.45099208277957642</v>
      </c>
      <c r="V44" s="41">
        <v>6.5555812065799635E-2</v>
      </c>
      <c r="W44" s="41"/>
      <c r="X44" s="41"/>
      <c r="Y44" s="41"/>
      <c r="Z44" s="41"/>
      <c r="AA44" s="41"/>
      <c r="AB44" s="41"/>
      <c r="AC44" s="41"/>
    </row>
    <row r="45" spans="2:29" x14ac:dyDescent="0.2">
      <c r="B45" s="214">
        <f t="shared" si="10"/>
        <v>38018</v>
      </c>
      <c r="C45" s="213" t="str">
        <f t="shared" si="5"/>
        <v>1537.00</v>
      </c>
      <c r="D45" s="213" t="str">
        <f t="shared" si="6"/>
        <v>1858.00</v>
      </c>
      <c r="E45" s="213" t="str">
        <f t="shared" si="2"/>
        <v xml:space="preserve"> 492.75</v>
      </c>
      <c r="F45" s="123" t="str">
        <f t="shared" si="7"/>
        <v xml:space="preserve">   6885</v>
      </c>
      <c r="G45" s="213">
        <f t="shared" si="1"/>
        <v>5.05</v>
      </c>
      <c r="H45" s="213" t="str">
        <f t="shared" si="3"/>
        <v>5381.00</v>
      </c>
      <c r="I45" s="213" t="str">
        <f t="shared" si="8"/>
        <v>1131.25</v>
      </c>
      <c r="J45" s="249">
        <f t="shared" si="9"/>
        <v>326.82</v>
      </c>
      <c r="K45" s="250">
        <v>820</v>
      </c>
      <c r="L45" s="213">
        <v>18.614940828402386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4">
        <f t="shared" si="11"/>
        <v>0.17670000000000002</v>
      </c>
      <c r="R45" s="41">
        <v>6.5555812065799635E-2</v>
      </c>
      <c r="S45" s="41">
        <v>9.8693922528988509E-2</v>
      </c>
      <c r="T45" s="224">
        <f t="shared" si="12"/>
        <v>0.1467</v>
      </c>
      <c r="U45" s="41">
        <v>0.45099208277957642</v>
      </c>
      <c r="V45" s="41">
        <v>6.5555812065799635E-2</v>
      </c>
      <c r="W45" s="41"/>
      <c r="X45" s="41"/>
      <c r="Y45" s="41"/>
      <c r="Z45" s="41"/>
      <c r="AA45" s="41"/>
      <c r="AB45" s="41"/>
      <c r="AC45" s="41"/>
    </row>
    <row r="46" spans="2:29" x14ac:dyDescent="0.2">
      <c r="B46" s="214">
        <f t="shared" si="10"/>
        <v>38047</v>
      </c>
      <c r="C46" s="213" t="str">
        <f t="shared" si="5"/>
        <v>1537.00</v>
      </c>
      <c r="D46" s="213" t="str">
        <f t="shared" si="6"/>
        <v>1858.00</v>
      </c>
      <c r="E46" s="213" t="str">
        <f t="shared" si="2"/>
        <v xml:space="preserve"> 492.75</v>
      </c>
      <c r="F46" s="123" t="str">
        <f t="shared" si="7"/>
        <v xml:space="preserve">   6885</v>
      </c>
      <c r="G46" s="213">
        <f t="shared" si="1"/>
        <v>5.05</v>
      </c>
      <c r="H46" s="213" t="str">
        <f t="shared" si="3"/>
        <v>5381.00</v>
      </c>
      <c r="I46" s="213" t="str">
        <f t="shared" si="8"/>
        <v>1131.25</v>
      </c>
      <c r="J46" s="249">
        <f t="shared" si="9"/>
        <v>326.82</v>
      </c>
      <c r="K46" s="250">
        <v>820</v>
      </c>
      <c r="L46" s="213">
        <v>18.614940828402386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4">
        <f t="shared" si="11"/>
        <v>0.17670000000000002</v>
      </c>
      <c r="R46" s="41">
        <v>6.5555812065799635E-2</v>
      </c>
      <c r="S46" s="41">
        <v>9.8693922528988509E-2</v>
      </c>
      <c r="T46" s="224">
        <f t="shared" si="12"/>
        <v>0.1467</v>
      </c>
      <c r="U46" s="41">
        <v>0.45099208277957642</v>
      </c>
      <c r="V46" s="41">
        <v>6.5555812065799635E-2</v>
      </c>
      <c r="W46" s="41"/>
      <c r="X46" s="41"/>
      <c r="Y46" s="41"/>
      <c r="Z46" s="41"/>
      <c r="AA46" s="41"/>
      <c r="AB46" s="41"/>
      <c r="AC46" s="41"/>
    </row>
    <row r="47" spans="2:29" x14ac:dyDescent="0.2">
      <c r="B47" s="214">
        <f t="shared" si="10"/>
        <v>38078</v>
      </c>
      <c r="C47" s="213" t="str">
        <f t="shared" si="5"/>
        <v>1537.00</v>
      </c>
      <c r="D47" s="213" t="str">
        <f t="shared" si="6"/>
        <v>1858.00</v>
      </c>
      <c r="E47" s="213" t="str">
        <f t="shared" si="2"/>
        <v xml:space="preserve"> 492.75</v>
      </c>
      <c r="F47" s="123" t="str">
        <f t="shared" si="7"/>
        <v xml:space="preserve">   6885</v>
      </c>
      <c r="G47" s="213">
        <f t="shared" si="1"/>
        <v>5.05</v>
      </c>
      <c r="H47" s="213" t="str">
        <f t="shared" si="3"/>
        <v>5381.00</v>
      </c>
      <c r="I47" s="213" t="str">
        <f t="shared" si="8"/>
        <v>1131.25</v>
      </c>
      <c r="J47" s="249">
        <f t="shared" si="9"/>
        <v>326.82</v>
      </c>
      <c r="K47" s="250">
        <v>820</v>
      </c>
      <c r="L47" s="213">
        <v>18.614940828402386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4">
        <f t="shared" si="11"/>
        <v>0.17670000000000002</v>
      </c>
      <c r="R47" s="41">
        <v>6.5555812065799635E-2</v>
      </c>
      <c r="S47" s="41">
        <v>9.8693922528988509E-2</v>
      </c>
      <c r="T47" s="224">
        <f t="shared" si="12"/>
        <v>0.1467</v>
      </c>
      <c r="U47" s="41">
        <v>0.45099208277957642</v>
      </c>
      <c r="V47" s="41">
        <v>6.5555812065799635E-2</v>
      </c>
      <c r="W47" s="41"/>
      <c r="X47" s="41"/>
      <c r="Y47" s="41"/>
      <c r="Z47" s="41"/>
      <c r="AA47" s="41"/>
      <c r="AB47" s="41"/>
      <c r="AC47" s="41"/>
    </row>
    <row r="48" spans="2:29" x14ac:dyDescent="0.2">
      <c r="B48" s="214">
        <f t="shared" si="10"/>
        <v>38108</v>
      </c>
      <c r="C48" s="213" t="str">
        <f t="shared" si="5"/>
        <v>1537.00</v>
      </c>
      <c r="D48" s="213" t="str">
        <f t="shared" si="6"/>
        <v>1858.00</v>
      </c>
      <c r="E48" s="213" t="str">
        <f t="shared" si="2"/>
        <v xml:space="preserve"> 492.75</v>
      </c>
      <c r="F48" s="123" t="str">
        <f t="shared" si="7"/>
        <v xml:space="preserve">   6885</v>
      </c>
      <c r="G48" s="213">
        <f t="shared" si="1"/>
        <v>5.05</v>
      </c>
      <c r="H48" s="213" t="str">
        <f t="shared" si="3"/>
        <v>5381.00</v>
      </c>
      <c r="I48" s="213" t="str">
        <f t="shared" si="8"/>
        <v>1131.25</v>
      </c>
      <c r="J48" s="249">
        <f t="shared" si="9"/>
        <v>326.82</v>
      </c>
      <c r="K48" s="250">
        <v>820</v>
      </c>
      <c r="L48" s="213">
        <v>18.614940828402386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4">
        <f t="shared" si="11"/>
        <v>0.17670000000000002</v>
      </c>
      <c r="R48" s="41">
        <v>6.5555812065799635E-2</v>
      </c>
      <c r="S48" s="41">
        <v>9.8693922528988509E-2</v>
      </c>
      <c r="T48" s="224">
        <f t="shared" si="12"/>
        <v>0.1467</v>
      </c>
      <c r="U48" s="41">
        <v>0.45099208277957642</v>
      </c>
      <c r="V48" s="41">
        <v>6.5555812065799635E-2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4">
        <f t="shared" si="10"/>
        <v>38139</v>
      </c>
      <c r="C49" s="213" t="str">
        <f t="shared" si="5"/>
        <v>1537.00</v>
      </c>
      <c r="D49" s="213" t="str">
        <f t="shared" si="6"/>
        <v>1858.00</v>
      </c>
      <c r="E49" s="213" t="str">
        <f t="shared" si="2"/>
        <v xml:space="preserve"> 492.75</v>
      </c>
      <c r="F49" s="123" t="str">
        <f t="shared" si="7"/>
        <v xml:space="preserve">   6885</v>
      </c>
      <c r="G49" s="213">
        <f t="shared" si="1"/>
        <v>5.05</v>
      </c>
      <c r="H49" s="213" t="str">
        <f t="shared" si="3"/>
        <v>5381.00</v>
      </c>
      <c r="I49" s="213" t="str">
        <f t="shared" si="8"/>
        <v>1131.25</v>
      </c>
      <c r="J49" s="249">
        <f t="shared" si="9"/>
        <v>326.82</v>
      </c>
      <c r="K49" s="250">
        <v>820</v>
      </c>
      <c r="L49" s="213">
        <v>18.614940828402386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4">
        <f t="shared" si="11"/>
        <v>0.17670000000000002</v>
      </c>
      <c r="R49" s="41">
        <v>6.5555812065799635E-2</v>
      </c>
      <c r="S49" s="41">
        <v>9.8693922528988509E-2</v>
      </c>
      <c r="T49" s="224">
        <f t="shared" si="12"/>
        <v>0.1467</v>
      </c>
      <c r="U49" s="41">
        <v>0.45099208277957642</v>
      </c>
      <c r="V49" s="41">
        <v>6.5555812065799635E-2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4">
        <f t="shared" si="10"/>
        <v>38169</v>
      </c>
      <c r="C50" s="213" t="str">
        <f t="shared" si="5"/>
        <v>1537.00</v>
      </c>
      <c r="D50" s="213" t="str">
        <f t="shared" si="6"/>
        <v>1858.00</v>
      </c>
      <c r="E50" s="213" t="str">
        <f t="shared" si="2"/>
        <v xml:space="preserve"> 492.75</v>
      </c>
      <c r="F50" s="123" t="str">
        <f t="shared" si="7"/>
        <v xml:space="preserve">   6885</v>
      </c>
      <c r="G50" s="213">
        <f t="shared" si="1"/>
        <v>5.05</v>
      </c>
      <c r="H50" s="213" t="str">
        <f t="shared" si="3"/>
        <v>5381.00</v>
      </c>
      <c r="I50" s="213" t="str">
        <f t="shared" si="8"/>
        <v>1131.25</v>
      </c>
      <c r="J50" s="249">
        <f t="shared" si="9"/>
        <v>326.82</v>
      </c>
      <c r="K50" s="250">
        <v>820</v>
      </c>
      <c r="L50" s="213">
        <v>18.614940828402386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4">
        <f t="shared" si="11"/>
        <v>0.17670000000000002</v>
      </c>
      <c r="R50" s="41">
        <v>6.5555812065799635E-2</v>
      </c>
      <c r="S50" s="41">
        <v>9.8693922528988509E-2</v>
      </c>
      <c r="T50" s="224">
        <f t="shared" si="12"/>
        <v>0.1467</v>
      </c>
      <c r="U50" s="41">
        <v>0.45099208277957642</v>
      </c>
      <c r="V50" s="41">
        <v>6.5555812065799635E-2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4">
        <f t="shared" si="10"/>
        <v>38200</v>
      </c>
      <c r="C51" s="213" t="str">
        <f t="shared" si="5"/>
        <v>1537.00</v>
      </c>
      <c r="D51" s="213" t="str">
        <f t="shared" si="6"/>
        <v>1858.00</v>
      </c>
      <c r="E51" s="213" t="str">
        <f t="shared" si="2"/>
        <v xml:space="preserve"> 492.75</v>
      </c>
      <c r="F51" s="123" t="str">
        <f t="shared" si="7"/>
        <v xml:space="preserve">   6885</v>
      </c>
      <c r="G51" s="213">
        <f t="shared" si="1"/>
        <v>5.05</v>
      </c>
      <c r="H51" s="213" t="str">
        <f t="shared" si="3"/>
        <v>5381.00</v>
      </c>
      <c r="I51" s="213" t="str">
        <f t="shared" si="8"/>
        <v>1131.25</v>
      </c>
      <c r="J51" s="249">
        <f t="shared" si="9"/>
        <v>326.82</v>
      </c>
      <c r="K51" s="250">
        <v>820</v>
      </c>
      <c r="L51" s="213">
        <v>18.614940828402386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4">
        <f t="shared" si="11"/>
        <v>0.17670000000000002</v>
      </c>
      <c r="R51" s="41">
        <v>6.5555812065799635E-2</v>
      </c>
      <c r="S51" s="41">
        <v>9.8693922528988509E-2</v>
      </c>
      <c r="T51" s="224">
        <f t="shared" si="12"/>
        <v>0.1467</v>
      </c>
      <c r="U51" s="41">
        <v>0.45099208277957642</v>
      </c>
      <c r="V51" s="41">
        <v>6.5555812065799635E-2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4">
        <f t="shared" ref="B52:B80" si="13">DATE(YEAR(B51),MONTH(B51)+1,1)</f>
        <v>38231</v>
      </c>
      <c r="C52" s="213" t="str">
        <f t="shared" si="5"/>
        <v>1537.00</v>
      </c>
      <c r="D52" s="213" t="str">
        <f t="shared" si="6"/>
        <v>1858.00</v>
      </c>
      <c r="E52" s="213" t="str">
        <f t="shared" si="2"/>
        <v xml:space="preserve"> 492.75</v>
      </c>
      <c r="F52" s="123" t="str">
        <f t="shared" si="7"/>
        <v xml:space="preserve">   6885</v>
      </c>
      <c r="G52" s="213">
        <f t="shared" si="1"/>
        <v>5.05</v>
      </c>
      <c r="H52" s="213" t="str">
        <f t="shared" si="3"/>
        <v>5381.00</v>
      </c>
      <c r="I52" s="213" t="str">
        <f t="shared" si="8"/>
        <v>1131.25</v>
      </c>
      <c r="J52" s="249">
        <f t="shared" si="9"/>
        <v>326.82</v>
      </c>
      <c r="K52" s="250">
        <v>820</v>
      </c>
      <c r="L52" s="213">
        <v>18.614940828402386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4">
        <f t="shared" si="11"/>
        <v>0.17670000000000002</v>
      </c>
      <c r="R52" s="41">
        <v>6.5555812065799635E-2</v>
      </c>
      <c r="S52" s="41">
        <v>9.8693922528988509E-2</v>
      </c>
      <c r="T52" s="224">
        <f t="shared" si="12"/>
        <v>0.1467</v>
      </c>
      <c r="U52" s="41">
        <v>0.45099208277957642</v>
      </c>
      <c r="V52" s="41">
        <v>6.5555812065799635E-2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4">
        <f t="shared" si="13"/>
        <v>38261</v>
      </c>
      <c r="C53" s="213" t="str">
        <f t="shared" si="5"/>
        <v>1537.00</v>
      </c>
      <c r="D53" s="213" t="str">
        <f t="shared" si="6"/>
        <v>1858.00</v>
      </c>
      <c r="E53" s="213" t="str">
        <f t="shared" si="2"/>
        <v xml:space="preserve"> 492.75</v>
      </c>
      <c r="F53" s="123" t="str">
        <f t="shared" si="7"/>
        <v xml:space="preserve">   6885</v>
      </c>
      <c r="G53" s="213">
        <f t="shared" si="1"/>
        <v>5.05</v>
      </c>
      <c r="H53" s="213" t="str">
        <f t="shared" si="3"/>
        <v>5381.00</v>
      </c>
      <c r="I53" s="213" t="str">
        <f t="shared" si="8"/>
        <v>1131.25</v>
      </c>
      <c r="J53" s="249">
        <f t="shared" si="9"/>
        <v>326.82</v>
      </c>
      <c r="K53" s="250">
        <v>820</v>
      </c>
      <c r="L53" s="213">
        <v>18.614940828402386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4">
        <f t="shared" si="11"/>
        <v>0.17670000000000002</v>
      </c>
      <c r="R53" s="41">
        <v>6.5555812065799635E-2</v>
      </c>
      <c r="S53" s="41">
        <v>9.8693922528988509E-2</v>
      </c>
      <c r="T53" s="224">
        <f t="shared" si="12"/>
        <v>0.1467</v>
      </c>
      <c r="U53" s="41">
        <v>0.45099208277957642</v>
      </c>
      <c r="V53" s="41">
        <v>6.5555812065799635E-2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4">
        <f t="shared" si="13"/>
        <v>38292</v>
      </c>
      <c r="C54" s="213" t="str">
        <f t="shared" si="5"/>
        <v>1537.00</v>
      </c>
      <c r="D54" s="213" t="str">
        <f t="shared" si="6"/>
        <v>1858.00</v>
      </c>
      <c r="E54" s="213" t="str">
        <f t="shared" si="2"/>
        <v xml:space="preserve"> 492.75</v>
      </c>
      <c r="F54" s="123" t="str">
        <f t="shared" si="7"/>
        <v xml:space="preserve">   6885</v>
      </c>
      <c r="G54" s="213">
        <f t="shared" si="1"/>
        <v>5.05</v>
      </c>
      <c r="H54" s="213" t="str">
        <f t="shared" si="3"/>
        <v>5381.00</v>
      </c>
      <c r="I54" s="213" t="str">
        <f t="shared" si="8"/>
        <v>1131.25</v>
      </c>
      <c r="J54" s="249">
        <f t="shared" si="9"/>
        <v>326.82</v>
      </c>
      <c r="K54" s="250">
        <v>820</v>
      </c>
      <c r="L54" s="213">
        <v>18.614940828402386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4">
        <f t="shared" si="11"/>
        <v>0.17670000000000002</v>
      </c>
      <c r="R54" s="41">
        <v>6.5555812065799635E-2</v>
      </c>
      <c r="S54" s="41">
        <v>9.8693922528988509E-2</v>
      </c>
      <c r="T54" s="224">
        <f t="shared" si="12"/>
        <v>0.1467</v>
      </c>
      <c r="U54" s="41">
        <v>0.45099208277957642</v>
      </c>
      <c r="V54" s="41">
        <v>6.5555812065799635E-2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4">
        <f t="shared" si="13"/>
        <v>38322</v>
      </c>
      <c r="C55" s="213" t="str">
        <f t="shared" si="5"/>
        <v>1537.00</v>
      </c>
      <c r="D55" s="213" t="str">
        <f t="shared" si="6"/>
        <v>1858.00</v>
      </c>
      <c r="E55" s="213" t="str">
        <f t="shared" si="2"/>
        <v xml:space="preserve"> 492.75</v>
      </c>
      <c r="F55" s="123" t="str">
        <f t="shared" si="7"/>
        <v xml:space="preserve">   6885</v>
      </c>
      <c r="G55" s="213">
        <f t="shared" si="1"/>
        <v>5.05</v>
      </c>
      <c r="H55" s="213" t="str">
        <f t="shared" si="3"/>
        <v>5381.00</v>
      </c>
      <c r="I55" s="213" t="str">
        <f t="shared" si="8"/>
        <v>1131.25</v>
      </c>
      <c r="J55" s="249">
        <f t="shared" si="9"/>
        <v>326.82</v>
      </c>
      <c r="K55" s="250">
        <v>820</v>
      </c>
      <c r="L55" s="213">
        <v>18.614940828402386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4">
        <f t="shared" si="11"/>
        <v>0.17670000000000002</v>
      </c>
      <c r="R55" s="41">
        <v>6.5555812065799635E-2</v>
      </c>
      <c r="S55" s="41">
        <v>9.8693922528988509E-2</v>
      </c>
      <c r="T55" s="224">
        <f t="shared" si="12"/>
        <v>0.1467</v>
      </c>
      <c r="U55" s="41">
        <v>0.45099208277957642</v>
      </c>
      <c r="V55" s="41">
        <v>6.5555812065799635E-2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4">
        <f t="shared" si="13"/>
        <v>38353</v>
      </c>
      <c r="C56" s="213" t="str">
        <f t="shared" si="5"/>
        <v>1537.00</v>
      </c>
      <c r="D56" s="213" t="str">
        <f t="shared" si="6"/>
        <v>1858.00</v>
      </c>
      <c r="E56" s="213" t="str">
        <f t="shared" si="2"/>
        <v xml:space="preserve"> 492.75</v>
      </c>
      <c r="F56" s="123" t="str">
        <f t="shared" si="7"/>
        <v xml:space="preserve">   6885</v>
      </c>
      <c r="G56" s="213">
        <f t="shared" si="1"/>
        <v>5.05</v>
      </c>
      <c r="H56" s="213" t="str">
        <f t="shared" si="3"/>
        <v>5381.00</v>
      </c>
      <c r="I56" s="213" t="str">
        <f t="shared" si="8"/>
        <v>1131.25</v>
      </c>
      <c r="J56" s="249">
        <f t="shared" si="9"/>
        <v>326.82</v>
      </c>
      <c r="K56" s="250">
        <v>820</v>
      </c>
      <c r="L56" s="213">
        <v>18.614940828402386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4">
        <f t="shared" si="11"/>
        <v>0.17670000000000002</v>
      </c>
      <c r="R56" s="41">
        <v>6.5555812065799635E-2</v>
      </c>
      <c r="S56" s="41">
        <v>9.8693922528988509E-2</v>
      </c>
      <c r="T56" s="224">
        <f t="shared" si="12"/>
        <v>0.1467</v>
      </c>
      <c r="U56" s="41">
        <v>0.45099208277957642</v>
      </c>
      <c r="V56" s="41">
        <v>6.5555812065799635E-2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4">
        <f t="shared" si="13"/>
        <v>38384</v>
      </c>
      <c r="C57" s="213" t="str">
        <f t="shared" si="5"/>
        <v>1537.00</v>
      </c>
      <c r="D57" s="213" t="str">
        <f t="shared" si="6"/>
        <v>1858.00</v>
      </c>
      <c r="E57" s="213" t="str">
        <f t="shared" si="2"/>
        <v xml:space="preserve"> 492.75</v>
      </c>
      <c r="F57" s="123" t="str">
        <f t="shared" si="7"/>
        <v xml:space="preserve">   6885</v>
      </c>
      <c r="G57" s="213">
        <f t="shared" si="1"/>
        <v>5.05</v>
      </c>
      <c r="H57" s="213" t="str">
        <f t="shared" si="3"/>
        <v>5381.00</v>
      </c>
      <c r="I57" s="213" t="str">
        <f t="shared" si="8"/>
        <v>1131.25</v>
      </c>
      <c r="J57" s="249">
        <f t="shared" si="9"/>
        <v>326.82</v>
      </c>
      <c r="K57" s="250">
        <v>820</v>
      </c>
      <c r="L57" s="213">
        <v>18.614940828402386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4">
        <f t="shared" si="11"/>
        <v>0.17670000000000002</v>
      </c>
      <c r="R57" s="41">
        <v>6.5555812065799635E-2</v>
      </c>
      <c r="S57" s="41">
        <v>9.8693922528988509E-2</v>
      </c>
      <c r="T57" s="224">
        <f t="shared" si="12"/>
        <v>0.1467</v>
      </c>
      <c r="U57" s="41">
        <v>0.45099208277957642</v>
      </c>
      <c r="V57" s="41">
        <v>6.5555812065799635E-2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4">
        <f t="shared" si="13"/>
        <v>38412</v>
      </c>
      <c r="C58" s="213" t="str">
        <f t="shared" si="5"/>
        <v>1537.00</v>
      </c>
      <c r="D58" s="213" t="str">
        <f t="shared" si="6"/>
        <v>1858.00</v>
      </c>
      <c r="E58" s="213" t="str">
        <f t="shared" si="2"/>
        <v xml:space="preserve"> 492.75</v>
      </c>
      <c r="F58" s="123" t="str">
        <f t="shared" si="7"/>
        <v xml:space="preserve">   6885</v>
      </c>
      <c r="G58" s="213">
        <f t="shared" si="1"/>
        <v>5.05</v>
      </c>
      <c r="H58" s="213" t="str">
        <f t="shared" si="3"/>
        <v>5381.00</v>
      </c>
      <c r="I58" s="213" t="str">
        <f t="shared" si="8"/>
        <v>1131.25</v>
      </c>
      <c r="J58" s="249">
        <f t="shared" si="9"/>
        <v>326.82</v>
      </c>
      <c r="K58" s="250">
        <v>820</v>
      </c>
      <c r="L58" s="213">
        <v>18.614940828402386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4">
        <f t="shared" si="11"/>
        <v>0.17670000000000002</v>
      </c>
      <c r="R58" s="41">
        <v>6.5555812065799635E-2</v>
      </c>
      <c r="S58" s="41">
        <v>9.8693922528988509E-2</v>
      </c>
      <c r="T58" s="224">
        <f t="shared" si="12"/>
        <v>0.1467</v>
      </c>
      <c r="U58" s="41">
        <v>0.45099208277957642</v>
      </c>
      <c r="V58" s="41">
        <v>6.5555812065799635E-2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4">
        <f t="shared" si="13"/>
        <v>38443</v>
      </c>
      <c r="C59" s="213" t="str">
        <f t="shared" si="5"/>
        <v>1537.00</v>
      </c>
      <c r="D59" s="213" t="str">
        <f t="shared" si="6"/>
        <v>1858.00</v>
      </c>
      <c r="E59" s="213" t="str">
        <f t="shared" si="2"/>
        <v xml:space="preserve"> 492.75</v>
      </c>
      <c r="F59" s="123" t="str">
        <f t="shared" si="7"/>
        <v xml:space="preserve">   6885</v>
      </c>
      <c r="G59" s="213">
        <f t="shared" si="1"/>
        <v>5.05</v>
      </c>
      <c r="H59" s="213" t="str">
        <f t="shared" si="3"/>
        <v>5381.00</v>
      </c>
      <c r="I59" s="213" t="str">
        <f t="shared" si="8"/>
        <v>1131.25</v>
      </c>
      <c r="J59" s="249">
        <f t="shared" si="9"/>
        <v>326.82</v>
      </c>
      <c r="K59" s="250">
        <v>820</v>
      </c>
      <c r="L59" s="213">
        <v>18.614940828402386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4">
        <f t="shared" si="11"/>
        <v>0.17670000000000002</v>
      </c>
      <c r="R59" s="41">
        <v>6.5555812065799635E-2</v>
      </c>
      <c r="S59" s="41">
        <v>9.8693922528988509E-2</v>
      </c>
      <c r="T59" s="224">
        <f t="shared" si="12"/>
        <v>0.1467</v>
      </c>
      <c r="U59" s="41">
        <v>0.45099208277957642</v>
      </c>
      <c r="V59" s="41">
        <v>6.5555812065799635E-2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4">
        <f t="shared" si="13"/>
        <v>38473</v>
      </c>
      <c r="C60" s="213" t="str">
        <f t="shared" si="5"/>
        <v>1537.00</v>
      </c>
      <c r="D60" s="213" t="str">
        <f t="shared" si="6"/>
        <v>1858.00</v>
      </c>
      <c r="E60" s="213" t="str">
        <f t="shared" si="2"/>
        <v xml:space="preserve"> 492.75</v>
      </c>
      <c r="F60" s="123" t="str">
        <f t="shared" si="7"/>
        <v xml:space="preserve">   6885</v>
      </c>
      <c r="G60" s="213">
        <f t="shared" si="1"/>
        <v>5.05</v>
      </c>
      <c r="H60" s="213" t="str">
        <f t="shared" si="3"/>
        <v>5381.00</v>
      </c>
      <c r="I60" s="213" t="str">
        <f t="shared" si="8"/>
        <v>1131.25</v>
      </c>
      <c r="J60" s="249">
        <f t="shared" si="9"/>
        <v>326.82</v>
      </c>
      <c r="K60" s="250">
        <v>820</v>
      </c>
      <c r="L60" s="213">
        <v>18.614940828402386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4">
        <f t="shared" si="11"/>
        <v>0.17670000000000002</v>
      </c>
      <c r="R60" s="41">
        <v>6.5555812065799635E-2</v>
      </c>
      <c r="S60" s="41">
        <v>9.8693922528988509E-2</v>
      </c>
      <c r="T60" s="224">
        <f t="shared" si="12"/>
        <v>0.1467</v>
      </c>
      <c r="U60" s="41">
        <v>0.45099208277957642</v>
      </c>
      <c r="V60" s="41">
        <v>6.5555812065799635E-2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4">
        <f t="shared" si="13"/>
        <v>38504</v>
      </c>
      <c r="C61" s="213" t="str">
        <f t="shared" si="5"/>
        <v>1537.00</v>
      </c>
      <c r="D61" s="213" t="str">
        <f t="shared" si="6"/>
        <v>1858.00</v>
      </c>
      <c r="E61" s="213" t="str">
        <f t="shared" si="2"/>
        <v xml:space="preserve"> 492.75</v>
      </c>
      <c r="F61" s="123" t="str">
        <f t="shared" si="7"/>
        <v xml:space="preserve">   6885</v>
      </c>
      <c r="G61" s="213">
        <f t="shared" si="1"/>
        <v>5.05</v>
      </c>
      <c r="H61" s="213" t="str">
        <f t="shared" si="3"/>
        <v>5381.00</v>
      </c>
      <c r="I61" s="213" t="str">
        <f t="shared" si="8"/>
        <v>1131.25</v>
      </c>
      <c r="J61" s="249">
        <f t="shared" si="9"/>
        <v>326.82</v>
      </c>
      <c r="K61" s="250">
        <v>820</v>
      </c>
      <c r="L61" s="213">
        <v>18.614940828402386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4">
        <f t="shared" si="11"/>
        <v>0.17670000000000002</v>
      </c>
      <c r="R61" s="41">
        <v>6.5555812065799635E-2</v>
      </c>
      <c r="S61" s="41">
        <v>9.8693922528988509E-2</v>
      </c>
      <c r="T61" s="224">
        <f t="shared" si="12"/>
        <v>0.1467</v>
      </c>
      <c r="U61" s="41">
        <v>0.45099208277957642</v>
      </c>
      <c r="V61" s="41">
        <v>6.5555812065799635E-2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4">
        <f t="shared" si="13"/>
        <v>38534</v>
      </c>
      <c r="C62" s="213" t="str">
        <f t="shared" si="5"/>
        <v>1537.00</v>
      </c>
      <c r="D62" s="213" t="str">
        <f t="shared" si="6"/>
        <v>1858.00</v>
      </c>
      <c r="E62" s="213" t="str">
        <f t="shared" si="2"/>
        <v xml:space="preserve"> 492.75</v>
      </c>
      <c r="F62" s="123" t="str">
        <f t="shared" si="7"/>
        <v xml:space="preserve">   6885</v>
      </c>
      <c r="G62" s="213">
        <f t="shared" si="1"/>
        <v>5.05</v>
      </c>
      <c r="H62" s="213" t="str">
        <f t="shared" si="3"/>
        <v>5381.00</v>
      </c>
      <c r="I62" s="213" t="str">
        <f t="shared" si="8"/>
        <v>1131.25</v>
      </c>
      <c r="J62" s="249">
        <f t="shared" si="9"/>
        <v>326.82</v>
      </c>
      <c r="K62" s="250">
        <v>820</v>
      </c>
      <c r="L62" s="213">
        <v>18.614940828402386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4">
        <f t="shared" si="11"/>
        <v>0.17670000000000002</v>
      </c>
      <c r="R62" s="41">
        <v>6.5555812065799635E-2</v>
      </c>
      <c r="S62" s="41">
        <v>9.8693922528988509E-2</v>
      </c>
      <c r="T62" s="224">
        <f t="shared" si="12"/>
        <v>0.1467</v>
      </c>
      <c r="U62" s="41">
        <v>0.45099208277957642</v>
      </c>
      <c r="V62" s="41">
        <v>6.5555812065799635E-2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4">
        <f t="shared" si="13"/>
        <v>38565</v>
      </c>
      <c r="C63" s="213" t="str">
        <f t="shared" si="5"/>
        <v>1537.00</v>
      </c>
      <c r="D63" s="213" t="str">
        <f t="shared" si="6"/>
        <v>1858.00</v>
      </c>
      <c r="E63" s="213" t="str">
        <f t="shared" si="2"/>
        <v xml:space="preserve"> 492.75</v>
      </c>
      <c r="F63" s="123" t="str">
        <f t="shared" si="7"/>
        <v xml:space="preserve">   6885</v>
      </c>
      <c r="G63" s="213">
        <f t="shared" si="1"/>
        <v>5.05</v>
      </c>
      <c r="H63" s="213" t="str">
        <f t="shared" si="3"/>
        <v>5381.00</v>
      </c>
      <c r="I63" s="213" t="str">
        <f t="shared" si="8"/>
        <v>1131.25</v>
      </c>
      <c r="J63" s="249">
        <f t="shared" si="9"/>
        <v>326.82</v>
      </c>
      <c r="K63" s="250">
        <v>820</v>
      </c>
      <c r="L63" s="213">
        <v>18.614940828402386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4">
        <f t="shared" si="11"/>
        <v>0.17670000000000002</v>
      </c>
      <c r="R63" s="41">
        <v>6.5555812065799635E-2</v>
      </c>
      <c r="S63" s="41">
        <v>9.8693922528988509E-2</v>
      </c>
      <c r="T63" s="224">
        <f t="shared" si="12"/>
        <v>0.1467</v>
      </c>
      <c r="U63" s="41">
        <v>0.45099208277957642</v>
      </c>
      <c r="V63" s="41">
        <v>6.5555812065799635E-2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4">
        <f t="shared" si="13"/>
        <v>38596</v>
      </c>
      <c r="C64" s="213" t="str">
        <f t="shared" si="5"/>
        <v>1537.00</v>
      </c>
      <c r="D64" s="213" t="str">
        <f t="shared" si="6"/>
        <v>1858.00</v>
      </c>
      <c r="E64" s="213" t="str">
        <f t="shared" si="2"/>
        <v xml:space="preserve"> 492.75</v>
      </c>
      <c r="F64" s="123" t="str">
        <f t="shared" si="7"/>
        <v xml:space="preserve">   6885</v>
      </c>
      <c r="G64" s="213">
        <f t="shared" si="1"/>
        <v>5.05</v>
      </c>
      <c r="H64" s="213" t="str">
        <f t="shared" si="3"/>
        <v>5381.00</v>
      </c>
      <c r="I64" s="213" t="str">
        <f t="shared" si="8"/>
        <v>1131.25</v>
      </c>
      <c r="J64" s="249">
        <f t="shared" si="9"/>
        <v>326.82</v>
      </c>
      <c r="K64" s="250">
        <v>820</v>
      </c>
      <c r="L64" s="213">
        <v>18.614940828402386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4">
        <f t="shared" si="11"/>
        <v>0.17670000000000002</v>
      </c>
      <c r="R64" s="41">
        <v>6.5555812065799635E-2</v>
      </c>
      <c r="S64" s="41">
        <v>9.8693922528988509E-2</v>
      </c>
      <c r="T64" s="224">
        <f t="shared" si="12"/>
        <v>0.1467</v>
      </c>
      <c r="U64" s="41">
        <v>0.45099208277957642</v>
      </c>
      <c r="V64" s="41">
        <v>6.5555812065799635E-2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4">
        <f t="shared" si="13"/>
        <v>38626</v>
      </c>
      <c r="C65" s="213" t="str">
        <f t="shared" si="5"/>
        <v>1537.00</v>
      </c>
      <c r="D65" s="213" t="str">
        <f t="shared" si="6"/>
        <v>1858.00</v>
      </c>
      <c r="E65" s="213" t="str">
        <f t="shared" si="2"/>
        <v xml:space="preserve"> 492.75</v>
      </c>
      <c r="F65" s="123" t="str">
        <f t="shared" si="7"/>
        <v xml:space="preserve">   6885</v>
      </c>
      <c r="G65" s="213">
        <f t="shared" si="1"/>
        <v>5.05</v>
      </c>
      <c r="H65" s="213" t="str">
        <f t="shared" si="3"/>
        <v>5381.00</v>
      </c>
      <c r="I65" s="213" t="str">
        <f t="shared" si="8"/>
        <v>1131.25</v>
      </c>
      <c r="J65" s="249">
        <f t="shared" si="9"/>
        <v>326.82</v>
      </c>
      <c r="K65" s="250">
        <v>820</v>
      </c>
      <c r="L65" s="213">
        <v>18.614940828402386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4">
        <f t="shared" si="11"/>
        <v>0.17670000000000002</v>
      </c>
      <c r="R65" s="41">
        <v>6.5555812065799635E-2</v>
      </c>
      <c r="S65" s="41">
        <v>9.8693922528988509E-2</v>
      </c>
      <c r="T65" s="224">
        <f t="shared" si="12"/>
        <v>0.1467</v>
      </c>
      <c r="U65" s="41">
        <v>0.45099208277957642</v>
      </c>
      <c r="V65" s="41">
        <v>6.5555812065799635E-2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4">
        <f t="shared" si="13"/>
        <v>38657</v>
      </c>
      <c r="C66" s="213" t="str">
        <f t="shared" si="5"/>
        <v>1537.00</v>
      </c>
      <c r="D66" s="213" t="str">
        <f t="shared" si="6"/>
        <v>1858.00</v>
      </c>
      <c r="E66" s="213" t="str">
        <f t="shared" si="2"/>
        <v xml:space="preserve"> 492.75</v>
      </c>
      <c r="F66" s="123" t="str">
        <f t="shared" si="7"/>
        <v xml:space="preserve">   6885</v>
      </c>
      <c r="G66" s="213">
        <f t="shared" si="1"/>
        <v>5.05</v>
      </c>
      <c r="H66" s="213" t="str">
        <f t="shared" si="3"/>
        <v>5381.00</v>
      </c>
      <c r="I66" s="213" t="str">
        <f t="shared" si="8"/>
        <v>1131.25</v>
      </c>
      <c r="J66" s="249">
        <f t="shared" si="9"/>
        <v>326.82</v>
      </c>
      <c r="K66" s="250">
        <v>820</v>
      </c>
      <c r="L66" s="213">
        <v>18.614940828402386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4">
        <f t="shared" si="11"/>
        <v>0.17670000000000002</v>
      </c>
      <c r="R66" s="41">
        <v>6.5555812065799635E-2</v>
      </c>
      <c r="S66" s="41">
        <v>9.8693922528988509E-2</v>
      </c>
      <c r="T66" s="224">
        <f t="shared" si="12"/>
        <v>0.1467</v>
      </c>
      <c r="U66" s="41">
        <v>0.45099208277957642</v>
      </c>
      <c r="V66" s="41">
        <v>6.5555812065799635E-2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4">
        <f t="shared" si="13"/>
        <v>38687</v>
      </c>
      <c r="C67" s="213" t="str">
        <f t="shared" si="5"/>
        <v>1537.00</v>
      </c>
      <c r="D67" s="213" t="str">
        <f t="shared" si="6"/>
        <v>1858.00</v>
      </c>
      <c r="E67" s="213" t="str">
        <f t="shared" si="2"/>
        <v xml:space="preserve"> 492.75</v>
      </c>
      <c r="F67" s="123" t="str">
        <f t="shared" si="7"/>
        <v xml:space="preserve">   6885</v>
      </c>
      <c r="G67" s="213">
        <f t="shared" si="1"/>
        <v>5.05</v>
      </c>
      <c r="H67" s="213" t="str">
        <f t="shared" si="3"/>
        <v>5381.00</v>
      </c>
      <c r="I67" s="213" t="str">
        <f t="shared" si="8"/>
        <v>1131.25</v>
      </c>
      <c r="J67" s="249">
        <f t="shared" si="9"/>
        <v>326.82</v>
      </c>
      <c r="K67" s="250">
        <v>820</v>
      </c>
      <c r="L67" s="213">
        <v>18.614940828402386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4">
        <f t="shared" si="11"/>
        <v>0.17670000000000002</v>
      </c>
      <c r="R67" s="41">
        <v>6.5555812065799635E-2</v>
      </c>
      <c r="S67" s="41">
        <v>9.8693922528988509E-2</v>
      </c>
      <c r="T67" s="224">
        <f t="shared" si="12"/>
        <v>0.1467</v>
      </c>
      <c r="U67" s="41">
        <v>0.45099208277957642</v>
      </c>
      <c r="V67" s="41">
        <v>6.5555812065799635E-2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4">
        <f t="shared" si="13"/>
        <v>38718</v>
      </c>
      <c r="C68" s="213" t="str">
        <f t="shared" si="5"/>
        <v>1537.00</v>
      </c>
      <c r="D68" s="213" t="str">
        <f t="shared" si="6"/>
        <v>1858.00</v>
      </c>
      <c r="E68" s="213" t="str">
        <f t="shared" si="2"/>
        <v xml:space="preserve"> 492.75</v>
      </c>
      <c r="F68" s="123" t="str">
        <f t="shared" si="7"/>
        <v xml:space="preserve">   6885</v>
      </c>
      <c r="G68" s="213">
        <f t="shared" si="1"/>
        <v>5.05</v>
      </c>
      <c r="H68" s="213" t="str">
        <f t="shared" si="3"/>
        <v>5381.00</v>
      </c>
      <c r="I68" s="213" t="str">
        <f t="shared" si="8"/>
        <v>1131.25</v>
      </c>
      <c r="J68" s="249">
        <f t="shared" si="9"/>
        <v>326.82</v>
      </c>
      <c r="K68" s="250">
        <v>820</v>
      </c>
      <c r="L68" s="213">
        <v>18.614940828402386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4">
        <f t="shared" si="11"/>
        <v>0.17670000000000002</v>
      </c>
      <c r="R68" s="41">
        <v>6.5555812065799635E-2</v>
      </c>
      <c r="S68" s="41">
        <v>9.8693922528988509E-2</v>
      </c>
      <c r="T68" s="224">
        <f t="shared" si="12"/>
        <v>0.1467</v>
      </c>
      <c r="U68" s="41">
        <v>0.45099208277957642</v>
      </c>
      <c r="V68" s="41">
        <v>6.5555812065799635E-2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4">
        <f t="shared" si="13"/>
        <v>38749</v>
      </c>
      <c r="C69" s="213" t="str">
        <f t="shared" si="5"/>
        <v>1537.00</v>
      </c>
      <c r="D69" s="213" t="str">
        <f t="shared" si="6"/>
        <v>1858.00</v>
      </c>
      <c r="E69" s="213" t="str">
        <f t="shared" si="2"/>
        <v xml:space="preserve"> 492.75</v>
      </c>
      <c r="F69" s="123" t="str">
        <f t="shared" si="7"/>
        <v xml:space="preserve">   6885</v>
      </c>
      <c r="G69" s="213">
        <f t="shared" si="1"/>
        <v>5.05</v>
      </c>
      <c r="H69" s="213" t="str">
        <f t="shared" si="3"/>
        <v>5381.00</v>
      </c>
      <c r="I69" s="213" t="str">
        <f t="shared" si="8"/>
        <v>1131.25</v>
      </c>
      <c r="J69" s="249">
        <f t="shared" si="9"/>
        <v>326.82</v>
      </c>
      <c r="K69" s="250">
        <v>820</v>
      </c>
      <c r="L69" s="213">
        <v>18.614940828402386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4">
        <f t="shared" si="11"/>
        <v>0.17670000000000002</v>
      </c>
      <c r="R69" s="41">
        <v>6.5555812065799635E-2</v>
      </c>
      <c r="S69" s="41">
        <v>9.8693922528988509E-2</v>
      </c>
      <c r="T69" s="224">
        <f t="shared" si="12"/>
        <v>0.1467</v>
      </c>
      <c r="U69" s="41">
        <v>0.45099208277957642</v>
      </c>
      <c r="V69" s="41">
        <v>6.5555812065799635E-2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4">
        <f t="shared" si="13"/>
        <v>38777</v>
      </c>
      <c r="C70" s="213" t="str">
        <f t="shared" si="5"/>
        <v>1537.00</v>
      </c>
      <c r="D70" s="213" t="str">
        <f t="shared" si="6"/>
        <v>1858.00</v>
      </c>
      <c r="E70" s="213" t="str">
        <f t="shared" si="2"/>
        <v xml:space="preserve"> 492.75</v>
      </c>
      <c r="F70" s="123" t="str">
        <f t="shared" si="7"/>
        <v xml:space="preserve">   6885</v>
      </c>
      <c r="G70" s="213">
        <f t="shared" si="1"/>
        <v>5.05</v>
      </c>
      <c r="H70" s="213" t="str">
        <f t="shared" si="3"/>
        <v>5381.00</v>
      </c>
      <c r="I70" s="213" t="str">
        <f t="shared" si="8"/>
        <v>1131.25</v>
      </c>
      <c r="J70" s="249">
        <f t="shared" si="9"/>
        <v>326.82</v>
      </c>
      <c r="K70" s="250">
        <v>820</v>
      </c>
      <c r="L70" s="213">
        <v>18.614940828402386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4">
        <f t="shared" si="11"/>
        <v>0.17670000000000002</v>
      </c>
      <c r="R70" s="41">
        <v>6.5555812065799635E-2</v>
      </c>
      <c r="S70" s="41">
        <v>9.8693922528988509E-2</v>
      </c>
      <c r="T70" s="224">
        <f t="shared" si="12"/>
        <v>0.1467</v>
      </c>
      <c r="U70" s="41">
        <v>0.45099208277957642</v>
      </c>
      <c r="V70" s="41">
        <v>6.5555812065799635E-2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4">
        <f t="shared" si="13"/>
        <v>38808</v>
      </c>
      <c r="C71" s="213" t="str">
        <f t="shared" si="5"/>
        <v>1537.00</v>
      </c>
      <c r="D71" s="213" t="str">
        <f t="shared" si="6"/>
        <v>1858.00</v>
      </c>
      <c r="E71" s="213" t="str">
        <f t="shared" si="2"/>
        <v xml:space="preserve"> 492.75</v>
      </c>
      <c r="F71" s="123" t="str">
        <f t="shared" si="7"/>
        <v xml:space="preserve">   6885</v>
      </c>
      <c r="G71" s="213">
        <f t="shared" si="1"/>
        <v>5.05</v>
      </c>
      <c r="H71" s="213" t="str">
        <f t="shared" si="3"/>
        <v>5381.00</v>
      </c>
      <c r="I71" s="213" t="str">
        <f t="shared" si="8"/>
        <v>1131.25</v>
      </c>
      <c r="J71" s="249">
        <f t="shared" si="9"/>
        <v>326.82</v>
      </c>
      <c r="K71" s="250">
        <v>820</v>
      </c>
      <c r="L71" s="213">
        <v>18.614940828402386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4">
        <f t="shared" si="11"/>
        <v>0.17670000000000002</v>
      </c>
      <c r="R71" s="41">
        <v>6.5555812065799635E-2</v>
      </c>
      <c r="S71" s="41">
        <v>9.8693922528988509E-2</v>
      </c>
      <c r="T71" s="224">
        <f t="shared" si="12"/>
        <v>0.1467</v>
      </c>
      <c r="U71" s="41">
        <v>0.45099208277957642</v>
      </c>
      <c r="V71" s="41">
        <v>6.5555812065799635E-2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4">
        <f t="shared" si="13"/>
        <v>38838</v>
      </c>
      <c r="C72" s="213" t="str">
        <f t="shared" si="5"/>
        <v>1537.00</v>
      </c>
      <c r="D72" s="213" t="str">
        <f t="shared" si="6"/>
        <v>1858.00</v>
      </c>
      <c r="E72" s="213" t="str">
        <f t="shared" si="2"/>
        <v xml:space="preserve"> 492.75</v>
      </c>
      <c r="F72" s="123" t="str">
        <f t="shared" si="7"/>
        <v xml:space="preserve">   6885</v>
      </c>
      <c r="G72" s="213">
        <f t="shared" si="1"/>
        <v>5.05</v>
      </c>
      <c r="H72" s="213" t="str">
        <f t="shared" si="3"/>
        <v>5381.00</v>
      </c>
      <c r="I72" s="213" t="str">
        <f t="shared" si="8"/>
        <v>1131.25</v>
      </c>
      <c r="J72" s="249">
        <f t="shared" si="9"/>
        <v>326.82</v>
      </c>
      <c r="K72" s="250">
        <v>820</v>
      </c>
      <c r="L72" s="213">
        <v>18.614940828402386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4">
        <f t="shared" si="11"/>
        <v>0.17670000000000002</v>
      </c>
      <c r="R72" s="41">
        <v>6.5555812065799635E-2</v>
      </c>
      <c r="S72" s="41">
        <v>9.8693922528988509E-2</v>
      </c>
      <c r="T72" s="224">
        <f t="shared" si="12"/>
        <v>0.1467</v>
      </c>
      <c r="U72" s="41">
        <v>0.45099208277957642</v>
      </c>
      <c r="V72" s="41">
        <v>6.5555812065799635E-2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4">
        <f t="shared" si="13"/>
        <v>38869</v>
      </c>
      <c r="C73" s="213" t="str">
        <f t="shared" si="5"/>
        <v>1537.00</v>
      </c>
      <c r="D73" s="213" t="str">
        <f t="shared" si="6"/>
        <v>1858.00</v>
      </c>
      <c r="E73" s="213" t="str">
        <f t="shared" si="2"/>
        <v xml:space="preserve"> 492.75</v>
      </c>
      <c r="F73" s="123" t="str">
        <f t="shared" si="7"/>
        <v xml:space="preserve">   6885</v>
      </c>
      <c r="G73" s="213">
        <f t="shared" si="1"/>
        <v>5.05</v>
      </c>
      <c r="H73" s="213" t="str">
        <f t="shared" si="3"/>
        <v>5381.00</v>
      </c>
      <c r="I73" s="213" t="str">
        <f t="shared" si="8"/>
        <v>1131.25</v>
      </c>
      <c r="J73" s="249">
        <f t="shared" si="9"/>
        <v>326.82</v>
      </c>
      <c r="K73" s="250">
        <v>820</v>
      </c>
      <c r="L73" s="213">
        <v>18.614940828402386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4">
        <f t="shared" si="11"/>
        <v>0.17670000000000002</v>
      </c>
      <c r="R73" s="41">
        <v>6.5555812065799635E-2</v>
      </c>
      <c r="S73" s="41">
        <v>9.8693922528988509E-2</v>
      </c>
      <c r="T73" s="224">
        <f t="shared" si="12"/>
        <v>0.1467</v>
      </c>
      <c r="U73" s="41">
        <v>0.45099208277957642</v>
      </c>
      <c r="V73" s="41">
        <v>6.5555812065799635E-2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4">
        <f t="shared" si="13"/>
        <v>38899</v>
      </c>
      <c r="C74" s="213" t="str">
        <f t="shared" si="5"/>
        <v>1537.00</v>
      </c>
      <c r="D74" s="213" t="str">
        <f t="shared" si="6"/>
        <v>1858.00</v>
      </c>
      <c r="E74" s="213" t="str">
        <f t="shared" si="2"/>
        <v xml:space="preserve"> 492.75</v>
      </c>
      <c r="F74" s="123" t="str">
        <f t="shared" si="7"/>
        <v xml:space="preserve">   6885</v>
      </c>
      <c r="G74" s="213">
        <f t="shared" si="1"/>
        <v>5.05</v>
      </c>
      <c r="H74" s="213" t="str">
        <f t="shared" si="3"/>
        <v>5381.00</v>
      </c>
      <c r="I74" s="213" t="str">
        <f t="shared" si="8"/>
        <v>1131.25</v>
      </c>
      <c r="J74" s="249">
        <f t="shared" si="9"/>
        <v>326.82</v>
      </c>
      <c r="K74" s="250">
        <v>820</v>
      </c>
      <c r="L74" s="213">
        <v>18.614940828402386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4">
        <f t="shared" si="11"/>
        <v>0.17670000000000002</v>
      </c>
      <c r="R74" s="41">
        <v>6.5555812065799635E-2</v>
      </c>
      <c r="S74" s="41">
        <v>9.8693922528988509E-2</v>
      </c>
      <c r="T74" s="224">
        <f t="shared" si="12"/>
        <v>0.1467</v>
      </c>
      <c r="U74" s="41">
        <v>0.45099208277957642</v>
      </c>
      <c r="V74" s="41">
        <v>6.5555812065799635E-2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4">
        <f t="shared" si="13"/>
        <v>38930</v>
      </c>
      <c r="C75" s="213" t="str">
        <f t="shared" si="5"/>
        <v>1537.00</v>
      </c>
      <c r="D75" s="213" t="str">
        <f t="shared" si="6"/>
        <v>1858.00</v>
      </c>
      <c r="E75" s="213" t="str">
        <f t="shared" si="2"/>
        <v xml:space="preserve"> 492.75</v>
      </c>
      <c r="F75" s="123" t="str">
        <f t="shared" si="7"/>
        <v xml:space="preserve">   6885</v>
      </c>
      <c r="G75" s="213">
        <f t="shared" si="1"/>
        <v>5.05</v>
      </c>
      <c r="H75" s="213" t="str">
        <f t="shared" si="3"/>
        <v>5381.00</v>
      </c>
      <c r="I75" s="213" t="str">
        <f t="shared" si="8"/>
        <v>1131.25</v>
      </c>
      <c r="J75" s="249">
        <f t="shared" si="9"/>
        <v>326.82</v>
      </c>
      <c r="K75" s="250">
        <v>820</v>
      </c>
      <c r="L75" s="213">
        <v>18.614940828402386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4">
        <f t="shared" si="11"/>
        <v>0.17670000000000002</v>
      </c>
      <c r="R75" s="41">
        <v>6.5555812065799635E-2</v>
      </c>
      <c r="S75" s="41">
        <v>9.8693922528988509E-2</v>
      </c>
      <c r="T75" s="224">
        <f t="shared" si="12"/>
        <v>0.1467</v>
      </c>
      <c r="U75" s="41">
        <v>0.45099208277957642</v>
      </c>
      <c r="V75" s="41">
        <v>6.5555812065799635E-2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4">
        <f t="shared" si="13"/>
        <v>38961</v>
      </c>
      <c r="C76" s="213" t="str">
        <f t="shared" si="5"/>
        <v>1537.00</v>
      </c>
      <c r="D76" s="213" t="str">
        <f t="shared" si="6"/>
        <v>1858.00</v>
      </c>
      <c r="E76" s="213" t="str">
        <f t="shared" si="2"/>
        <v xml:space="preserve"> 492.75</v>
      </c>
      <c r="F76" s="123" t="str">
        <f t="shared" si="7"/>
        <v xml:space="preserve">   6885</v>
      </c>
      <c r="G76" s="213">
        <f t="shared" si="1"/>
        <v>5.05</v>
      </c>
      <c r="H76" s="213" t="str">
        <f t="shared" si="3"/>
        <v>5381.00</v>
      </c>
      <c r="I76" s="213" t="str">
        <f t="shared" si="8"/>
        <v>1131.25</v>
      </c>
      <c r="J76" s="249">
        <f t="shared" si="9"/>
        <v>326.82</v>
      </c>
      <c r="K76" s="250">
        <v>820</v>
      </c>
      <c r="L76" s="213">
        <v>18.614940828402386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4">
        <f t="shared" si="11"/>
        <v>0.17670000000000002</v>
      </c>
      <c r="R76" s="41">
        <v>6.5555812065799635E-2</v>
      </c>
      <c r="S76" s="41">
        <v>9.8693922528988509E-2</v>
      </c>
      <c r="T76" s="224">
        <f t="shared" si="12"/>
        <v>0.1467</v>
      </c>
      <c r="U76" s="41">
        <v>0.45099208277957642</v>
      </c>
      <c r="V76" s="41">
        <v>6.5555812065799635E-2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4">
        <f t="shared" si="13"/>
        <v>38991</v>
      </c>
      <c r="C77" s="213" t="str">
        <f t="shared" si="5"/>
        <v>1537.00</v>
      </c>
      <c r="D77" s="213" t="str">
        <f t="shared" si="6"/>
        <v>1858.00</v>
      </c>
      <c r="E77" s="213" t="str">
        <f t="shared" si="2"/>
        <v xml:space="preserve"> 492.75</v>
      </c>
      <c r="F77" s="123" t="str">
        <f t="shared" si="7"/>
        <v xml:space="preserve">   6885</v>
      </c>
      <c r="G77" s="213">
        <f t="shared" si="1"/>
        <v>5.05</v>
      </c>
      <c r="H77" s="213" t="str">
        <f t="shared" si="3"/>
        <v>5381.00</v>
      </c>
      <c r="I77" s="213" t="str">
        <f t="shared" si="8"/>
        <v>1131.25</v>
      </c>
      <c r="J77" s="249">
        <f t="shared" si="9"/>
        <v>326.82</v>
      </c>
      <c r="K77" s="250">
        <v>820</v>
      </c>
      <c r="L77" s="213">
        <v>18.614940828402386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4">
        <f t="shared" si="11"/>
        <v>0.17670000000000002</v>
      </c>
      <c r="R77" s="41">
        <v>6.5555812065799635E-2</v>
      </c>
      <c r="S77" s="41">
        <v>9.8693922528988509E-2</v>
      </c>
      <c r="T77" s="224">
        <f t="shared" si="12"/>
        <v>0.1467</v>
      </c>
      <c r="U77" s="41">
        <v>0.45099208277957642</v>
      </c>
      <c r="V77" s="41">
        <v>6.5555812065799635E-2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4">
        <f t="shared" si="13"/>
        <v>39022</v>
      </c>
      <c r="C78" s="213" t="str">
        <f t="shared" si="5"/>
        <v>1537.00</v>
      </c>
      <c r="D78" s="213" t="str">
        <f t="shared" si="6"/>
        <v>1858.00</v>
      </c>
      <c r="E78" s="213" t="str">
        <f t="shared" si="2"/>
        <v xml:space="preserve"> 492.75</v>
      </c>
      <c r="F78" s="123" t="str">
        <f t="shared" si="7"/>
        <v xml:space="preserve">   6885</v>
      </c>
      <c r="G78" s="213">
        <f t="shared" si="1"/>
        <v>5.05</v>
      </c>
      <c r="H78" s="213" t="str">
        <f t="shared" si="3"/>
        <v>5381.00</v>
      </c>
      <c r="I78" s="213" t="str">
        <f t="shared" si="8"/>
        <v>1131.25</v>
      </c>
      <c r="J78" s="249">
        <f t="shared" si="9"/>
        <v>326.82</v>
      </c>
      <c r="K78" s="250">
        <v>820</v>
      </c>
      <c r="L78" s="213">
        <v>18.614940828402386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4">
        <f t="shared" si="11"/>
        <v>0.17670000000000002</v>
      </c>
      <c r="R78" s="41">
        <v>6.5555812065799635E-2</v>
      </c>
      <c r="S78" s="41">
        <v>9.8693922528988509E-2</v>
      </c>
      <c r="T78" s="224">
        <f t="shared" si="12"/>
        <v>0.1467</v>
      </c>
      <c r="U78" s="41">
        <v>0.45099208277957642</v>
      </c>
      <c r="V78" s="41">
        <v>6.5555812065799635E-2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4">
        <f t="shared" si="13"/>
        <v>39052</v>
      </c>
      <c r="C79" s="213" t="str">
        <f t="shared" si="5"/>
        <v>1537.00</v>
      </c>
      <c r="D79" s="213" t="str">
        <f t="shared" si="6"/>
        <v>1858.00</v>
      </c>
      <c r="E79" s="213" t="str">
        <f t="shared" si="2"/>
        <v xml:space="preserve"> 492.75</v>
      </c>
      <c r="F79" s="123" t="str">
        <f t="shared" si="7"/>
        <v xml:space="preserve">   6885</v>
      </c>
      <c r="G79" s="213">
        <f t="shared" si="1"/>
        <v>5.05</v>
      </c>
      <c r="H79" s="213" t="str">
        <f t="shared" si="3"/>
        <v>5381.00</v>
      </c>
      <c r="I79" s="213" t="str">
        <f t="shared" si="8"/>
        <v>1131.25</v>
      </c>
      <c r="J79" s="249">
        <f t="shared" si="9"/>
        <v>326.82</v>
      </c>
      <c r="K79" s="250">
        <v>820</v>
      </c>
      <c r="L79" s="213">
        <v>18.614940828402386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4">
        <f t="shared" si="11"/>
        <v>0.17670000000000002</v>
      </c>
      <c r="R79" s="41">
        <v>6.5555812065799635E-2</v>
      </c>
      <c r="S79" s="41">
        <v>9.8693922528988509E-2</v>
      </c>
      <c r="T79" s="224">
        <f t="shared" si="12"/>
        <v>0.1467</v>
      </c>
      <c r="U79" s="41">
        <v>0.45099208277957642</v>
      </c>
      <c r="V79" s="41">
        <v>6.5555812065799635E-2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4">
        <f t="shared" si="13"/>
        <v>39083</v>
      </c>
      <c r="C80" s="213" t="str">
        <f t="shared" si="5"/>
        <v>1537.00</v>
      </c>
      <c r="D80" s="213" t="str">
        <f t="shared" si="6"/>
        <v>1858.00</v>
      </c>
      <c r="E80" s="213" t="str">
        <f t="shared" si="2"/>
        <v xml:space="preserve"> 492.75</v>
      </c>
      <c r="F80" s="123" t="str">
        <f t="shared" si="7"/>
        <v xml:space="preserve">   6885</v>
      </c>
      <c r="G80" s="213">
        <f t="shared" si="1"/>
        <v>5.05</v>
      </c>
      <c r="H80" s="213" t="str">
        <f t="shared" si="3"/>
        <v>5381.00</v>
      </c>
      <c r="I80" s="213" t="str">
        <f t="shared" si="8"/>
        <v>1131.25</v>
      </c>
      <c r="J80" s="249">
        <f t="shared" si="9"/>
        <v>326.82</v>
      </c>
      <c r="K80" s="250">
        <v>820</v>
      </c>
      <c r="L80" s="213">
        <v>18.614940828402386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4">
        <f t="shared" si="11"/>
        <v>0.17670000000000002</v>
      </c>
      <c r="R80" s="41">
        <v>6.5555812065799635E-2</v>
      </c>
      <c r="S80" s="41">
        <v>9.8693922528988509E-2</v>
      </c>
      <c r="T80" s="224">
        <f t="shared" si="12"/>
        <v>0.1467</v>
      </c>
      <c r="U80" s="41">
        <v>0.45099208277957642</v>
      </c>
      <c r="V80" s="41">
        <v>6.5555812065799635E-2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3"/>
      <c r="D81" s="218"/>
      <c r="E81" s="218"/>
      <c r="F81" s="124"/>
      <c r="G81" s="218"/>
      <c r="H81" s="218"/>
      <c r="I81" s="218"/>
      <c r="J81" s="218"/>
      <c r="K81" s="218"/>
      <c r="L81" s="218"/>
      <c r="M81" s="219"/>
      <c r="N81" s="220"/>
      <c r="O81" s="221"/>
      <c r="P81" s="222"/>
      <c r="Q81" s="244"/>
      <c r="R81" s="223"/>
      <c r="S81" s="220"/>
      <c r="T81" s="244"/>
      <c r="U81" s="220"/>
      <c r="V81" s="220"/>
      <c r="W81" s="215"/>
      <c r="X81" s="215"/>
      <c r="Y81" s="215"/>
      <c r="Z81" s="215"/>
      <c r="AA81" s="220"/>
      <c r="AB81" s="215"/>
      <c r="AC81" s="220"/>
    </row>
    <row r="82" spans="3:29" x14ac:dyDescent="0.2">
      <c r="C82" s="213"/>
      <c r="D82" s="218"/>
      <c r="E82" s="218"/>
      <c r="F82" s="124"/>
      <c r="G82" s="218"/>
      <c r="H82" s="218"/>
      <c r="I82" s="218"/>
      <c r="J82" s="218"/>
      <c r="K82" s="218"/>
      <c r="L82" s="218"/>
      <c r="M82" s="219"/>
      <c r="N82" s="220"/>
      <c r="O82" s="221"/>
      <c r="P82" s="222"/>
      <c r="Q82" s="244"/>
      <c r="R82" s="223"/>
      <c r="S82" s="220"/>
      <c r="T82" s="244"/>
      <c r="U82" s="220"/>
      <c r="V82" s="220"/>
      <c r="W82" s="215"/>
      <c r="X82" s="215"/>
      <c r="Y82" s="215"/>
      <c r="Z82" s="215"/>
      <c r="AA82" s="220"/>
      <c r="AB82" s="215"/>
      <c r="AC82" s="220"/>
    </row>
    <row r="83" spans="3:29" x14ac:dyDescent="0.2">
      <c r="C83" s="213"/>
      <c r="D83" s="218"/>
      <c r="E83" s="218"/>
      <c r="F83" s="124"/>
      <c r="G83" s="218"/>
      <c r="H83" s="218"/>
      <c r="I83" s="218"/>
      <c r="J83" s="218"/>
      <c r="K83" s="218"/>
      <c r="L83" s="218"/>
      <c r="M83" s="219"/>
      <c r="N83" s="220"/>
      <c r="O83" s="221"/>
      <c r="P83" s="222"/>
      <c r="Q83" s="244"/>
      <c r="R83" s="223"/>
      <c r="S83" s="220"/>
      <c r="T83" s="244"/>
      <c r="U83" s="220"/>
      <c r="V83" s="220"/>
      <c r="W83" s="215"/>
      <c r="X83" s="215"/>
      <c r="Y83" s="215"/>
      <c r="Z83" s="215"/>
      <c r="AA83" s="220"/>
      <c r="AB83" s="215"/>
      <c r="AC83" s="220"/>
    </row>
    <row r="84" spans="3:29" x14ac:dyDescent="0.2">
      <c r="C84" s="213"/>
      <c r="D84" s="218"/>
      <c r="E84" s="218"/>
      <c r="F84" s="124"/>
      <c r="G84" s="218"/>
      <c r="H84" s="218"/>
      <c r="I84" s="218"/>
      <c r="J84" s="218"/>
      <c r="K84" s="218"/>
      <c r="L84" s="218"/>
      <c r="M84" s="219"/>
      <c r="N84" s="220"/>
      <c r="O84" s="221"/>
      <c r="P84" s="222"/>
      <c r="Q84" s="244"/>
      <c r="R84" s="223"/>
      <c r="S84" s="220"/>
      <c r="T84" s="244"/>
      <c r="U84" s="220"/>
      <c r="V84" s="220"/>
      <c r="W84" s="215"/>
      <c r="X84" s="215"/>
      <c r="Y84" s="215"/>
      <c r="Z84" s="215"/>
      <c r="AA84" s="220"/>
      <c r="AB84" s="215"/>
      <c r="AC84" s="220"/>
    </row>
    <row r="85" spans="3:29" x14ac:dyDescent="0.2">
      <c r="C85" s="213"/>
      <c r="D85" s="218"/>
      <c r="E85" s="218"/>
      <c r="F85" s="124"/>
      <c r="G85" s="218"/>
      <c r="H85" s="218"/>
      <c r="I85" s="218"/>
      <c r="J85" s="218"/>
      <c r="K85" s="218"/>
      <c r="L85" s="218"/>
      <c r="M85" s="219"/>
      <c r="N85" s="220"/>
      <c r="O85" s="221"/>
      <c r="P85" s="222"/>
      <c r="Q85" s="244"/>
      <c r="R85" s="223"/>
      <c r="S85" s="220"/>
      <c r="T85" s="244"/>
      <c r="U85" s="220"/>
      <c r="V85" s="220"/>
      <c r="W85" s="215"/>
      <c r="X85" s="215"/>
      <c r="Y85" s="215"/>
      <c r="Z85" s="215"/>
      <c r="AA85" s="220"/>
      <c r="AB85" s="215"/>
      <c r="AC85" s="220"/>
    </row>
    <row r="86" spans="3:29" x14ac:dyDescent="0.2">
      <c r="C86" s="213"/>
      <c r="D86" s="218"/>
      <c r="E86" s="218"/>
      <c r="F86" s="124"/>
      <c r="G86" s="218"/>
      <c r="H86" s="218"/>
      <c r="I86" s="218"/>
      <c r="J86" s="218"/>
      <c r="K86" s="218"/>
      <c r="L86" s="218"/>
      <c r="M86" s="219"/>
      <c r="N86" s="220"/>
      <c r="O86" s="221"/>
      <c r="P86" s="222"/>
      <c r="Q86" s="244"/>
      <c r="R86" s="223"/>
      <c r="S86" s="220"/>
      <c r="T86" s="244"/>
      <c r="U86" s="220"/>
      <c r="V86" s="220"/>
      <c r="W86" s="215"/>
      <c r="X86" s="215"/>
      <c r="Y86" s="215"/>
      <c r="Z86" s="215"/>
      <c r="AA86" s="220"/>
      <c r="AB86" s="215"/>
      <c r="AC86" s="220"/>
    </row>
    <row r="87" spans="3:29" x14ac:dyDescent="0.2">
      <c r="C87" s="213"/>
      <c r="D87" s="218"/>
      <c r="E87" s="218"/>
      <c r="F87" s="124"/>
      <c r="G87" s="218"/>
      <c r="H87" s="218"/>
      <c r="I87" s="218"/>
      <c r="J87" s="218"/>
      <c r="K87" s="218"/>
      <c r="L87" s="218"/>
      <c r="M87" s="219"/>
      <c r="N87" s="220"/>
      <c r="O87" s="221"/>
      <c r="P87" s="222"/>
      <c r="Q87" s="244"/>
      <c r="R87" s="223"/>
      <c r="S87" s="220"/>
      <c r="T87" s="244"/>
      <c r="U87" s="220"/>
      <c r="V87" s="220"/>
      <c r="W87" s="215"/>
      <c r="X87" s="215"/>
      <c r="Y87" s="215"/>
      <c r="Z87" s="215"/>
      <c r="AA87" s="220"/>
      <c r="AB87" s="215"/>
      <c r="AC87" s="220"/>
    </row>
    <row r="88" spans="3:29" x14ac:dyDescent="0.2">
      <c r="C88" s="213"/>
      <c r="D88" s="218"/>
      <c r="E88" s="218"/>
      <c r="F88" s="124"/>
      <c r="G88" s="218"/>
      <c r="H88" s="218"/>
      <c r="I88" s="218"/>
      <c r="J88" s="218"/>
      <c r="K88" s="218"/>
      <c r="L88" s="218"/>
      <c r="M88" s="219"/>
      <c r="N88" s="220"/>
      <c r="O88" s="221"/>
      <c r="P88" s="222"/>
      <c r="Q88" s="244"/>
      <c r="R88" s="223"/>
      <c r="S88" s="220"/>
      <c r="T88" s="244"/>
      <c r="U88" s="220"/>
      <c r="V88" s="220"/>
      <c r="W88" s="215"/>
      <c r="X88" s="215"/>
      <c r="Y88" s="215"/>
      <c r="Z88" s="215"/>
      <c r="AA88" s="220"/>
      <c r="AB88" s="215"/>
      <c r="AC88" s="220"/>
    </row>
    <row r="89" spans="3:29" x14ac:dyDescent="0.2">
      <c r="C89" s="213"/>
      <c r="D89" s="218"/>
      <c r="E89" s="218"/>
      <c r="F89" s="124"/>
      <c r="G89" s="218"/>
      <c r="H89" s="218"/>
      <c r="I89" s="218"/>
      <c r="J89" s="218"/>
      <c r="K89" s="218"/>
      <c r="L89" s="218"/>
      <c r="M89" s="219"/>
      <c r="N89" s="220"/>
      <c r="O89" s="221"/>
      <c r="P89" s="222"/>
      <c r="Q89" s="244"/>
      <c r="R89" s="223"/>
      <c r="S89" s="220"/>
      <c r="T89" s="244"/>
      <c r="U89" s="220"/>
      <c r="V89" s="220"/>
      <c r="W89" s="215"/>
      <c r="X89" s="215"/>
      <c r="Y89" s="215"/>
      <c r="Z89" s="215"/>
      <c r="AA89" s="220"/>
      <c r="AB89" s="215"/>
      <c r="AC89" s="220"/>
    </row>
    <row r="90" spans="3:29" x14ac:dyDescent="0.2">
      <c r="C90" s="213"/>
      <c r="D90" s="218"/>
      <c r="E90" s="218"/>
      <c r="F90" s="124"/>
      <c r="G90" s="218"/>
      <c r="H90" s="218"/>
      <c r="I90" s="218"/>
      <c r="J90" s="218"/>
      <c r="K90" s="218"/>
      <c r="L90" s="218"/>
      <c r="M90" s="219"/>
      <c r="N90" s="220"/>
      <c r="O90" s="221"/>
      <c r="P90" s="222"/>
      <c r="Q90" s="244"/>
      <c r="R90" s="223"/>
      <c r="S90" s="220"/>
      <c r="T90" s="244"/>
      <c r="U90" s="220"/>
      <c r="V90" s="220"/>
      <c r="W90" s="215"/>
      <c r="X90" s="215"/>
      <c r="Y90" s="215"/>
      <c r="Z90" s="215"/>
      <c r="AA90" s="220"/>
      <c r="AB90" s="215"/>
      <c r="AC90" s="220"/>
    </row>
    <row r="91" spans="3:29" x14ac:dyDescent="0.2">
      <c r="C91" s="213"/>
      <c r="D91" s="218"/>
      <c r="E91" s="218"/>
      <c r="F91" s="124"/>
      <c r="G91" s="218"/>
      <c r="H91" s="218"/>
      <c r="I91" s="218"/>
      <c r="J91" s="218"/>
      <c r="K91" s="218"/>
      <c r="L91" s="218"/>
      <c r="M91" s="219"/>
      <c r="N91" s="220"/>
      <c r="O91" s="221"/>
      <c r="P91" s="222"/>
      <c r="Q91" s="244"/>
      <c r="R91" s="223"/>
      <c r="S91" s="220"/>
      <c r="T91" s="244"/>
      <c r="U91" s="220"/>
      <c r="V91" s="220"/>
      <c r="W91" s="215"/>
      <c r="X91" s="215"/>
      <c r="Y91" s="215"/>
      <c r="Z91" s="215"/>
      <c r="AA91" s="220"/>
      <c r="AB91" s="215"/>
      <c r="AC91" s="220"/>
    </row>
    <row r="92" spans="3:29" x14ac:dyDescent="0.2">
      <c r="C92" s="213"/>
      <c r="D92" s="218"/>
      <c r="E92" s="218"/>
      <c r="F92" s="124"/>
      <c r="G92" s="218"/>
      <c r="H92" s="218"/>
      <c r="I92" s="218"/>
      <c r="J92" s="218"/>
      <c r="K92" s="218"/>
      <c r="L92" s="218"/>
      <c r="M92" s="219"/>
      <c r="N92" s="220"/>
      <c r="O92" s="221"/>
      <c r="P92" s="222"/>
      <c r="Q92" s="244"/>
      <c r="R92" s="223"/>
      <c r="S92" s="220"/>
      <c r="T92" s="244"/>
      <c r="U92" s="220"/>
      <c r="V92" s="220"/>
      <c r="W92" s="215"/>
      <c r="X92" s="215"/>
      <c r="Y92" s="215"/>
      <c r="Z92" s="215"/>
      <c r="AA92" s="220"/>
      <c r="AB92" s="215"/>
      <c r="AC92" s="220"/>
    </row>
    <row r="93" spans="3:29" x14ac:dyDescent="0.2">
      <c r="C93" s="213"/>
      <c r="D93" s="218"/>
      <c r="E93" s="218"/>
      <c r="F93" s="124"/>
      <c r="G93" s="218"/>
      <c r="H93" s="218"/>
      <c r="I93" s="218"/>
      <c r="J93" s="218"/>
      <c r="K93" s="218"/>
      <c r="L93" s="218"/>
      <c r="M93" s="219"/>
      <c r="N93" s="220"/>
      <c r="O93" s="221"/>
      <c r="P93" s="222"/>
      <c r="Q93" s="244"/>
      <c r="R93" s="223"/>
      <c r="S93" s="220"/>
      <c r="T93" s="244"/>
      <c r="U93" s="220"/>
      <c r="V93" s="220"/>
      <c r="W93" s="215"/>
      <c r="X93" s="215"/>
      <c r="Y93" s="215"/>
      <c r="Z93" s="215"/>
      <c r="AA93" s="220"/>
      <c r="AB93" s="215"/>
      <c r="AC93" s="220"/>
    </row>
    <row r="94" spans="3:29" x14ac:dyDescent="0.2">
      <c r="C94" s="213"/>
      <c r="D94" s="218"/>
      <c r="E94" s="218"/>
      <c r="F94" s="124"/>
      <c r="G94" s="218"/>
      <c r="H94" s="218"/>
      <c r="I94" s="218"/>
      <c r="J94" s="218"/>
      <c r="K94" s="218"/>
      <c r="L94" s="218"/>
      <c r="M94" s="219"/>
      <c r="N94" s="220"/>
      <c r="O94" s="221"/>
      <c r="P94" s="222"/>
      <c r="Q94" s="244"/>
      <c r="R94" s="223"/>
      <c r="S94" s="220"/>
      <c r="T94" s="244"/>
      <c r="U94" s="220"/>
      <c r="V94" s="220"/>
      <c r="W94" s="215"/>
      <c r="X94" s="215"/>
      <c r="Y94" s="215"/>
      <c r="Z94" s="215"/>
      <c r="AA94" s="220"/>
      <c r="AB94" s="215"/>
      <c r="AC94" s="220"/>
    </row>
    <row r="95" spans="3:29" x14ac:dyDescent="0.2">
      <c r="C95" s="213"/>
      <c r="D95" s="218"/>
      <c r="E95" s="218"/>
      <c r="F95" s="124"/>
      <c r="G95" s="218"/>
      <c r="H95" s="218"/>
      <c r="I95" s="218"/>
      <c r="J95" s="218"/>
      <c r="K95" s="218"/>
      <c r="L95" s="218"/>
      <c r="M95" s="219"/>
      <c r="N95" s="220"/>
      <c r="O95" s="221"/>
      <c r="P95" s="222"/>
      <c r="Q95" s="244"/>
      <c r="R95" s="223"/>
      <c r="S95" s="220"/>
      <c r="T95" s="244"/>
      <c r="U95" s="220"/>
      <c r="V95" s="220"/>
      <c r="W95" s="215"/>
      <c r="X95" s="215"/>
      <c r="Y95" s="215"/>
      <c r="Z95" s="215"/>
      <c r="AA95" s="220"/>
      <c r="AB95" s="215"/>
      <c r="AC95" s="220"/>
    </row>
    <row r="96" spans="3:29" x14ac:dyDescent="0.2">
      <c r="C96" s="213"/>
      <c r="D96" s="218"/>
      <c r="E96" s="218"/>
      <c r="F96" s="124"/>
      <c r="G96" s="218"/>
      <c r="H96" s="218"/>
      <c r="I96" s="218"/>
      <c r="J96" s="218"/>
      <c r="K96" s="218"/>
      <c r="L96" s="218"/>
      <c r="M96" s="219"/>
      <c r="N96" s="220"/>
      <c r="O96" s="221"/>
      <c r="P96" s="222"/>
      <c r="Q96" s="244"/>
      <c r="R96" s="223"/>
      <c r="S96" s="220"/>
      <c r="T96" s="244"/>
      <c r="U96" s="220"/>
      <c r="V96" s="220"/>
      <c r="W96" s="215"/>
      <c r="X96" s="215"/>
      <c r="Y96" s="215"/>
      <c r="Z96" s="215"/>
      <c r="AA96" s="220"/>
      <c r="AB96" s="215"/>
      <c r="AC96" s="220"/>
    </row>
    <row r="97" spans="3:29" x14ac:dyDescent="0.2">
      <c r="C97" s="213"/>
      <c r="D97" s="218"/>
      <c r="E97" s="218"/>
      <c r="F97" s="124"/>
      <c r="G97" s="218"/>
      <c r="H97" s="218"/>
      <c r="I97" s="218"/>
      <c r="J97" s="218"/>
      <c r="K97" s="218"/>
      <c r="L97" s="218"/>
      <c r="M97" s="219"/>
      <c r="N97" s="220"/>
      <c r="O97" s="221"/>
      <c r="P97" s="222"/>
      <c r="Q97" s="244"/>
      <c r="R97" s="223"/>
      <c r="S97" s="220"/>
      <c r="T97" s="244"/>
      <c r="U97" s="220"/>
      <c r="V97" s="220"/>
      <c r="W97" s="215"/>
      <c r="X97" s="215"/>
      <c r="Y97" s="215"/>
      <c r="Z97" s="215"/>
      <c r="AA97" s="220"/>
      <c r="AB97" s="215"/>
      <c r="AC97" s="220"/>
    </row>
    <row r="98" spans="3:29" x14ac:dyDescent="0.2">
      <c r="C98" s="213"/>
      <c r="D98" s="218"/>
      <c r="E98" s="218"/>
      <c r="F98" s="124"/>
      <c r="G98" s="218"/>
      <c r="H98" s="218"/>
      <c r="I98" s="218"/>
      <c r="J98" s="218"/>
      <c r="K98" s="218"/>
      <c r="L98" s="218"/>
      <c r="M98" s="219"/>
      <c r="N98" s="220"/>
      <c r="O98" s="221"/>
      <c r="P98" s="222"/>
      <c r="Q98" s="244"/>
      <c r="R98" s="223"/>
      <c r="S98" s="220"/>
      <c r="T98" s="244"/>
      <c r="U98" s="220"/>
      <c r="V98" s="220"/>
      <c r="W98" s="215"/>
      <c r="X98" s="215"/>
      <c r="Y98" s="215"/>
      <c r="Z98" s="215"/>
      <c r="AA98" s="220"/>
      <c r="AB98" s="215"/>
      <c r="AC98" s="220"/>
    </row>
    <row r="99" spans="3:29" x14ac:dyDescent="0.2">
      <c r="C99" s="213"/>
      <c r="D99" s="218"/>
      <c r="E99" s="218"/>
      <c r="F99" s="124"/>
      <c r="G99" s="218"/>
      <c r="H99" s="218"/>
      <c r="I99" s="218"/>
      <c r="J99" s="218"/>
      <c r="K99" s="218"/>
      <c r="L99" s="218"/>
      <c r="M99" s="219"/>
      <c r="N99" s="220"/>
      <c r="O99" s="221"/>
      <c r="P99" s="222"/>
      <c r="Q99" s="244"/>
      <c r="R99" s="223"/>
      <c r="S99" s="220"/>
      <c r="T99" s="244"/>
      <c r="U99" s="220"/>
      <c r="V99" s="220"/>
      <c r="W99" s="215"/>
      <c r="X99" s="215"/>
      <c r="Y99" s="215"/>
      <c r="Z99" s="215"/>
      <c r="AA99" s="220"/>
      <c r="AB99" s="215"/>
      <c r="AC99" s="220"/>
    </row>
    <row r="100" spans="3:29" x14ac:dyDescent="0.2">
      <c r="C100" s="213"/>
      <c r="D100" s="218"/>
      <c r="E100" s="218"/>
      <c r="F100" s="124"/>
      <c r="G100" s="218"/>
      <c r="H100" s="218"/>
      <c r="I100" s="218"/>
      <c r="J100" s="218"/>
      <c r="K100" s="218"/>
      <c r="L100" s="218"/>
      <c r="M100" s="219"/>
      <c r="N100" s="220"/>
      <c r="O100" s="221"/>
      <c r="P100" s="222"/>
      <c r="Q100" s="244"/>
      <c r="R100" s="223"/>
      <c r="S100" s="220"/>
      <c r="T100" s="244"/>
      <c r="U100" s="220"/>
      <c r="V100" s="220"/>
      <c r="W100" s="215"/>
      <c r="X100" s="215"/>
      <c r="Y100" s="215"/>
      <c r="Z100" s="215"/>
      <c r="AA100" s="220"/>
      <c r="AB100" s="215"/>
      <c r="AC100" s="220"/>
    </row>
    <row r="101" spans="3:29" x14ac:dyDescent="0.2">
      <c r="C101" s="213"/>
      <c r="D101" s="218"/>
      <c r="E101" s="218"/>
      <c r="F101" s="124"/>
      <c r="G101" s="218"/>
      <c r="H101" s="218"/>
      <c r="I101" s="218"/>
      <c r="J101" s="218"/>
      <c r="K101" s="218"/>
      <c r="L101" s="218"/>
      <c r="M101" s="219"/>
      <c r="N101" s="220"/>
      <c r="O101" s="221"/>
      <c r="P101" s="222"/>
      <c r="Q101" s="244"/>
      <c r="R101" s="223"/>
      <c r="S101" s="220"/>
      <c r="T101" s="244"/>
      <c r="U101" s="220"/>
      <c r="V101" s="220"/>
      <c r="W101" s="215"/>
      <c r="X101" s="215"/>
      <c r="Y101" s="215"/>
      <c r="Z101" s="215"/>
      <c r="AA101" s="220"/>
      <c r="AB101" s="215"/>
      <c r="AC101" s="220"/>
    </row>
    <row r="102" spans="3:29" x14ac:dyDescent="0.2">
      <c r="C102" s="213"/>
      <c r="D102" s="218"/>
      <c r="E102" s="218"/>
      <c r="F102" s="124"/>
      <c r="G102" s="218"/>
      <c r="H102" s="218"/>
      <c r="I102" s="218"/>
      <c r="J102" s="218"/>
      <c r="K102" s="218"/>
      <c r="L102" s="218"/>
      <c r="M102" s="219"/>
      <c r="N102" s="220"/>
      <c r="O102" s="221"/>
      <c r="P102" s="222"/>
      <c r="Q102" s="244"/>
      <c r="R102" s="223"/>
      <c r="S102" s="220"/>
      <c r="T102" s="244"/>
      <c r="U102" s="220"/>
      <c r="V102" s="220"/>
      <c r="W102" s="215"/>
      <c r="X102" s="215"/>
      <c r="Y102" s="215"/>
      <c r="Z102" s="215"/>
      <c r="AA102" s="220"/>
      <c r="AB102" s="215"/>
      <c r="AC102" s="220"/>
    </row>
    <row r="103" spans="3:29" x14ac:dyDescent="0.2">
      <c r="C103" s="213"/>
      <c r="D103" s="218"/>
      <c r="E103" s="218"/>
      <c r="F103" s="124"/>
      <c r="G103" s="218"/>
      <c r="H103" s="218"/>
      <c r="I103" s="218"/>
      <c r="J103" s="218"/>
      <c r="K103" s="218"/>
      <c r="L103" s="218"/>
      <c r="M103" s="219"/>
      <c r="N103" s="220"/>
      <c r="O103" s="221"/>
      <c r="P103" s="222"/>
      <c r="Q103" s="244"/>
      <c r="R103" s="223"/>
      <c r="S103" s="220"/>
      <c r="T103" s="244"/>
      <c r="U103" s="220"/>
      <c r="V103" s="220"/>
      <c r="W103" s="215"/>
      <c r="X103" s="215"/>
      <c r="Y103" s="215"/>
      <c r="Z103" s="215"/>
      <c r="AA103" s="220"/>
      <c r="AB103" s="215"/>
      <c r="AC103" s="220"/>
    </row>
    <row r="104" spans="3:29" x14ac:dyDescent="0.2">
      <c r="C104" s="213"/>
      <c r="D104" s="218"/>
      <c r="E104" s="218"/>
      <c r="F104" s="124"/>
      <c r="G104" s="218"/>
      <c r="H104" s="218"/>
      <c r="I104" s="218"/>
      <c r="J104" s="218"/>
      <c r="K104" s="218"/>
      <c r="L104" s="218"/>
      <c r="M104" s="219"/>
      <c r="N104" s="220"/>
      <c r="O104" s="221"/>
      <c r="P104" s="222"/>
      <c r="Q104" s="244"/>
      <c r="R104" s="223"/>
      <c r="S104" s="220"/>
      <c r="T104" s="244"/>
      <c r="U104" s="220"/>
      <c r="V104" s="220"/>
      <c r="W104" s="215"/>
      <c r="X104" s="215"/>
      <c r="Y104" s="215"/>
      <c r="Z104" s="215"/>
      <c r="AA104" s="220"/>
      <c r="AB104" s="215"/>
      <c r="AC104" s="220"/>
    </row>
    <row r="105" spans="3:29" x14ac:dyDescent="0.2">
      <c r="C105" s="213"/>
      <c r="D105" s="218"/>
      <c r="E105" s="218"/>
      <c r="F105" s="124"/>
      <c r="G105" s="218"/>
      <c r="H105" s="218"/>
      <c r="I105" s="218"/>
      <c r="J105" s="218"/>
      <c r="K105" s="218"/>
      <c r="L105" s="218"/>
      <c r="M105" s="219"/>
      <c r="N105" s="220"/>
      <c r="O105" s="221"/>
      <c r="P105" s="222"/>
      <c r="Q105" s="244"/>
      <c r="R105" s="223"/>
      <c r="S105" s="220"/>
      <c r="T105" s="244"/>
      <c r="U105" s="220"/>
      <c r="V105" s="220"/>
      <c r="W105" s="215"/>
      <c r="X105" s="215"/>
      <c r="Y105" s="215"/>
      <c r="Z105" s="215"/>
      <c r="AA105" s="220"/>
      <c r="AB105" s="215"/>
      <c r="AC105" s="220"/>
    </row>
    <row r="106" spans="3:29" x14ac:dyDescent="0.2">
      <c r="C106" s="213"/>
      <c r="D106" s="218"/>
      <c r="E106" s="218"/>
      <c r="F106" s="124"/>
      <c r="G106" s="218"/>
      <c r="H106" s="218"/>
      <c r="I106" s="218"/>
      <c r="J106" s="218"/>
      <c r="K106" s="218"/>
      <c r="L106" s="218"/>
      <c r="M106" s="219"/>
      <c r="N106" s="220"/>
      <c r="O106" s="221"/>
      <c r="P106" s="222"/>
      <c r="Q106" s="244"/>
      <c r="R106" s="223"/>
      <c r="S106" s="220"/>
      <c r="T106" s="244"/>
      <c r="U106" s="220"/>
      <c r="V106" s="220"/>
      <c r="W106" s="215"/>
      <c r="X106" s="215"/>
      <c r="Y106" s="215"/>
      <c r="Z106" s="215"/>
      <c r="AA106" s="220"/>
      <c r="AB106" s="215"/>
      <c r="AC106" s="220"/>
    </row>
    <row r="107" spans="3:29" x14ac:dyDescent="0.2">
      <c r="C107" s="213"/>
      <c r="D107" s="218"/>
      <c r="E107" s="218"/>
      <c r="F107" s="124"/>
      <c r="G107" s="218"/>
      <c r="H107" s="218"/>
      <c r="I107" s="218"/>
      <c r="J107" s="218"/>
      <c r="K107" s="218"/>
      <c r="L107" s="218"/>
      <c r="M107" s="219"/>
      <c r="N107" s="220"/>
      <c r="O107" s="221"/>
      <c r="P107" s="222"/>
      <c r="Q107" s="244"/>
      <c r="R107" s="223"/>
      <c r="S107" s="220"/>
      <c r="T107" s="244"/>
      <c r="U107" s="220"/>
      <c r="V107" s="220"/>
      <c r="W107" s="215"/>
      <c r="X107" s="215"/>
      <c r="Y107" s="215"/>
      <c r="Z107" s="215"/>
      <c r="AA107" s="220"/>
      <c r="AB107" s="215"/>
      <c r="AC107" s="220"/>
    </row>
    <row r="108" spans="3:29" x14ac:dyDescent="0.2">
      <c r="C108" s="213"/>
      <c r="D108" s="218"/>
      <c r="E108" s="218"/>
      <c r="F108" s="124"/>
      <c r="G108" s="218"/>
      <c r="H108" s="218"/>
      <c r="I108" s="218"/>
      <c r="J108" s="218"/>
      <c r="K108" s="218"/>
      <c r="L108" s="218"/>
      <c r="M108" s="219"/>
      <c r="N108" s="220"/>
      <c r="O108" s="221"/>
      <c r="P108" s="222"/>
      <c r="Q108" s="244"/>
      <c r="R108" s="223"/>
      <c r="S108" s="220"/>
      <c r="T108" s="244"/>
      <c r="U108" s="220"/>
      <c r="V108" s="220"/>
      <c r="W108" s="215"/>
      <c r="X108" s="215"/>
      <c r="Y108" s="215"/>
      <c r="Z108" s="215"/>
      <c r="AA108" s="220"/>
      <c r="AB108" s="215"/>
      <c r="AC108" s="220"/>
    </row>
    <row r="109" spans="3:29" x14ac:dyDescent="0.2">
      <c r="C109" s="213"/>
      <c r="D109" s="218"/>
      <c r="E109" s="218"/>
      <c r="F109" s="124"/>
      <c r="G109" s="218"/>
      <c r="H109" s="218"/>
      <c r="I109" s="218"/>
      <c r="J109" s="218"/>
      <c r="K109" s="218"/>
      <c r="L109" s="218"/>
      <c r="M109" s="219"/>
      <c r="N109" s="220"/>
      <c r="O109" s="221"/>
      <c r="P109" s="222"/>
      <c r="Q109" s="244"/>
      <c r="R109" s="223"/>
      <c r="S109" s="220"/>
      <c r="T109" s="244"/>
      <c r="U109" s="220"/>
      <c r="V109" s="220"/>
      <c r="W109" s="215"/>
      <c r="X109" s="215"/>
      <c r="Y109" s="215"/>
      <c r="Z109" s="215"/>
      <c r="AA109" s="220"/>
      <c r="AB109" s="215"/>
      <c r="AC109" s="220"/>
    </row>
    <row r="110" spans="3:29" x14ac:dyDescent="0.2">
      <c r="C110" s="213"/>
      <c r="D110" s="218"/>
      <c r="E110" s="218"/>
      <c r="F110" s="124"/>
      <c r="G110" s="218"/>
      <c r="H110" s="218"/>
      <c r="I110" s="218"/>
      <c r="J110" s="218"/>
      <c r="K110" s="218"/>
      <c r="L110" s="218"/>
      <c r="M110" s="219"/>
      <c r="N110" s="220"/>
      <c r="O110" s="221"/>
      <c r="P110" s="222"/>
      <c r="Q110" s="244"/>
      <c r="R110" s="223"/>
      <c r="S110" s="220"/>
      <c r="T110" s="244"/>
      <c r="U110" s="220"/>
      <c r="V110" s="220"/>
      <c r="W110" s="215"/>
      <c r="X110" s="215"/>
      <c r="Y110" s="215"/>
      <c r="Z110" s="215"/>
      <c r="AA110" s="220"/>
      <c r="AB110" s="215"/>
      <c r="AC110" s="220"/>
    </row>
    <row r="111" spans="3:29" x14ac:dyDescent="0.2">
      <c r="C111" s="213"/>
      <c r="D111" s="218"/>
      <c r="E111" s="218"/>
      <c r="F111" s="124"/>
      <c r="G111" s="218"/>
      <c r="H111" s="218"/>
      <c r="I111" s="218"/>
      <c r="J111" s="218"/>
      <c r="K111" s="218"/>
      <c r="L111" s="218"/>
      <c r="M111" s="219"/>
      <c r="N111" s="220"/>
      <c r="O111" s="221"/>
      <c r="P111" s="222"/>
      <c r="Q111" s="244"/>
      <c r="R111" s="223"/>
      <c r="S111" s="220"/>
      <c r="T111" s="244"/>
      <c r="U111" s="220"/>
      <c r="V111" s="220"/>
      <c r="W111" s="215"/>
      <c r="X111" s="215"/>
      <c r="Y111" s="215"/>
      <c r="Z111" s="215"/>
      <c r="AA111" s="220"/>
      <c r="AB111" s="215"/>
      <c r="AC111" s="220"/>
    </row>
    <row r="112" spans="3:29" x14ac:dyDescent="0.2">
      <c r="C112" s="213"/>
      <c r="D112" s="218"/>
      <c r="E112" s="218"/>
      <c r="F112" s="124"/>
      <c r="G112" s="218"/>
      <c r="H112" s="218"/>
      <c r="I112" s="218"/>
      <c r="J112" s="218"/>
      <c r="K112" s="218"/>
      <c r="L112" s="218"/>
      <c r="M112" s="219"/>
      <c r="N112" s="220"/>
      <c r="O112" s="221"/>
      <c r="P112" s="222"/>
      <c r="Q112" s="244"/>
      <c r="R112" s="223"/>
      <c r="S112" s="220"/>
      <c r="T112" s="244"/>
      <c r="U112" s="220"/>
      <c r="V112" s="220"/>
      <c r="W112" s="215"/>
      <c r="X112" s="215"/>
      <c r="Y112" s="215"/>
      <c r="Z112" s="215"/>
      <c r="AA112" s="220"/>
      <c r="AB112" s="215"/>
      <c r="AC112" s="220"/>
    </row>
    <row r="113" spans="3:29" x14ac:dyDescent="0.2">
      <c r="C113" s="213"/>
      <c r="D113" s="218"/>
      <c r="E113" s="218"/>
      <c r="F113" s="124"/>
      <c r="G113" s="218"/>
      <c r="H113" s="218"/>
      <c r="I113" s="218"/>
      <c r="J113" s="218"/>
      <c r="K113" s="218"/>
      <c r="L113" s="218"/>
      <c r="M113" s="219"/>
      <c r="N113" s="220"/>
      <c r="O113" s="221"/>
      <c r="P113" s="222"/>
      <c r="Q113" s="244"/>
      <c r="R113" s="223"/>
      <c r="S113" s="220"/>
      <c r="T113" s="244"/>
      <c r="U113" s="220"/>
      <c r="V113" s="220"/>
      <c r="W113" s="215"/>
      <c r="X113" s="215"/>
      <c r="Y113" s="215"/>
      <c r="Z113" s="215"/>
      <c r="AA113" s="220"/>
      <c r="AB113" s="215"/>
      <c r="AC113" s="220"/>
    </row>
    <row r="114" spans="3:29" x14ac:dyDescent="0.2">
      <c r="C114" s="213"/>
      <c r="D114" s="224"/>
      <c r="E114" s="224"/>
      <c r="G114" s="224"/>
      <c r="H114" s="224"/>
      <c r="I114" s="224"/>
      <c r="J114" s="224"/>
      <c r="K114" s="224"/>
      <c r="L114" s="224"/>
      <c r="M114" s="219"/>
      <c r="N114" s="224"/>
      <c r="O114" s="221"/>
      <c r="P114" s="222"/>
      <c r="Q114" s="244"/>
      <c r="R114" s="223"/>
      <c r="S114" s="220"/>
      <c r="T114" s="244"/>
      <c r="U114" s="220"/>
      <c r="V114" s="220"/>
      <c r="W114" s="215"/>
      <c r="X114" s="215"/>
      <c r="Y114" s="215"/>
      <c r="Z114" s="215"/>
      <c r="AA114" s="220"/>
      <c r="AB114" s="215"/>
      <c r="AC114" s="220"/>
    </row>
    <row r="115" spans="3:29" x14ac:dyDescent="0.2">
      <c r="C115" s="213"/>
      <c r="D115" s="224"/>
      <c r="E115" s="224"/>
      <c r="G115" s="224"/>
      <c r="H115" s="224"/>
      <c r="I115" s="224"/>
      <c r="J115" s="224"/>
      <c r="K115" s="224"/>
      <c r="L115" s="224"/>
      <c r="M115" s="219"/>
      <c r="N115" s="224"/>
      <c r="O115" s="221"/>
      <c r="P115" s="222"/>
      <c r="Q115" s="244"/>
      <c r="R115" s="223"/>
      <c r="S115" s="220"/>
      <c r="T115" s="244"/>
      <c r="U115" s="220"/>
      <c r="V115" s="220"/>
      <c r="W115" s="215"/>
      <c r="X115" s="215"/>
      <c r="Y115" s="215"/>
      <c r="Z115" s="215"/>
      <c r="AA115" s="220"/>
      <c r="AB115" s="215"/>
      <c r="AC115" s="220"/>
    </row>
    <row r="116" spans="3:29" x14ac:dyDescent="0.2">
      <c r="C116" s="213"/>
      <c r="D116" s="224"/>
      <c r="E116" s="224"/>
      <c r="G116" s="224"/>
      <c r="H116" s="224"/>
      <c r="I116" s="224"/>
      <c r="J116" s="224"/>
      <c r="K116" s="224"/>
      <c r="L116" s="224"/>
      <c r="M116" s="219"/>
      <c r="N116" s="224"/>
      <c r="O116" s="221"/>
      <c r="P116" s="222"/>
      <c r="Q116" s="244"/>
      <c r="R116" s="223"/>
      <c r="S116" s="220"/>
      <c r="T116" s="244"/>
      <c r="U116" s="220"/>
      <c r="V116" s="220"/>
      <c r="W116" s="215"/>
      <c r="X116" s="215"/>
      <c r="Y116" s="215"/>
      <c r="Z116" s="215"/>
      <c r="AA116" s="220"/>
      <c r="AB116" s="215"/>
      <c r="AC116" s="220"/>
    </row>
    <row r="117" spans="3:29" x14ac:dyDescent="0.2">
      <c r="C117" s="213"/>
      <c r="D117" s="224"/>
      <c r="E117" s="224"/>
      <c r="G117" s="224"/>
      <c r="H117" s="224"/>
      <c r="I117" s="224"/>
      <c r="J117" s="224"/>
      <c r="K117" s="224"/>
      <c r="L117" s="224"/>
      <c r="M117" s="219"/>
      <c r="N117" s="224"/>
      <c r="O117" s="221"/>
      <c r="P117" s="222"/>
      <c r="Q117" s="244"/>
      <c r="R117" s="223"/>
      <c r="S117" s="220"/>
      <c r="T117" s="244"/>
      <c r="U117" s="220"/>
      <c r="V117" s="220"/>
      <c r="W117" s="215"/>
      <c r="X117" s="215"/>
      <c r="Y117" s="215"/>
      <c r="Z117" s="215"/>
      <c r="AA117" s="220"/>
      <c r="AB117" s="215"/>
      <c r="AC117" s="220"/>
    </row>
    <row r="118" spans="3:29" x14ac:dyDescent="0.2">
      <c r="C118" s="213"/>
      <c r="D118" s="224"/>
      <c r="E118" s="224"/>
      <c r="G118" s="224"/>
      <c r="H118" s="224"/>
      <c r="I118" s="224"/>
      <c r="J118" s="224"/>
      <c r="K118" s="224"/>
      <c r="L118" s="224"/>
      <c r="M118" s="219"/>
      <c r="N118" s="224"/>
      <c r="O118" s="221"/>
      <c r="P118" s="222"/>
      <c r="Q118" s="244"/>
      <c r="R118" s="223"/>
      <c r="S118" s="220"/>
      <c r="T118" s="244"/>
      <c r="U118" s="220"/>
      <c r="V118" s="220"/>
      <c r="W118" s="215"/>
      <c r="X118" s="215"/>
      <c r="Y118" s="215"/>
      <c r="Z118" s="215"/>
      <c r="AA118" s="220"/>
      <c r="AB118" s="215"/>
      <c r="AC118" s="220"/>
    </row>
    <row r="119" spans="3:29" x14ac:dyDescent="0.2">
      <c r="C119" s="213"/>
      <c r="D119" s="224"/>
      <c r="E119" s="224"/>
      <c r="G119" s="224"/>
      <c r="H119" s="224"/>
      <c r="I119" s="224"/>
      <c r="J119" s="224"/>
      <c r="K119" s="224"/>
      <c r="L119" s="224"/>
      <c r="M119" s="219"/>
      <c r="N119" s="224"/>
      <c r="O119" s="221"/>
      <c r="P119" s="222"/>
      <c r="Q119" s="244"/>
      <c r="R119" s="223"/>
      <c r="S119" s="220"/>
      <c r="T119" s="244"/>
      <c r="U119" s="220"/>
      <c r="V119" s="220"/>
      <c r="W119" s="215"/>
      <c r="X119" s="215"/>
      <c r="Y119" s="215"/>
      <c r="Z119" s="215"/>
      <c r="AA119" s="220"/>
      <c r="AB119" s="215"/>
      <c r="AC119" s="220"/>
    </row>
    <row r="120" spans="3:29" x14ac:dyDescent="0.2">
      <c r="C120" s="213"/>
      <c r="D120" s="224"/>
      <c r="E120" s="224"/>
      <c r="G120" s="224"/>
      <c r="H120" s="224"/>
      <c r="I120" s="224"/>
      <c r="J120" s="224"/>
      <c r="K120" s="224"/>
      <c r="L120" s="224"/>
      <c r="M120" s="219"/>
      <c r="N120" s="224"/>
      <c r="O120" s="221"/>
      <c r="P120" s="222"/>
      <c r="Q120" s="244"/>
      <c r="R120" s="223"/>
      <c r="S120" s="220"/>
      <c r="T120" s="244"/>
      <c r="U120" s="220"/>
      <c r="V120" s="220"/>
      <c r="W120" s="215"/>
      <c r="X120" s="215"/>
      <c r="Y120" s="215"/>
      <c r="Z120" s="215"/>
      <c r="AA120" s="220"/>
      <c r="AB120" s="215"/>
      <c r="AC120" s="220"/>
    </row>
    <row r="121" spans="3:29" x14ac:dyDescent="0.2">
      <c r="C121" s="213"/>
      <c r="D121" s="224"/>
      <c r="E121" s="224"/>
      <c r="G121" s="224"/>
      <c r="H121" s="224"/>
      <c r="I121" s="224"/>
      <c r="J121" s="224"/>
      <c r="K121" s="224"/>
      <c r="L121" s="224"/>
      <c r="M121" s="219"/>
      <c r="N121" s="224"/>
      <c r="O121" s="221"/>
      <c r="P121" s="222"/>
      <c r="Q121" s="244"/>
      <c r="R121" s="223"/>
      <c r="S121" s="220"/>
      <c r="T121" s="244"/>
      <c r="U121" s="220"/>
      <c r="V121" s="220"/>
      <c r="W121" s="215"/>
      <c r="X121" s="215"/>
      <c r="Y121" s="215"/>
      <c r="Z121" s="215"/>
      <c r="AA121" s="220"/>
      <c r="AB121" s="215"/>
      <c r="AC121" s="220"/>
    </row>
    <row r="122" spans="3:29" x14ac:dyDescent="0.2">
      <c r="C122" s="213"/>
      <c r="D122" s="224"/>
      <c r="E122" s="224"/>
      <c r="G122" s="224"/>
      <c r="H122" s="224"/>
      <c r="I122" s="224"/>
      <c r="J122" s="224"/>
      <c r="K122" s="224"/>
      <c r="L122" s="224"/>
      <c r="M122" s="219"/>
      <c r="N122" s="224"/>
      <c r="O122" s="221"/>
      <c r="P122" s="222"/>
      <c r="Q122" s="244"/>
      <c r="R122" s="223"/>
      <c r="S122" s="220"/>
      <c r="T122" s="244"/>
      <c r="U122" s="220"/>
      <c r="V122" s="220"/>
      <c r="W122" s="215"/>
      <c r="X122" s="215"/>
      <c r="Y122" s="215"/>
      <c r="Z122" s="215"/>
      <c r="AA122" s="220"/>
      <c r="AB122" s="215"/>
      <c r="AC122" s="220"/>
    </row>
    <row r="123" spans="3:29" x14ac:dyDescent="0.2">
      <c r="C123" s="213"/>
      <c r="D123" s="224"/>
      <c r="E123" s="224"/>
      <c r="G123" s="224"/>
      <c r="H123" s="224"/>
      <c r="I123" s="224"/>
      <c r="J123" s="224"/>
      <c r="K123" s="224"/>
      <c r="L123" s="224"/>
      <c r="M123" s="219"/>
      <c r="N123" s="224"/>
      <c r="O123" s="221"/>
      <c r="P123" s="222"/>
      <c r="Q123" s="244"/>
      <c r="R123" s="223"/>
      <c r="S123" s="220"/>
      <c r="T123" s="244"/>
      <c r="U123" s="220"/>
      <c r="V123" s="220"/>
      <c r="W123" s="215"/>
      <c r="X123" s="215"/>
      <c r="Y123" s="215"/>
      <c r="Z123" s="215"/>
      <c r="AA123" s="220"/>
      <c r="AB123" s="215"/>
      <c r="AC123" s="220"/>
    </row>
    <row r="124" spans="3:29" x14ac:dyDescent="0.2">
      <c r="C124" s="213"/>
      <c r="D124" s="224"/>
      <c r="E124" s="224"/>
      <c r="G124" s="224"/>
      <c r="H124" s="224"/>
      <c r="I124" s="224"/>
      <c r="J124" s="224"/>
      <c r="K124" s="224"/>
      <c r="L124" s="224"/>
      <c r="M124" s="219"/>
      <c r="N124" s="224"/>
      <c r="O124" s="221"/>
      <c r="P124" s="222"/>
      <c r="Q124" s="244"/>
      <c r="R124" s="223"/>
      <c r="S124" s="220"/>
      <c r="T124" s="244"/>
      <c r="U124" s="220"/>
      <c r="V124" s="220"/>
      <c r="W124" s="215"/>
      <c r="X124" s="215"/>
      <c r="Y124" s="215"/>
      <c r="Z124" s="215"/>
      <c r="AA124" s="220"/>
      <c r="AB124" s="215"/>
      <c r="AC124" s="220"/>
    </row>
    <row r="125" spans="3:29" x14ac:dyDescent="0.2">
      <c r="C125" s="213"/>
      <c r="D125" s="224"/>
      <c r="E125" s="224"/>
      <c r="G125" s="224"/>
      <c r="H125" s="224"/>
      <c r="I125" s="224"/>
      <c r="J125" s="224"/>
      <c r="K125" s="224"/>
      <c r="L125" s="224"/>
      <c r="M125" s="219"/>
      <c r="N125" s="224"/>
      <c r="O125" s="221"/>
      <c r="P125" s="222"/>
      <c r="Q125" s="244"/>
      <c r="R125" s="223"/>
      <c r="S125" s="220"/>
      <c r="T125" s="244"/>
      <c r="U125" s="220"/>
      <c r="V125" s="220"/>
      <c r="W125" s="215"/>
      <c r="X125" s="215"/>
      <c r="Y125" s="215"/>
      <c r="Z125" s="215"/>
      <c r="AA125" s="220"/>
      <c r="AB125" s="215"/>
      <c r="AC125" s="220"/>
    </row>
    <row r="126" spans="3:29" x14ac:dyDescent="0.2">
      <c r="C126" s="213"/>
      <c r="D126" s="224"/>
      <c r="E126" s="224"/>
      <c r="G126" s="224"/>
      <c r="H126" s="224"/>
      <c r="I126" s="224"/>
      <c r="J126" s="224"/>
      <c r="K126" s="224"/>
      <c r="L126" s="224"/>
      <c r="M126" s="219"/>
      <c r="N126" s="224"/>
      <c r="O126" s="221"/>
      <c r="P126" s="222"/>
      <c r="Q126" s="244"/>
      <c r="R126" s="223"/>
      <c r="S126" s="220"/>
      <c r="T126" s="244"/>
      <c r="U126" s="220"/>
      <c r="V126" s="220"/>
      <c r="W126" s="215"/>
      <c r="X126" s="215"/>
      <c r="Y126" s="215"/>
      <c r="Z126" s="215"/>
      <c r="AA126" s="220"/>
      <c r="AB126" s="215"/>
      <c r="AC126" s="220"/>
    </row>
    <row r="127" spans="3:29" x14ac:dyDescent="0.2">
      <c r="C127" s="213"/>
      <c r="D127" s="224"/>
      <c r="E127" s="224"/>
      <c r="G127" s="224"/>
      <c r="H127" s="224"/>
      <c r="I127" s="224"/>
      <c r="J127" s="224"/>
      <c r="K127" s="224"/>
      <c r="L127" s="224"/>
      <c r="M127" s="219"/>
      <c r="N127" s="224"/>
      <c r="O127" s="221"/>
      <c r="P127" s="222"/>
      <c r="Q127" s="244"/>
      <c r="R127" s="223"/>
      <c r="S127" s="220"/>
      <c r="T127" s="244"/>
      <c r="U127" s="220"/>
      <c r="V127" s="220"/>
      <c r="W127" s="215"/>
      <c r="X127" s="215"/>
      <c r="Y127" s="215"/>
      <c r="Z127" s="215"/>
      <c r="AA127" s="220"/>
      <c r="AB127" s="215"/>
      <c r="AC127" s="220"/>
    </row>
    <row r="128" spans="3:29" x14ac:dyDescent="0.2">
      <c r="C128" s="213"/>
      <c r="D128" s="224"/>
      <c r="E128" s="224"/>
      <c r="G128" s="224"/>
      <c r="H128" s="224"/>
      <c r="I128" s="224"/>
      <c r="J128" s="224"/>
      <c r="K128" s="224"/>
      <c r="L128" s="224"/>
      <c r="M128" s="219"/>
      <c r="N128" s="224"/>
      <c r="O128" s="221"/>
      <c r="P128" s="222"/>
      <c r="Q128" s="244"/>
      <c r="R128" s="223"/>
      <c r="S128" s="220"/>
      <c r="T128" s="244"/>
      <c r="U128" s="220"/>
      <c r="V128" s="220"/>
      <c r="W128" s="215"/>
      <c r="X128" s="215"/>
      <c r="Y128" s="215"/>
      <c r="Z128" s="215"/>
      <c r="AA128" s="220"/>
      <c r="AB128" s="215"/>
      <c r="AC128" s="220"/>
    </row>
    <row r="129" spans="3:29" x14ac:dyDescent="0.2">
      <c r="C129" s="213"/>
      <c r="D129" s="224"/>
      <c r="E129" s="224"/>
      <c r="G129" s="224"/>
      <c r="H129" s="224"/>
      <c r="I129" s="224"/>
      <c r="J129" s="224"/>
      <c r="K129" s="224"/>
      <c r="L129" s="224"/>
      <c r="M129" s="219"/>
      <c r="N129" s="224"/>
      <c r="O129" s="221"/>
      <c r="P129" s="222"/>
      <c r="Q129" s="244"/>
      <c r="R129" s="223"/>
      <c r="S129" s="220"/>
      <c r="T129" s="244"/>
      <c r="U129" s="220"/>
      <c r="V129" s="220"/>
      <c r="W129" s="215"/>
      <c r="X129" s="215"/>
      <c r="Y129" s="215"/>
      <c r="Z129" s="215"/>
      <c r="AA129" s="220"/>
      <c r="AB129" s="215"/>
      <c r="AC129" s="220"/>
    </row>
    <row r="130" spans="3:29" x14ac:dyDescent="0.2">
      <c r="C130" s="213"/>
      <c r="D130" s="224"/>
      <c r="E130" s="224"/>
      <c r="G130" s="224"/>
      <c r="H130" s="224"/>
      <c r="I130" s="224"/>
      <c r="J130" s="224"/>
      <c r="K130" s="224"/>
      <c r="L130" s="224"/>
      <c r="M130" s="219"/>
      <c r="N130" s="224"/>
      <c r="O130" s="221"/>
      <c r="P130" s="222"/>
      <c r="Q130" s="244"/>
      <c r="R130" s="223"/>
      <c r="S130" s="220"/>
      <c r="T130" s="244"/>
      <c r="U130" s="220"/>
      <c r="V130" s="220"/>
      <c r="W130" s="215"/>
      <c r="X130" s="215"/>
      <c r="Y130" s="215"/>
      <c r="Z130" s="215"/>
      <c r="AA130" s="220"/>
      <c r="AB130" s="215"/>
      <c r="AC130" s="220"/>
    </row>
    <row r="131" spans="3:29" x14ac:dyDescent="0.2">
      <c r="C131" s="213"/>
      <c r="D131" s="224"/>
      <c r="E131" s="224"/>
      <c r="G131" s="224"/>
      <c r="H131" s="224"/>
      <c r="I131" s="224"/>
      <c r="J131" s="224"/>
      <c r="K131" s="224"/>
      <c r="L131" s="224"/>
      <c r="M131" s="219"/>
      <c r="N131" s="224"/>
      <c r="O131" s="221"/>
      <c r="P131" s="222"/>
      <c r="Q131" s="244"/>
      <c r="R131" s="223"/>
      <c r="S131" s="220"/>
      <c r="T131" s="244"/>
      <c r="U131" s="220"/>
      <c r="V131" s="220"/>
      <c r="W131" s="215"/>
      <c r="X131" s="215"/>
      <c r="Y131" s="215"/>
      <c r="Z131" s="215"/>
      <c r="AA131" s="220"/>
      <c r="AB131" s="215"/>
      <c r="AC131" s="220"/>
    </row>
    <row r="132" spans="3:29" x14ac:dyDescent="0.2">
      <c r="C132" s="213"/>
      <c r="D132" s="224"/>
      <c r="E132" s="224"/>
      <c r="G132" s="224"/>
      <c r="H132" s="224"/>
      <c r="I132" s="224"/>
      <c r="J132" s="224"/>
      <c r="K132" s="224"/>
      <c r="L132" s="224"/>
      <c r="M132" s="219"/>
      <c r="N132" s="224"/>
      <c r="O132" s="221"/>
      <c r="P132" s="222"/>
      <c r="Q132" s="244"/>
      <c r="R132" s="223"/>
      <c r="S132" s="220"/>
      <c r="T132" s="244"/>
      <c r="U132" s="220"/>
      <c r="V132" s="220"/>
      <c r="W132" s="215"/>
      <c r="X132" s="215"/>
      <c r="Y132" s="215"/>
      <c r="Z132" s="215"/>
      <c r="AA132" s="220"/>
      <c r="AB132" s="215"/>
      <c r="AC132" s="220"/>
    </row>
    <row r="133" spans="3:29" x14ac:dyDescent="0.2">
      <c r="C133" s="213"/>
      <c r="D133" s="224"/>
      <c r="E133" s="224"/>
      <c r="G133" s="224"/>
      <c r="H133" s="224"/>
      <c r="I133" s="224"/>
      <c r="J133" s="224"/>
      <c r="K133" s="224"/>
      <c r="L133" s="224"/>
      <c r="M133" s="219"/>
      <c r="N133" s="224"/>
      <c r="O133" s="221"/>
      <c r="P133" s="222"/>
      <c r="Q133" s="244"/>
      <c r="R133" s="223"/>
      <c r="S133" s="220"/>
      <c r="T133" s="244"/>
      <c r="U133" s="220"/>
      <c r="V133" s="220"/>
      <c r="W133" s="215"/>
      <c r="X133" s="215"/>
      <c r="Y133" s="215"/>
      <c r="Z133" s="215"/>
      <c r="AA133" s="220"/>
      <c r="AB133" s="215"/>
      <c r="AC133" s="220"/>
    </row>
    <row r="134" spans="3:29" x14ac:dyDescent="0.2">
      <c r="C134" s="213"/>
      <c r="D134" s="224"/>
      <c r="E134" s="224"/>
      <c r="G134" s="224"/>
      <c r="H134" s="224"/>
      <c r="I134" s="224"/>
      <c r="J134" s="224"/>
      <c r="K134" s="224"/>
      <c r="L134" s="224"/>
      <c r="M134" s="219"/>
      <c r="N134" s="224"/>
      <c r="O134" s="221"/>
      <c r="P134" s="222"/>
      <c r="Q134" s="244"/>
      <c r="R134" s="223"/>
      <c r="S134" s="220"/>
      <c r="T134" s="244"/>
      <c r="U134" s="220"/>
      <c r="V134" s="220"/>
      <c r="W134" s="215"/>
      <c r="X134" s="215"/>
      <c r="Y134" s="215"/>
      <c r="Z134" s="215"/>
      <c r="AA134" s="220"/>
      <c r="AB134" s="215"/>
      <c r="AC134" s="220"/>
    </row>
    <row r="135" spans="3:29" x14ac:dyDescent="0.2">
      <c r="C135" s="213"/>
      <c r="D135" s="224"/>
      <c r="E135" s="224"/>
      <c r="G135" s="224"/>
      <c r="H135" s="224"/>
      <c r="I135" s="224"/>
      <c r="J135" s="224"/>
      <c r="K135" s="224"/>
      <c r="L135" s="224"/>
      <c r="M135" s="219"/>
      <c r="N135" s="224"/>
      <c r="O135" s="221"/>
      <c r="P135" s="222"/>
      <c r="Q135" s="244"/>
      <c r="R135" s="223"/>
      <c r="S135" s="220"/>
      <c r="T135" s="244"/>
      <c r="U135" s="220"/>
      <c r="V135" s="220"/>
      <c r="W135" s="215"/>
      <c r="X135" s="215"/>
      <c r="Y135" s="215"/>
      <c r="Z135" s="215"/>
      <c r="AA135" s="220"/>
      <c r="AB135" s="215"/>
      <c r="AC135" s="220"/>
    </row>
    <row r="136" spans="3:29" x14ac:dyDescent="0.2">
      <c r="C136" s="213"/>
      <c r="D136" s="224"/>
      <c r="E136" s="224"/>
      <c r="G136" s="224"/>
      <c r="H136" s="224"/>
      <c r="I136" s="224"/>
      <c r="J136" s="224"/>
      <c r="K136" s="224"/>
      <c r="L136" s="224"/>
      <c r="M136" s="219"/>
      <c r="N136" s="224"/>
      <c r="O136" s="221"/>
      <c r="P136" s="222"/>
      <c r="Q136" s="244"/>
      <c r="R136" s="223"/>
      <c r="S136" s="220"/>
      <c r="T136" s="244"/>
      <c r="U136" s="220"/>
      <c r="V136" s="220"/>
      <c r="W136" s="215"/>
      <c r="X136" s="215"/>
      <c r="Y136" s="215"/>
      <c r="Z136" s="215"/>
      <c r="AA136" s="220"/>
      <c r="AB136" s="215"/>
      <c r="AC136" s="220"/>
    </row>
    <row r="137" spans="3:29" x14ac:dyDescent="0.2">
      <c r="C137" s="213"/>
      <c r="D137" s="224"/>
      <c r="E137" s="224"/>
      <c r="G137" s="224"/>
      <c r="H137" s="224"/>
      <c r="I137" s="224"/>
      <c r="J137" s="224"/>
      <c r="K137" s="224"/>
      <c r="L137" s="224"/>
      <c r="M137" s="219"/>
      <c r="N137" s="224"/>
      <c r="O137" s="221"/>
      <c r="P137" s="222"/>
      <c r="Q137" s="244"/>
      <c r="R137" s="223"/>
      <c r="S137" s="220"/>
      <c r="T137" s="244"/>
      <c r="U137" s="220"/>
      <c r="V137" s="220"/>
      <c r="W137" s="215"/>
      <c r="X137" s="215"/>
      <c r="Y137" s="215"/>
      <c r="Z137" s="215"/>
      <c r="AA137" s="220"/>
      <c r="AB137" s="215"/>
      <c r="AC137" s="220"/>
    </row>
    <row r="138" spans="3:29" x14ac:dyDescent="0.2">
      <c r="C138" s="213"/>
      <c r="D138" s="224"/>
      <c r="E138" s="224"/>
      <c r="G138" s="224"/>
      <c r="H138" s="224"/>
      <c r="I138" s="224"/>
      <c r="J138" s="224"/>
      <c r="K138" s="224"/>
      <c r="L138" s="224"/>
      <c r="M138" s="219"/>
      <c r="N138" s="224"/>
      <c r="O138" s="221"/>
      <c r="P138" s="222"/>
      <c r="Q138" s="244"/>
      <c r="R138" s="223"/>
      <c r="S138" s="220"/>
      <c r="T138" s="244"/>
      <c r="U138" s="220"/>
      <c r="V138" s="220"/>
      <c r="W138" s="215"/>
      <c r="X138" s="215"/>
      <c r="Y138" s="215"/>
      <c r="Z138" s="215"/>
      <c r="AA138" s="220"/>
      <c r="AB138" s="215"/>
      <c r="AC138" s="220"/>
    </row>
    <row r="139" spans="3:29" x14ac:dyDescent="0.2">
      <c r="C139" s="213"/>
      <c r="D139" s="224"/>
      <c r="E139" s="224"/>
      <c r="G139" s="224"/>
      <c r="H139" s="224"/>
      <c r="I139" s="224"/>
      <c r="J139" s="224"/>
      <c r="K139" s="224"/>
      <c r="L139" s="224"/>
      <c r="M139" s="219"/>
      <c r="N139" s="224"/>
      <c r="O139" s="221"/>
      <c r="P139" s="222"/>
      <c r="Q139" s="244"/>
      <c r="R139" s="223"/>
      <c r="S139" s="220"/>
      <c r="T139" s="244"/>
      <c r="U139" s="220"/>
      <c r="V139" s="220"/>
      <c r="W139" s="215"/>
      <c r="X139" s="215"/>
      <c r="Y139" s="215"/>
      <c r="Z139" s="215"/>
      <c r="AA139" s="220"/>
      <c r="AB139" s="215"/>
      <c r="AC139" s="220"/>
    </row>
    <row r="140" spans="3:29" x14ac:dyDescent="0.2">
      <c r="C140" s="213"/>
      <c r="D140" s="224"/>
      <c r="E140" s="224"/>
      <c r="G140" s="224"/>
      <c r="H140" s="224"/>
      <c r="I140" s="224"/>
      <c r="J140" s="224"/>
      <c r="K140" s="224"/>
      <c r="L140" s="224"/>
      <c r="M140" s="219"/>
      <c r="N140" s="224"/>
      <c r="O140" s="221"/>
      <c r="P140" s="222"/>
      <c r="Q140" s="244"/>
      <c r="R140" s="223"/>
      <c r="S140" s="220"/>
      <c r="T140" s="244"/>
      <c r="U140" s="220"/>
      <c r="V140" s="220"/>
      <c r="W140" s="215"/>
      <c r="X140" s="215"/>
      <c r="Y140" s="215"/>
      <c r="Z140" s="215"/>
      <c r="AA140" s="220"/>
      <c r="AB140" s="215"/>
      <c r="AC140" s="220"/>
    </row>
    <row r="141" spans="3:29" x14ac:dyDescent="0.2">
      <c r="C141" s="213"/>
      <c r="D141" s="224"/>
      <c r="E141" s="224"/>
      <c r="G141" s="224"/>
      <c r="H141" s="224"/>
      <c r="I141" s="224"/>
      <c r="J141" s="224"/>
      <c r="K141" s="224"/>
      <c r="L141" s="224"/>
      <c r="M141" s="219"/>
      <c r="N141" s="224"/>
      <c r="O141" s="221"/>
      <c r="P141" s="222"/>
      <c r="Q141" s="244"/>
      <c r="R141" s="223"/>
      <c r="S141" s="220"/>
      <c r="T141" s="244"/>
      <c r="U141" s="220"/>
      <c r="V141" s="220"/>
      <c r="W141" s="215"/>
      <c r="X141" s="215"/>
      <c r="Y141" s="215"/>
      <c r="Z141" s="215"/>
      <c r="AA141" s="220"/>
      <c r="AB141" s="215"/>
      <c r="AC141" s="220"/>
    </row>
    <row r="142" spans="3:29" x14ac:dyDescent="0.2">
      <c r="C142" s="213"/>
      <c r="D142" s="224"/>
      <c r="E142" s="224"/>
      <c r="G142" s="224"/>
      <c r="H142" s="224"/>
      <c r="I142" s="224"/>
      <c r="J142" s="224"/>
      <c r="K142" s="224"/>
      <c r="L142" s="224"/>
      <c r="M142" s="219"/>
      <c r="N142" s="224"/>
      <c r="O142" s="221"/>
      <c r="P142" s="222"/>
      <c r="Q142" s="244"/>
      <c r="R142" s="223"/>
      <c r="S142" s="220"/>
      <c r="T142" s="244"/>
      <c r="U142" s="220"/>
      <c r="V142" s="220"/>
      <c r="W142" s="215"/>
      <c r="X142" s="215"/>
      <c r="Y142" s="215"/>
      <c r="Z142" s="215"/>
      <c r="AA142" s="220"/>
      <c r="AB142" s="215"/>
      <c r="AC142" s="220"/>
    </row>
    <row r="143" spans="3:29" x14ac:dyDescent="0.2">
      <c r="C143" s="213"/>
      <c r="D143" s="224"/>
      <c r="E143" s="224"/>
      <c r="G143" s="224"/>
      <c r="H143" s="224"/>
      <c r="I143" s="224"/>
      <c r="J143" s="224"/>
      <c r="K143" s="224"/>
      <c r="L143" s="224"/>
      <c r="M143" s="219"/>
      <c r="N143" s="224"/>
      <c r="O143" s="221"/>
      <c r="P143" s="222"/>
      <c r="Q143" s="244"/>
      <c r="R143" s="223"/>
      <c r="S143" s="220"/>
      <c r="T143" s="244"/>
      <c r="U143" s="220"/>
      <c r="V143" s="220"/>
      <c r="W143" s="215"/>
      <c r="X143" s="215"/>
      <c r="Y143" s="215"/>
      <c r="Z143" s="215"/>
      <c r="AA143" s="220"/>
      <c r="AB143" s="215"/>
      <c r="AC143" s="220"/>
    </row>
    <row r="144" spans="3:29" x14ac:dyDescent="0.2">
      <c r="C144" s="213"/>
      <c r="D144" s="224"/>
      <c r="E144" s="224"/>
      <c r="G144" s="224"/>
      <c r="H144" s="224"/>
      <c r="I144" s="224"/>
      <c r="J144" s="224"/>
      <c r="K144" s="224"/>
      <c r="L144" s="224"/>
      <c r="M144" s="219"/>
      <c r="N144" s="224"/>
      <c r="O144" s="221"/>
      <c r="P144" s="222"/>
      <c r="Q144" s="244"/>
      <c r="R144" s="223"/>
      <c r="S144" s="220"/>
      <c r="T144" s="244"/>
      <c r="U144" s="220"/>
      <c r="V144" s="220"/>
      <c r="W144" s="215"/>
      <c r="X144" s="215"/>
      <c r="Y144" s="215"/>
      <c r="Z144" s="215"/>
      <c r="AA144" s="220"/>
      <c r="AB144" s="215"/>
      <c r="AC144" s="220"/>
    </row>
    <row r="145" spans="3:29" x14ac:dyDescent="0.2">
      <c r="C145" s="213"/>
      <c r="D145" s="224"/>
      <c r="E145" s="224"/>
      <c r="G145" s="224"/>
      <c r="H145" s="224"/>
      <c r="I145" s="224"/>
      <c r="J145" s="224"/>
      <c r="K145" s="224"/>
      <c r="L145" s="224"/>
      <c r="M145" s="219"/>
      <c r="N145" s="224"/>
      <c r="O145" s="221"/>
      <c r="P145" s="222"/>
      <c r="Q145" s="244"/>
      <c r="R145" s="223"/>
      <c r="S145" s="220"/>
      <c r="T145" s="244"/>
      <c r="U145" s="220"/>
      <c r="V145" s="220"/>
      <c r="W145" s="215"/>
      <c r="X145" s="215"/>
      <c r="Y145" s="215"/>
      <c r="Z145" s="215"/>
      <c r="AA145" s="220"/>
      <c r="AB145" s="215"/>
      <c r="AC145" s="220"/>
    </row>
    <row r="146" spans="3:29" x14ac:dyDescent="0.2">
      <c r="C146" s="213"/>
      <c r="D146" s="224"/>
      <c r="E146" s="224"/>
      <c r="G146" s="224"/>
      <c r="H146" s="224"/>
      <c r="I146" s="224"/>
      <c r="J146" s="224"/>
      <c r="K146" s="224"/>
      <c r="L146" s="224"/>
      <c r="M146" s="219"/>
      <c r="N146" s="224"/>
      <c r="O146" s="221"/>
      <c r="P146" s="222"/>
      <c r="Q146" s="244"/>
      <c r="R146" s="223"/>
      <c r="S146" s="220"/>
      <c r="T146" s="244"/>
      <c r="U146" s="220"/>
      <c r="V146" s="220"/>
      <c r="W146" s="215"/>
      <c r="X146" s="215"/>
      <c r="Y146" s="215"/>
      <c r="Z146" s="215"/>
      <c r="AA146" s="220"/>
      <c r="AB146" s="215"/>
      <c r="AC146" s="220"/>
    </row>
    <row r="147" spans="3:29" x14ac:dyDescent="0.2">
      <c r="C147" s="213"/>
      <c r="D147" s="224"/>
      <c r="E147" s="224"/>
      <c r="G147" s="224"/>
      <c r="H147" s="224"/>
      <c r="I147" s="224"/>
      <c r="J147" s="224"/>
      <c r="K147" s="224"/>
      <c r="L147" s="224"/>
      <c r="M147" s="219"/>
      <c r="N147" s="224"/>
      <c r="O147" s="221"/>
      <c r="P147" s="222"/>
      <c r="Q147" s="244"/>
      <c r="R147" s="223"/>
      <c r="S147" s="220"/>
      <c r="T147" s="244"/>
      <c r="U147" s="220"/>
      <c r="V147" s="220"/>
      <c r="W147" s="215"/>
      <c r="X147" s="215"/>
      <c r="Y147" s="215"/>
      <c r="Z147" s="215"/>
      <c r="AA147" s="220"/>
      <c r="AB147" s="215"/>
      <c r="AC147" s="220"/>
    </row>
    <row r="148" spans="3:29" x14ac:dyDescent="0.2">
      <c r="C148" s="213"/>
      <c r="D148" s="224"/>
      <c r="E148" s="224"/>
      <c r="G148" s="224"/>
      <c r="H148" s="224"/>
      <c r="I148" s="224"/>
      <c r="J148" s="224"/>
      <c r="K148" s="224"/>
      <c r="L148" s="224"/>
      <c r="M148" s="219"/>
      <c r="N148" s="224"/>
      <c r="O148" s="221"/>
      <c r="P148" s="222"/>
      <c r="Q148" s="244"/>
      <c r="R148" s="223"/>
      <c r="S148" s="220"/>
      <c r="T148" s="244"/>
      <c r="U148" s="220"/>
      <c r="V148" s="220"/>
      <c r="W148" s="215"/>
      <c r="X148" s="215"/>
      <c r="Y148" s="215"/>
      <c r="Z148" s="215"/>
      <c r="AA148" s="220"/>
      <c r="AB148" s="215"/>
      <c r="AC148" s="220"/>
    </row>
    <row r="149" spans="3:29" x14ac:dyDescent="0.2">
      <c r="C149" s="213"/>
      <c r="D149" s="224"/>
      <c r="E149" s="224"/>
      <c r="G149" s="224"/>
      <c r="H149" s="224"/>
      <c r="I149" s="224"/>
      <c r="J149" s="224"/>
      <c r="K149" s="224"/>
      <c r="L149" s="224"/>
      <c r="M149" s="219"/>
      <c r="N149" s="224"/>
      <c r="O149" s="221"/>
      <c r="P149" s="222"/>
      <c r="Q149" s="244"/>
      <c r="R149" s="223"/>
      <c r="S149" s="220"/>
      <c r="T149" s="244"/>
      <c r="U149" s="220"/>
      <c r="V149" s="220"/>
      <c r="W149" s="215"/>
      <c r="X149" s="215"/>
      <c r="Y149" s="215"/>
      <c r="Z149" s="215"/>
      <c r="AA149" s="220"/>
      <c r="AB149" s="215"/>
      <c r="AC149" s="220"/>
    </row>
    <row r="150" spans="3:29" x14ac:dyDescent="0.2">
      <c r="C150" s="213"/>
      <c r="D150" s="224"/>
      <c r="E150" s="224"/>
      <c r="G150" s="224"/>
      <c r="H150" s="224"/>
      <c r="I150" s="224"/>
      <c r="J150" s="224"/>
      <c r="K150" s="224"/>
      <c r="L150" s="224"/>
      <c r="M150" s="219"/>
      <c r="N150" s="224"/>
      <c r="O150" s="221"/>
      <c r="P150" s="222"/>
      <c r="Q150" s="244"/>
      <c r="R150" s="223"/>
      <c r="S150" s="220"/>
      <c r="T150" s="244"/>
      <c r="U150" s="220"/>
      <c r="V150" s="220"/>
      <c r="W150" s="215"/>
      <c r="X150" s="215"/>
      <c r="Y150" s="215"/>
      <c r="Z150" s="215"/>
      <c r="AA150" s="220"/>
      <c r="AB150" s="215"/>
      <c r="AC150" s="220"/>
    </row>
    <row r="151" spans="3:29" x14ac:dyDescent="0.2">
      <c r="C151" s="213"/>
      <c r="D151" s="224"/>
      <c r="E151" s="224"/>
      <c r="G151" s="224"/>
      <c r="H151" s="224"/>
      <c r="I151" s="224"/>
      <c r="J151" s="224"/>
      <c r="K151" s="224"/>
      <c r="L151" s="224"/>
      <c r="M151" s="219"/>
      <c r="N151" s="224"/>
      <c r="O151" s="221"/>
      <c r="P151" s="222"/>
      <c r="Q151" s="244"/>
      <c r="R151" s="223"/>
      <c r="S151" s="220"/>
      <c r="T151" s="244"/>
      <c r="U151" s="220"/>
      <c r="V151" s="220"/>
      <c r="W151" s="215"/>
      <c r="X151" s="215"/>
      <c r="Y151" s="215"/>
      <c r="Z151" s="215"/>
      <c r="AA151" s="220"/>
      <c r="AB151" s="215"/>
      <c r="AC151" s="220"/>
    </row>
    <row r="152" spans="3:29" x14ac:dyDescent="0.2">
      <c r="C152" s="213"/>
      <c r="D152" s="224"/>
      <c r="E152" s="224"/>
      <c r="G152" s="224"/>
      <c r="H152" s="224"/>
      <c r="I152" s="224"/>
      <c r="J152" s="224"/>
      <c r="K152" s="224"/>
      <c r="L152" s="224"/>
      <c r="M152" s="219"/>
      <c r="N152" s="224"/>
      <c r="O152" s="221"/>
      <c r="P152" s="222"/>
      <c r="Q152" s="244"/>
      <c r="R152" s="223"/>
      <c r="S152" s="220"/>
      <c r="T152" s="244"/>
      <c r="U152" s="220"/>
      <c r="V152" s="220"/>
      <c r="W152" s="215"/>
      <c r="X152" s="215"/>
      <c r="Y152" s="215"/>
      <c r="Z152" s="215"/>
      <c r="AA152" s="220"/>
      <c r="AB152" s="215"/>
      <c r="AC152" s="220"/>
    </row>
    <row r="153" spans="3:29" x14ac:dyDescent="0.2">
      <c r="C153" s="213"/>
      <c r="D153" s="224"/>
      <c r="E153" s="224"/>
      <c r="G153" s="224"/>
      <c r="H153" s="224"/>
      <c r="I153" s="224"/>
      <c r="J153" s="224"/>
      <c r="K153" s="224"/>
      <c r="L153" s="224"/>
      <c r="M153" s="219"/>
      <c r="N153" s="224"/>
      <c r="O153" s="221"/>
      <c r="P153" s="222"/>
      <c r="Q153" s="244"/>
      <c r="R153" s="223"/>
      <c r="S153" s="220"/>
      <c r="T153" s="244"/>
      <c r="U153" s="220"/>
      <c r="V153" s="220"/>
      <c r="W153" s="215"/>
      <c r="X153" s="215"/>
      <c r="Y153" s="215"/>
      <c r="Z153" s="215"/>
      <c r="AA153" s="220"/>
      <c r="AB153" s="215"/>
      <c r="AC153" s="220"/>
    </row>
    <row r="154" spans="3:29" x14ac:dyDescent="0.2">
      <c r="C154" s="213"/>
      <c r="D154" s="224"/>
      <c r="E154" s="224"/>
      <c r="G154" s="224"/>
      <c r="H154" s="224"/>
      <c r="I154" s="224"/>
      <c r="J154" s="224"/>
      <c r="K154" s="224"/>
      <c r="L154" s="224"/>
      <c r="M154" s="219"/>
      <c r="N154" s="224"/>
      <c r="O154" s="221"/>
      <c r="P154" s="222"/>
      <c r="Q154" s="244"/>
      <c r="R154" s="223"/>
      <c r="S154" s="220"/>
      <c r="T154" s="244"/>
      <c r="U154" s="220"/>
      <c r="V154" s="220"/>
      <c r="W154" s="215"/>
      <c r="X154" s="215"/>
      <c r="Y154" s="215"/>
      <c r="Z154" s="215"/>
      <c r="AA154" s="220"/>
      <c r="AB154" s="215"/>
      <c r="AC154" s="220"/>
    </row>
    <row r="155" spans="3:29" x14ac:dyDescent="0.2">
      <c r="C155" s="213"/>
      <c r="D155" s="224"/>
      <c r="E155" s="224"/>
      <c r="G155" s="224"/>
      <c r="H155" s="224"/>
      <c r="I155" s="224"/>
      <c r="J155" s="224"/>
      <c r="K155" s="224"/>
      <c r="L155" s="224"/>
      <c r="M155" s="219"/>
      <c r="N155" s="224"/>
      <c r="O155" s="221"/>
      <c r="P155" s="222"/>
      <c r="Q155" s="244"/>
      <c r="R155" s="223"/>
      <c r="S155" s="220"/>
      <c r="T155" s="244"/>
      <c r="U155" s="220"/>
      <c r="V155" s="220"/>
      <c r="W155" s="215"/>
      <c r="X155" s="215"/>
      <c r="Y155" s="215"/>
      <c r="Z155" s="215"/>
      <c r="AA155" s="220"/>
      <c r="AB155" s="215"/>
      <c r="AC155" s="220"/>
    </row>
    <row r="156" spans="3:29" x14ac:dyDescent="0.2">
      <c r="C156" s="213"/>
      <c r="D156" s="224"/>
      <c r="E156" s="224"/>
      <c r="G156" s="224"/>
      <c r="H156" s="224"/>
      <c r="I156" s="224"/>
      <c r="J156" s="224"/>
      <c r="K156" s="224"/>
      <c r="L156" s="224"/>
      <c r="M156" s="219"/>
      <c r="N156" s="224"/>
      <c r="O156" s="221"/>
      <c r="P156" s="222"/>
      <c r="Q156" s="244"/>
      <c r="R156" s="223"/>
      <c r="S156" s="220"/>
      <c r="T156" s="244"/>
      <c r="U156" s="220"/>
      <c r="V156" s="220"/>
      <c r="W156" s="215"/>
      <c r="X156" s="215"/>
      <c r="Y156" s="215"/>
      <c r="Z156" s="215"/>
      <c r="AA156" s="220"/>
      <c r="AB156" s="215"/>
      <c r="AC156" s="220"/>
    </row>
    <row r="157" spans="3:29" x14ac:dyDescent="0.2">
      <c r="C157" s="213"/>
      <c r="D157" s="224"/>
      <c r="E157" s="224"/>
      <c r="G157" s="224"/>
      <c r="H157" s="224"/>
      <c r="I157" s="224"/>
      <c r="J157" s="224"/>
      <c r="K157" s="224"/>
      <c r="L157" s="224"/>
      <c r="M157" s="219"/>
      <c r="N157" s="224"/>
      <c r="O157" s="221"/>
      <c r="P157" s="222"/>
      <c r="Q157" s="244"/>
      <c r="R157" s="223"/>
      <c r="S157" s="220"/>
      <c r="T157" s="244"/>
      <c r="U157" s="220"/>
      <c r="V157" s="220"/>
      <c r="W157" s="215"/>
      <c r="X157" s="215"/>
      <c r="Y157" s="215"/>
      <c r="Z157" s="215"/>
      <c r="AA157" s="220"/>
      <c r="AB157" s="215"/>
      <c r="AC157" s="220"/>
    </row>
    <row r="158" spans="3:29" x14ac:dyDescent="0.2">
      <c r="C158" s="213"/>
      <c r="D158" s="224"/>
      <c r="E158" s="224"/>
      <c r="G158" s="224"/>
      <c r="H158" s="224"/>
      <c r="I158" s="224"/>
      <c r="J158" s="224"/>
      <c r="K158" s="224"/>
      <c r="L158" s="224"/>
      <c r="M158" s="219"/>
      <c r="N158" s="224"/>
      <c r="O158" s="221"/>
      <c r="P158" s="222"/>
      <c r="Q158" s="244"/>
      <c r="R158" s="223"/>
      <c r="S158" s="220"/>
      <c r="T158" s="244"/>
      <c r="U158" s="220"/>
      <c r="V158" s="220"/>
      <c r="W158" s="215"/>
      <c r="X158" s="215"/>
      <c r="Y158" s="215"/>
      <c r="Z158" s="215"/>
      <c r="AA158" s="220"/>
      <c r="AB158" s="215"/>
      <c r="AC158" s="220"/>
    </row>
    <row r="159" spans="3:29" x14ac:dyDescent="0.2">
      <c r="C159" s="213"/>
      <c r="D159" s="224"/>
      <c r="E159" s="224"/>
      <c r="G159" s="224"/>
      <c r="H159" s="224"/>
      <c r="I159" s="224"/>
      <c r="J159" s="224"/>
      <c r="K159" s="224"/>
      <c r="L159" s="224"/>
      <c r="M159" s="219"/>
      <c r="N159" s="224"/>
      <c r="O159" s="221"/>
      <c r="P159" s="222"/>
      <c r="Q159" s="244"/>
      <c r="R159" s="223"/>
      <c r="S159" s="220"/>
      <c r="T159" s="244"/>
      <c r="U159" s="220"/>
      <c r="V159" s="220"/>
      <c r="W159" s="215"/>
      <c r="X159" s="215"/>
      <c r="Y159" s="215"/>
      <c r="Z159" s="215"/>
      <c r="AA159" s="220"/>
      <c r="AB159" s="215"/>
      <c r="AC159" s="220"/>
    </row>
    <row r="160" spans="3:29" x14ac:dyDescent="0.2">
      <c r="C160" s="213"/>
      <c r="D160" s="224"/>
      <c r="E160" s="224"/>
      <c r="G160" s="224"/>
      <c r="H160" s="224"/>
      <c r="I160" s="224"/>
      <c r="J160" s="224"/>
      <c r="K160" s="224"/>
      <c r="L160" s="224"/>
      <c r="M160" s="219"/>
      <c r="N160" s="224"/>
      <c r="O160" s="221"/>
      <c r="P160" s="222"/>
      <c r="Q160" s="244"/>
      <c r="R160" s="223"/>
      <c r="S160" s="220"/>
      <c r="T160" s="244"/>
      <c r="U160" s="220"/>
      <c r="V160" s="220"/>
      <c r="W160" s="215"/>
      <c r="X160" s="215"/>
      <c r="Y160" s="215"/>
      <c r="Z160" s="215"/>
      <c r="AA160" s="220"/>
      <c r="AB160" s="215"/>
      <c r="AC160" s="220"/>
    </row>
    <row r="161" spans="3:29" x14ac:dyDescent="0.2">
      <c r="C161" s="213"/>
      <c r="D161" s="224"/>
      <c r="E161" s="224"/>
      <c r="G161" s="224"/>
      <c r="H161" s="224"/>
      <c r="I161" s="224"/>
      <c r="J161" s="224"/>
      <c r="K161" s="224"/>
      <c r="L161" s="224"/>
      <c r="M161" s="219"/>
      <c r="N161" s="224"/>
      <c r="O161" s="221"/>
      <c r="P161" s="222"/>
      <c r="Q161" s="244"/>
      <c r="R161" s="223"/>
      <c r="S161" s="220"/>
      <c r="T161" s="244"/>
      <c r="U161" s="220"/>
      <c r="V161" s="220"/>
      <c r="W161" s="215"/>
      <c r="X161" s="215"/>
      <c r="Y161" s="215"/>
      <c r="Z161" s="215"/>
      <c r="AA161" s="220"/>
      <c r="AB161" s="215"/>
      <c r="AC161" s="220"/>
    </row>
    <row r="162" spans="3:29" x14ac:dyDescent="0.2">
      <c r="C162" s="213"/>
      <c r="D162" s="224"/>
      <c r="E162" s="224"/>
      <c r="G162" s="224"/>
      <c r="H162" s="224"/>
      <c r="I162" s="224"/>
      <c r="J162" s="224"/>
      <c r="K162" s="224"/>
      <c r="L162" s="224"/>
      <c r="M162" s="219"/>
      <c r="N162" s="224"/>
      <c r="O162" s="221"/>
      <c r="P162" s="222"/>
      <c r="Q162" s="244"/>
      <c r="R162" s="223"/>
      <c r="S162" s="220"/>
      <c r="T162" s="244"/>
      <c r="U162" s="220"/>
      <c r="V162" s="220"/>
      <c r="W162" s="215"/>
      <c r="X162" s="215"/>
      <c r="Y162" s="215"/>
      <c r="Z162" s="215"/>
      <c r="AA162" s="220"/>
      <c r="AB162" s="215"/>
      <c r="AC162" s="220"/>
    </row>
    <row r="163" spans="3:29" x14ac:dyDescent="0.2">
      <c r="C163" s="213"/>
      <c r="D163" s="224"/>
      <c r="E163" s="224"/>
      <c r="G163" s="224"/>
      <c r="H163" s="224"/>
      <c r="I163" s="224"/>
      <c r="J163" s="224"/>
      <c r="K163" s="224"/>
      <c r="L163" s="224"/>
      <c r="M163" s="219"/>
      <c r="N163" s="224"/>
      <c r="O163" s="221"/>
      <c r="P163" s="222"/>
      <c r="Q163" s="244"/>
      <c r="R163" s="223"/>
      <c r="S163" s="220"/>
      <c r="T163" s="244"/>
      <c r="U163" s="220"/>
      <c r="V163" s="220"/>
      <c r="W163" s="215"/>
      <c r="X163" s="215"/>
      <c r="Y163" s="215"/>
      <c r="Z163" s="215"/>
      <c r="AA163" s="220"/>
      <c r="AB163" s="215"/>
      <c r="AC163" s="220"/>
    </row>
    <row r="164" spans="3:29" x14ac:dyDescent="0.2">
      <c r="C164" s="213"/>
      <c r="D164" s="224"/>
      <c r="E164" s="224"/>
      <c r="G164" s="224"/>
      <c r="H164" s="224"/>
      <c r="I164" s="224"/>
      <c r="J164" s="224"/>
      <c r="K164" s="224"/>
      <c r="L164" s="224"/>
      <c r="M164" s="219"/>
      <c r="N164" s="224"/>
      <c r="O164" s="221"/>
      <c r="P164" s="222"/>
      <c r="Q164" s="244"/>
      <c r="R164" s="223"/>
      <c r="S164" s="220"/>
      <c r="T164" s="244"/>
      <c r="U164" s="220"/>
      <c r="V164" s="220"/>
      <c r="W164" s="215"/>
      <c r="X164" s="215"/>
      <c r="Y164" s="215"/>
      <c r="Z164" s="215"/>
      <c r="AA164" s="220"/>
      <c r="AB164" s="215"/>
      <c r="AC164" s="220"/>
    </row>
    <row r="165" spans="3:29" x14ac:dyDescent="0.2">
      <c r="C165" s="213"/>
      <c r="D165" s="224"/>
      <c r="E165" s="224"/>
      <c r="G165" s="224"/>
      <c r="H165" s="224"/>
      <c r="I165" s="224"/>
      <c r="J165" s="224"/>
      <c r="K165" s="224"/>
      <c r="L165" s="224"/>
      <c r="M165" s="219"/>
      <c r="N165" s="224"/>
      <c r="O165" s="221"/>
      <c r="P165" s="222"/>
      <c r="Q165" s="244"/>
      <c r="R165" s="223"/>
      <c r="S165" s="220"/>
      <c r="T165" s="244"/>
      <c r="U165" s="220"/>
      <c r="V165" s="220"/>
      <c r="W165" s="215"/>
      <c r="X165" s="215"/>
      <c r="Y165" s="215"/>
      <c r="Z165" s="215"/>
      <c r="AA165" s="220"/>
      <c r="AB165" s="215"/>
      <c r="AC165" s="220"/>
    </row>
    <row r="166" spans="3:29" x14ac:dyDescent="0.2">
      <c r="C166" s="213"/>
      <c r="D166" s="224"/>
      <c r="E166" s="224"/>
      <c r="G166" s="224"/>
      <c r="H166" s="224"/>
      <c r="I166" s="224"/>
      <c r="J166" s="224"/>
      <c r="K166" s="224"/>
      <c r="L166" s="224"/>
      <c r="M166" s="219"/>
      <c r="N166" s="224"/>
      <c r="O166" s="221"/>
      <c r="P166" s="222"/>
      <c r="Q166" s="244"/>
      <c r="R166" s="223"/>
      <c r="S166" s="220"/>
      <c r="T166" s="244"/>
      <c r="U166" s="220"/>
      <c r="V166" s="220"/>
      <c r="W166" s="215"/>
      <c r="X166" s="215"/>
      <c r="Y166" s="215"/>
      <c r="Z166" s="215"/>
      <c r="AA166" s="220"/>
      <c r="AB166" s="215"/>
      <c r="AC166" s="220"/>
    </row>
    <row r="167" spans="3:29" x14ac:dyDescent="0.2">
      <c r="C167" s="213"/>
      <c r="D167" s="224"/>
      <c r="E167" s="224"/>
      <c r="G167" s="224"/>
      <c r="H167" s="224"/>
      <c r="I167" s="224"/>
      <c r="J167" s="224"/>
      <c r="K167" s="224"/>
      <c r="L167" s="224"/>
      <c r="M167" s="219"/>
      <c r="N167" s="224"/>
      <c r="O167" s="221"/>
      <c r="P167" s="222"/>
      <c r="Q167" s="244"/>
      <c r="R167" s="223"/>
      <c r="S167" s="220"/>
      <c r="T167" s="244"/>
      <c r="U167" s="220"/>
      <c r="V167" s="220"/>
      <c r="W167" s="215"/>
      <c r="X167" s="215"/>
      <c r="Y167" s="215"/>
      <c r="Z167" s="215"/>
      <c r="AA167" s="220"/>
      <c r="AB167" s="215"/>
      <c r="AC167" s="220"/>
    </row>
    <row r="168" spans="3:29" x14ac:dyDescent="0.2">
      <c r="C168" s="213"/>
      <c r="D168" s="224"/>
      <c r="E168" s="224"/>
      <c r="G168" s="224"/>
      <c r="H168" s="224"/>
      <c r="I168" s="224"/>
      <c r="J168" s="224"/>
      <c r="K168" s="224"/>
      <c r="L168" s="224"/>
      <c r="M168" s="219"/>
      <c r="N168" s="224"/>
      <c r="O168" s="221"/>
      <c r="P168" s="222"/>
      <c r="Q168" s="244"/>
      <c r="R168" s="223"/>
      <c r="S168" s="220"/>
      <c r="T168" s="244"/>
      <c r="U168" s="220"/>
      <c r="V168" s="220"/>
      <c r="W168" s="215"/>
      <c r="X168" s="215"/>
      <c r="Y168" s="215"/>
      <c r="Z168" s="215"/>
      <c r="AA168" s="220"/>
      <c r="AB168" s="215"/>
      <c r="AC168" s="220"/>
    </row>
    <row r="169" spans="3:29" x14ac:dyDescent="0.2">
      <c r="C169" s="213"/>
      <c r="D169" s="224"/>
      <c r="E169" s="224"/>
      <c r="G169" s="224"/>
      <c r="H169" s="224"/>
      <c r="I169" s="224"/>
      <c r="J169" s="224"/>
      <c r="K169" s="224"/>
      <c r="L169" s="224"/>
      <c r="M169" s="219"/>
      <c r="N169" s="224"/>
      <c r="O169" s="221"/>
      <c r="P169" s="222"/>
      <c r="Q169" s="244"/>
      <c r="R169" s="223"/>
      <c r="S169" s="220"/>
      <c r="T169" s="244"/>
      <c r="U169" s="220"/>
      <c r="V169" s="220"/>
      <c r="W169" s="215"/>
      <c r="X169" s="215"/>
      <c r="Y169" s="215"/>
      <c r="Z169" s="215"/>
      <c r="AA169" s="220"/>
      <c r="AB169" s="215"/>
      <c r="AC169" s="220"/>
    </row>
    <row r="170" spans="3:29" x14ac:dyDescent="0.2">
      <c r="C170" s="213"/>
      <c r="D170" s="224"/>
      <c r="E170" s="224"/>
      <c r="G170" s="224"/>
      <c r="H170" s="224"/>
      <c r="I170" s="224"/>
      <c r="J170" s="224"/>
      <c r="K170" s="224"/>
      <c r="L170" s="224"/>
      <c r="M170" s="219"/>
      <c r="N170" s="224"/>
      <c r="O170" s="221"/>
      <c r="P170" s="222"/>
      <c r="Q170" s="244"/>
      <c r="R170" s="223"/>
      <c r="S170" s="220"/>
      <c r="T170" s="244"/>
      <c r="U170" s="220"/>
      <c r="V170" s="220"/>
      <c r="W170" s="215"/>
      <c r="X170" s="215"/>
      <c r="Y170" s="215"/>
      <c r="Z170" s="215"/>
      <c r="AA170" s="220"/>
      <c r="AB170" s="215"/>
      <c r="AC170" s="220"/>
    </row>
    <row r="171" spans="3:29" x14ac:dyDescent="0.2">
      <c r="C171" s="213"/>
      <c r="D171" s="224"/>
      <c r="E171" s="224"/>
      <c r="G171" s="224"/>
      <c r="H171" s="224"/>
      <c r="I171" s="224"/>
      <c r="J171" s="224"/>
      <c r="K171" s="224"/>
      <c r="L171" s="224"/>
      <c r="M171" s="219"/>
      <c r="N171" s="224"/>
      <c r="O171" s="221"/>
      <c r="P171" s="222"/>
      <c r="Q171" s="244"/>
      <c r="R171" s="223"/>
      <c r="S171" s="220"/>
      <c r="T171" s="244"/>
      <c r="U171" s="220"/>
      <c r="V171" s="220"/>
      <c r="W171" s="215"/>
      <c r="X171" s="215"/>
      <c r="Y171" s="215"/>
      <c r="Z171" s="215"/>
      <c r="AA171" s="220"/>
      <c r="AB171" s="215"/>
      <c r="AC171" s="220"/>
    </row>
    <row r="172" spans="3:29" x14ac:dyDescent="0.2">
      <c r="C172" s="213"/>
      <c r="D172" s="224"/>
      <c r="E172" s="224"/>
      <c r="G172" s="224"/>
      <c r="H172" s="224"/>
      <c r="I172" s="224"/>
      <c r="J172" s="224"/>
      <c r="K172" s="224"/>
      <c r="L172" s="224"/>
      <c r="M172" s="219"/>
      <c r="N172" s="224"/>
      <c r="O172" s="221"/>
      <c r="P172" s="222"/>
      <c r="Q172" s="244"/>
      <c r="R172" s="223"/>
      <c r="S172" s="220"/>
      <c r="T172" s="244"/>
      <c r="U172" s="220"/>
      <c r="V172" s="220"/>
      <c r="W172" s="215"/>
      <c r="X172" s="215"/>
      <c r="Y172" s="215"/>
      <c r="Z172" s="215"/>
      <c r="AA172" s="220"/>
      <c r="AB172" s="215"/>
      <c r="AC172" s="220"/>
    </row>
    <row r="173" spans="3:29" x14ac:dyDescent="0.2">
      <c r="C173" s="213"/>
      <c r="D173" s="224"/>
      <c r="E173" s="224"/>
      <c r="G173" s="224"/>
      <c r="H173" s="224"/>
      <c r="I173" s="224"/>
      <c r="J173" s="224"/>
      <c r="K173" s="224"/>
      <c r="L173" s="224"/>
      <c r="M173" s="219"/>
      <c r="N173" s="224"/>
      <c r="O173" s="221"/>
      <c r="P173" s="222"/>
      <c r="Q173" s="244"/>
      <c r="R173" s="223"/>
      <c r="S173" s="220"/>
      <c r="T173" s="244"/>
      <c r="U173" s="220"/>
      <c r="V173" s="220"/>
      <c r="W173" s="215"/>
      <c r="X173" s="215"/>
      <c r="Y173" s="215"/>
      <c r="Z173" s="215"/>
      <c r="AA173" s="220"/>
      <c r="AB173" s="215"/>
      <c r="AC173" s="220"/>
    </row>
    <row r="174" spans="3:29" x14ac:dyDescent="0.2">
      <c r="C174" s="213"/>
      <c r="D174" s="224"/>
      <c r="E174" s="224"/>
      <c r="G174" s="224"/>
      <c r="H174" s="224"/>
      <c r="I174" s="224"/>
      <c r="J174" s="224"/>
      <c r="K174" s="224"/>
      <c r="L174" s="224"/>
      <c r="M174" s="219"/>
      <c r="N174" s="224"/>
      <c r="O174" s="221"/>
      <c r="P174" s="222"/>
      <c r="Q174" s="244"/>
      <c r="R174" s="223"/>
      <c r="S174" s="220"/>
      <c r="T174" s="244"/>
      <c r="U174" s="220"/>
      <c r="V174" s="220"/>
      <c r="W174" s="215"/>
      <c r="X174" s="215"/>
      <c r="Y174" s="215"/>
      <c r="Z174" s="215"/>
      <c r="AA174" s="220"/>
      <c r="AB174" s="215"/>
      <c r="AC174" s="220"/>
    </row>
    <row r="175" spans="3:29" x14ac:dyDescent="0.2">
      <c r="C175" s="213"/>
      <c r="D175" s="224"/>
      <c r="E175" s="224"/>
      <c r="G175" s="224"/>
      <c r="H175" s="224"/>
      <c r="I175" s="224"/>
      <c r="J175" s="224"/>
      <c r="K175" s="224"/>
      <c r="L175" s="224"/>
      <c r="M175" s="219"/>
      <c r="N175" s="224"/>
      <c r="O175" s="221"/>
      <c r="P175" s="222"/>
      <c r="Q175" s="244"/>
      <c r="R175" s="223"/>
      <c r="S175" s="220"/>
      <c r="T175" s="244"/>
      <c r="U175" s="220"/>
      <c r="V175" s="220"/>
      <c r="W175" s="215"/>
      <c r="X175" s="215"/>
      <c r="Y175" s="215"/>
      <c r="Z175" s="215"/>
      <c r="AA175" s="220"/>
      <c r="AB175" s="215"/>
      <c r="AC175" s="220"/>
    </row>
    <row r="176" spans="3:29" x14ac:dyDescent="0.2">
      <c r="C176" s="213"/>
      <c r="D176" s="224"/>
      <c r="E176" s="224"/>
      <c r="G176" s="224"/>
      <c r="H176" s="224"/>
      <c r="I176" s="224"/>
      <c r="J176" s="224"/>
      <c r="K176" s="224"/>
      <c r="L176" s="224"/>
      <c r="M176" s="219"/>
      <c r="N176" s="224"/>
      <c r="O176" s="221"/>
      <c r="P176" s="222"/>
      <c r="Q176" s="244"/>
      <c r="R176" s="223"/>
      <c r="S176" s="220"/>
      <c r="T176" s="244"/>
      <c r="U176" s="220"/>
      <c r="V176" s="220"/>
      <c r="W176" s="215"/>
      <c r="X176" s="215"/>
      <c r="Y176" s="215"/>
      <c r="Z176" s="215"/>
      <c r="AA176" s="220"/>
      <c r="AB176" s="215"/>
      <c r="AC176" s="220"/>
    </row>
    <row r="177" spans="3:29" x14ac:dyDescent="0.2">
      <c r="C177" s="213"/>
      <c r="D177" s="224"/>
      <c r="E177" s="224"/>
      <c r="G177" s="224"/>
      <c r="H177" s="224"/>
      <c r="I177" s="224"/>
      <c r="J177" s="224"/>
      <c r="K177" s="224"/>
      <c r="L177" s="224"/>
      <c r="M177" s="219"/>
      <c r="N177" s="224"/>
      <c r="O177" s="221"/>
      <c r="P177" s="222"/>
      <c r="Q177" s="244"/>
      <c r="R177" s="223"/>
      <c r="S177" s="220"/>
      <c r="T177" s="244"/>
      <c r="U177" s="220"/>
      <c r="V177" s="220"/>
      <c r="W177" s="215"/>
      <c r="X177" s="215"/>
      <c r="Y177" s="215"/>
      <c r="Z177" s="215"/>
      <c r="AA177" s="220"/>
      <c r="AB177" s="215"/>
      <c r="AC177" s="220"/>
    </row>
    <row r="178" spans="3:29" x14ac:dyDescent="0.2">
      <c r="C178" s="213"/>
      <c r="D178" s="224"/>
      <c r="E178" s="224"/>
      <c r="G178" s="224"/>
      <c r="H178" s="224"/>
      <c r="I178" s="224"/>
      <c r="J178" s="224"/>
      <c r="K178" s="224"/>
      <c r="L178" s="224"/>
      <c r="M178" s="219"/>
      <c r="N178" s="224"/>
      <c r="O178" s="221"/>
      <c r="P178" s="222"/>
      <c r="Q178" s="244"/>
      <c r="R178" s="223"/>
      <c r="S178" s="220"/>
      <c r="T178" s="244"/>
      <c r="U178" s="220"/>
      <c r="V178" s="220"/>
      <c r="W178" s="215"/>
      <c r="X178" s="215"/>
      <c r="Y178" s="215"/>
      <c r="Z178" s="215"/>
      <c r="AA178" s="220"/>
      <c r="AB178" s="215"/>
      <c r="AC178" s="220"/>
    </row>
    <row r="179" spans="3:29" x14ac:dyDescent="0.2">
      <c r="C179" s="213"/>
      <c r="D179" s="224"/>
      <c r="E179" s="224"/>
      <c r="G179" s="224"/>
      <c r="H179" s="224"/>
      <c r="I179" s="224"/>
      <c r="J179" s="224"/>
      <c r="K179" s="224"/>
      <c r="L179" s="224"/>
      <c r="M179" s="219"/>
      <c r="N179" s="224"/>
      <c r="O179" s="221"/>
      <c r="P179" s="222"/>
      <c r="Q179" s="244"/>
      <c r="R179" s="223"/>
      <c r="S179" s="220"/>
      <c r="T179" s="244"/>
      <c r="U179" s="220"/>
      <c r="V179" s="220"/>
      <c r="W179" s="215"/>
      <c r="X179" s="215"/>
      <c r="Y179" s="215"/>
      <c r="Z179" s="215"/>
      <c r="AA179" s="220"/>
      <c r="AB179" s="215"/>
      <c r="AC179" s="220"/>
    </row>
    <row r="180" spans="3:29" x14ac:dyDescent="0.2">
      <c r="C180" s="213"/>
      <c r="D180" s="224"/>
      <c r="E180" s="224"/>
      <c r="G180" s="224"/>
      <c r="H180" s="224"/>
      <c r="I180" s="224"/>
      <c r="J180" s="224"/>
      <c r="K180" s="224"/>
      <c r="L180" s="224"/>
      <c r="M180" s="219"/>
      <c r="N180" s="224"/>
      <c r="O180" s="221"/>
      <c r="P180" s="222"/>
      <c r="Q180" s="244"/>
      <c r="R180" s="223"/>
      <c r="S180" s="220"/>
      <c r="T180" s="244"/>
      <c r="U180" s="220"/>
      <c r="V180" s="220"/>
      <c r="W180" s="215"/>
      <c r="X180" s="215"/>
      <c r="Y180" s="215"/>
      <c r="Z180" s="215"/>
      <c r="AA180" s="220"/>
      <c r="AB180" s="215"/>
      <c r="AC180" s="220"/>
    </row>
    <row r="181" spans="3:29" x14ac:dyDescent="0.2">
      <c r="C181" s="213"/>
      <c r="D181" s="224"/>
      <c r="E181" s="224"/>
      <c r="G181" s="224"/>
      <c r="H181" s="224"/>
      <c r="I181" s="224"/>
      <c r="J181" s="224"/>
      <c r="K181" s="224"/>
      <c r="L181" s="224"/>
      <c r="M181" s="219"/>
      <c r="N181" s="224"/>
      <c r="O181" s="221"/>
      <c r="P181" s="222"/>
      <c r="Q181" s="244"/>
      <c r="R181" s="223"/>
      <c r="S181" s="220"/>
      <c r="T181" s="244"/>
      <c r="U181" s="220"/>
      <c r="V181" s="220"/>
      <c r="W181" s="215"/>
      <c r="X181" s="215"/>
      <c r="Y181" s="215"/>
      <c r="Z181" s="215"/>
      <c r="AA181" s="220"/>
      <c r="AB181" s="215"/>
      <c r="AC181" s="220"/>
    </row>
    <row r="182" spans="3:29" x14ac:dyDescent="0.2">
      <c r="C182" s="213"/>
      <c r="D182" s="224"/>
      <c r="E182" s="224"/>
      <c r="G182" s="224"/>
      <c r="H182" s="224"/>
      <c r="I182" s="224"/>
      <c r="J182" s="224"/>
      <c r="K182" s="224"/>
      <c r="L182" s="224"/>
      <c r="M182" s="219"/>
      <c r="N182" s="224"/>
      <c r="O182" s="221"/>
      <c r="P182" s="222"/>
      <c r="Q182" s="244"/>
      <c r="R182" s="223"/>
      <c r="S182" s="220"/>
      <c r="T182" s="244"/>
      <c r="U182" s="220"/>
      <c r="V182" s="220"/>
      <c r="W182" s="215"/>
      <c r="X182" s="215"/>
      <c r="Y182" s="215"/>
      <c r="Z182" s="215"/>
      <c r="AA182" s="220"/>
      <c r="AB182" s="215"/>
      <c r="AC182" s="220"/>
    </row>
    <row r="183" spans="3:29" x14ac:dyDescent="0.2">
      <c r="C183" s="213"/>
      <c r="D183" s="224"/>
      <c r="E183" s="224"/>
      <c r="G183" s="224"/>
      <c r="H183" s="224"/>
      <c r="I183" s="224"/>
      <c r="J183" s="224"/>
      <c r="K183" s="224"/>
      <c r="L183" s="224"/>
      <c r="M183" s="219"/>
      <c r="N183" s="224"/>
      <c r="O183" s="221"/>
      <c r="P183" s="222"/>
      <c r="Q183" s="244"/>
      <c r="R183" s="223"/>
      <c r="S183" s="220"/>
      <c r="T183" s="244"/>
      <c r="U183" s="220"/>
      <c r="V183" s="220"/>
      <c r="W183" s="215"/>
      <c r="X183" s="215"/>
      <c r="Y183" s="215"/>
      <c r="Z183" s="215"/>
      <c r="AA183" s="220"/>
      <c r="AB183" s="215"/>
      <c r="AC183" s="220"/>
    </row>
    <row r="184" spans="3:29" x14ac:dyDescent="0.2">
      <c r="C184" s="213"/>
      <c r="D184" s="224"/>
      <c r="E184" s="224"/>
      <c r="G184" s="224"/>
      <c r="H184" s="224"/>
      <c r="I184" s="224"/>
      <c r="J184" s="224"/>
      <c r="K184" s="224"/>
      <c r="L184" s="224"/>
      <c r="M184" s="219"/>
      <c r="N184" s="224"/>
      <c r="O184" s="221"/>
      <c r="P184" s="222"/>
      <c r="Q184" s="244"/>
      <c r="R184" s="223"/>
      <c r="S184" s="220"/>
      <c r="T184" s="244"/>
      <c r="U184" s="220"/>
      <c r="V184" s="220"/>
      <c r="W184" s="215"/>
      <c r="X184" s="215"/>
      <c r="Y184" s="215"/>
      <c r="Z184" s="215"/>
      <c r="AA184" s="220"/>
      <c r="AB184" s="215"/>
      <c r="AC184" s="220"/>
    </row>
    <row r="185" spans="3:29" x14ac:dyDescent="0.2">
      <c r="C185" s="213"/>
      <c r="D185" s="224"/>
      <c r="E185" s="224"/>
      <c r="G185" s="224"/>
      <c r="H185" s="224"/>
      <c r="I185" s="224"/>
      <c r="J185" s="224"/>
      <c r="K185" s="224"/>
      <c r="L185" s="224"/>
      <c r="M185" s="219"/>
      <c r="N185" s="224"/>
      <c r="O185" s="221"/>
      <c r="P185" s="222"/>
      <c r="Q185" s="244"/>
      <c r="R185" s="223"/>
      <c r="S185" s="220"/>
      <c r="T185" s="244"/>
      <c r="U185" s="220"/>
      <c r="V185" s="220"/>
      <c r="W185" s="215"/>
      <c r="X185" s="215"/>
      <c r="Y185" s="215"/>
      <c r="Z185" s="215"/>
      <c r="AA185" s="220"/>
      <c r="AB185" s="215"/>
      <c r="AC185" s="220"/>
    </row>
    <row r="186" spans="3:29" x14ac:dyDescent="0.2">
      <c r="C186" s="213"/>
      <c r="D186" s="224"/>
      <c r="E186" s="224"/>
      <c r="G186" s="224"/>
      <c r="H186" s="224"/>
      <c r="I186" s="224"/>
      <c r="J186" s="224"/>
      <c r="K186" s="224"/>
      <c r="L186" s="224"/>
      <c r="M186" s="219"/>
      <c r="N186" s="224"/>
      <c r="O186" s="221"/>
      <c r="P186" s="222"/>
      <c r="Q186" s="244"/>
      <c r="R186" s="223"/>
      <c r="S186" s="220"/>
      <c r="T186" s="244"/>
      <c r="U186" s="220"/>
      <c r="V186" s="220"/>
      <c r="W186" s="215"/>
      <c r="X186" s="215"/>
      <c r="Y186" s="215"/>
      <c r="Z186" s="215"/>
      <c r="AA186" s="220"/>
      <c r="AB186" s="215"/>
      <c r="AC186" s="220"/>
    </row>
    <row r="187" spans="3:29" x14ac:dyDescent="0.2">
      <c r="C187" s="213"/>
      <c r="D187" s="224"/>
      <c r="E187" s="224"/>
      <c r="G187" s="224"/>
      <c r="H187" s="224"/>
      <c r="I187" s="224"/>
      <c r="J187" s="224"/>
      <c r="K187" s="224"/>
      <c r="L187" s="224"/>
      <c r="M187" s="219"/>
      <c r="N187" s="224"/>
      <c r="O187" s="221"/>
      <c r="P187" s="222"/>
      <c r="Q187" s="244"/>
      <c r="R187" s="223"/>
      <c r="S187" s="220"/>
      <c r="T187" s="244"/>
      <c r="U187" s="220"/>
      <c r="V187" s="220"/>
      <c r="W187" s="215"/>
      <c r="X187" s="215"/>
      <c r="Y187" s="215"/>
      <c r="Z187" s="215"/>
      <c r="AA187" s="220"/>
      <c r="AB187" s="215"/>
      <c r="AC187" s="220"/>
    </row>
    <row r="188" spans="3:29" x14ac:dyDescent="0.2">
      <c r="C188" s="213"/>
      <c r="D188" s="224"/>
      <c r="E188" s="224"/>
      <c r="G188" s="224"/>
      <c r="H188" s="224"/>
      <c r="I188" s="224"/>
      <c r="J188" s="224"/>
      <c r="K188" s="224"/>
      <c r="L188" s="224"/>
      <c r="M188" s="219"/>
      <c r="N188" s="224"/>
      <c r="O188" s="221"/>
      <c r="P188" s="222"/>
      <c r="Q188" s="244"/>
      <c r="R188" s="223"/>
      <c r="S188" s="220"/>
      <c r="T188" s="244"/>
      <c r="U188" s="220"/>
      <c r="V188" s="220"/>
      <c r="W188" s="215"/>
      <c r="X188" s="215"/>
      <c r="Y188" s="215"/>
      <c r="Z188" s="215"/>
      <c r="AA188" s="220"/>
      <c r="AB188" s="215"/>
      <c r="AC188" s="220"/>
    </row>
    <row r="189" spans="3:29" x14ac:dyDescent="0.2">
      <c r="C189" s="213"/>
      <c r="D189" s="224"/>
      <c r="E189" s="224"/>
      <c r="G189" s="224"/>
      <c r="H189" s="224"/>
      <c r="I189" s="224"/>
      <c r="J189" s="224"/>
      <c r="K189" s="224"/>
      <c r="L189" s="224"/>
      <c r="M189" s="219"/>
      <c r="N189" s="224"/>
      <c r="O189" s="221"/>
      <c r="P189" s="222"/>
      <c r="Q189" s="244"/>
      <c r="R189" s="223"/>
      <c r="S189" s="220"/>
      <c r="T189" s="244"/>
      <c r="U189" s="220"/>
      <c r="V189" s="220"/>
      <c r="W189" s="215"/>
      <c r="X189" s="215"/>
      <c r="Y189" s="215"/>
      <c r="Z189" s="215"/>
      <c r="AA189" s="220"/>
      <c r="AB189" s="215"/>
      <c r="AC189" s="220"/>
    </row>
    <row r="190" spans="3:29" x14ac:dyDescent="0.2">
      <c r="C190" s="213"/>
      <c r="D190" s="224"/>
      <c r="E190" s="224"/>
      <c r="G190" s="224"/>
      <c r="H190" s="224"/>
      <c r="I190" s="224"/>
      <c r="J190" s="224"/>
      <c r="K190" s="224"/>
      <c r="L190" s="224"/>
      <c r="M190" s="219"/>
      <c r="N190" s="224"/>
      <c r="O190" s="221"/>
      <c r="P190" s="222"/>
      <c r="Q190" s="244"/>
      <c r="R190" s="223"/>
      <c r="S190" s="220"/>
      <c r="T190" s="244"/>
      <c r="U190" s="220"/>
      <c r="V190" s="220"/>
      <c r="W190" s="215"/>
      <c r="X190" s="215"/>
      <c r="Y190" s="215"/>
      <c r="Z190" s="215"/>
      <c r="AA190" s="220"/>
      <c r="AB190" s="215"/>
      <c r="AC190" s="220"/>
    </row>
    <row r="191" spans="3:29" x14ac:dyDescent="0.2">
      <c r="C191" s="213"/>
      <c r="D191" s="224"/>
      <c r="E191" s="224"/>
      <c r="G191" s="224"/>
      <c r="H191" s="224"/>
      <c r="I191" s="224"/>
      <c r="J191" s="224"/>
      <c r="K191" s="224"/>
      <c r="L191" s="224"/>
      <c r="M191" s="219"/>
      <c r="N191" s="224"/>
      <c r="O191" s="221"/>
      <c r="P191" s="222"/>
      <c r="Q191" s="244"/>
      <c r="R191" s="223"/>
      <c r="S191" s="220"/>
      <c r="T191" s="244"/>
      <c r="U191" s="220"/>
      <c r="V191" s="220"/>
      <c r="W191" s="215"/>
      <c r="X191" s="215"/>
      <c r="Y191" s="215"/>
      <c r="Z191" s="215"/>
      <c r="AA191" s="220"/>
      <c r="AB191" s="215"/>
      <c r="AC191" s="220"/>
    </row>
    <row r="192" spans="3:29" x14ac:dyDescent="0.2">
      <c r="C192" s="213"/>
      <c r="D192" s="224"/>
      <c r="E192" s="224"/>
      <c r="G192" s="224"/>
      <c r="H192" s="224"/>
      <c r="I192" s="224"/>
      <c r="J192" s="224"/>
      <c r="K192" s="224"/>
      <c r="L192" s="224"/>
      <c r="M192" s="219"/>
      <c r="N192" s="224"/>
      <c r="O192" s="221"/>
      <c r="P192" s="222"/>
      <c r="Q192" s="244"/>
      <c r="R192" s="223"/>
      <c r="S192" s="220"/>
      <c r="T192" s="244"/>
      <c r="U192" s="220"/>
      <c r="V192" s="220"/>
      <c r="W192" s="215"/>
      <c r="X192" s="215"/>
      <c r="Y192" s="215"/>
      <c r="Z192" s="215"/>
      <c r="AA192" s="220"/>
      <c r="AB192" s="215"/>
      <c r="AC192" s="220"/>
    </row>
    <row r="193" spans="3:29" x14ac:dyDescent="0.2">
      <c r="C193" s="213"/>
      <c r="D193" s="224"/>
      <c r="E193" s="224"/>
      <c r="G193" s="224"/>
      <c r="H193" s="224"/>
      <c r="I193" s="224"/>
      <c r="J193" s="224"/>
      <c r="K193" s="224"/>
      <c r="L193" s="224"/>
      <c r="M193" s="219"/>
      <c r="N193" s="224"/>
      <c r="O193" s="221"/>
      <c r="P193" s="222"/>
      <c r="Q193" s="244"/>
      <c r="R193" s="223"/>
      <c r="S193" s="220"/>
      <c r="T193" s="244"/>
      <c r="U193" s="220"/>
      <c r="V193" s="220"/>
      <c r="W193" s="215"/>
      <c r="X193" s="215"/>
      <c r="Y193" s="215"/>
      <c r="Z193" s="215"/>
      <c r="AA193" s="220"/>
      <c r="AB193" s="215"/>
      <c r="AC193" s="220"/>
    </row>
    <row r="194" spans="3:29" x14ac:dyDescent="0.2">
      <c r="C194" s="213"/>
      <c r="D194" s="224"/>
      <c r="E194" s="224"/>
      <c r="G194" s="224"/>
      <c r="H194" s="224"/>
      <c r="I194" s="224"/>
      <c r="J194" s="224"/>
      <c r="K194" s="224"/>
      <c r="L194" s="224"/>
      <c r="M194" s="219"/>
      <c r="N194" s="224"/>
      <c r="O194" s="221"/>
      <c r="P194" s="222"/>
      <c r="Q194" s="244"/>
      <c r="R194" s="223"/>
      <c r="S194" s="220"/>
      <c r="T194" s="244"/>
      <c r="U194" s="220"/>
      <c r="V194" s="220"/>
      <c r="W194" s="215"/>
      <c r="X194" s="215"/>
      <c r="Y194" s="215"/>
      <c r="Z194" s="215"/>
      <c r="AA194" s="220"/>
      <c r="AB194" s="215"/>
      <c r="AC194" s="220"/>
    </row>
    <row r="195" spans="3:29" x14ac:dyDescent="0.2">
      <c r="C195" s="213"/>
      <c r="D195" s="224"/>
      <c r="E195" s="224"/>
      <c r="G195" s="224"/>
      <c r="H195" s="224"/>
      <c r="I195" s="224"/>
      <c r="J195" s="224"/>
      <c r="K195" s="224"/>
      <c r="L195" s="224"/>
      <c r="M195" s="219"/>
      <c r="N195" s="224"/>
      <c r="O195" s="221"/>
      <c r="P195" s="222"/>
      <c r="Q195" s="244"/>
      <c r="R195" s="223"/>
      <c r="S195" s="220"/>
      <c r="T195" s="244"/>
      <c r="U195" s="220"/>
      <c r="V195" s="220"/>
      <c r="W195" s="215"/>
      <c r="X195" s="215"/>
      <c r="Y195" s="215"/>
      <c r="Z195" s="215"/>
      <c r="AA195" s="220"/>
      <c r="AB195" s="215"/>
      <c r="AC195" s="220"/>
    </row>
    <row r="196" spans="3:29" x14ac:dyDescent="0.2">
      <c r="C196" s="213"/>
      <c r="D196" s="224"/>
      <c r="E196" s="224"/>
      <c r="G196" s="224"/>
      <c r="H196" s="224"/>
      <c r="I196" s="224"/>
      <c r="J196" s="224"/>
      <c r="K196" s="224"/>
      <c r="L196" s="224"/>
      <c r="M196" s="219"/>
      <c r="N196" s="224"/>
      <c r="O196" s="221"/>
      <c r="P196" s="222"/>
      <c r="Q196" s="244"/>
      <c r="R196" s="223"/>
      <c r="S196" s="220"/>
      <c r="T196" s="244"/>
      <c r="U196" s="220"/>
      <c r="V196" s="220"/>
      <c r="W196" s="215"/>
      <c r="X196" s="215"/>
      <c r="Y196" s="215"/>
      <c r="Z196" s="215"/>
      <c r="AA196" s="220"/>
      <c r="AB196" s="215"/>
      <c r="AC196" s="220"/>
    </row>
    <row r="197" spans="3:29" x14ac:dyDescent="0.2">
      <c r="C197" s="213"/>
      <c r="D197" s="224"/>
      <c r="E197" s="224"/>
      <c r="G197" s="224"/>
      <c r="H197" s="224"/>
      <c r="I197" s="224"/>
      <c r="J197" s="224"/>
      <c r="K197" s="224"/>
      <c r="L197" s="224"/>
      <c r="M197" s="219"/>
      <c r="N197" s="224"/>
      <c r="O197" s="221"/>
      <c r="P197" s="222"/>
      <c r="Q197" s="244"/>
      <c r="R197" s="223"/>
      <c r="S197" s="220"/>
      <c r="T197" s="244"/>
      <c r="U197" s="220"/>
      <c r="V197" s="220"/>
      <c r="W197" s="215"/>
      <c r="X197" s="215"/>
      <c r="Y197" s="215"/>
      <c r="Z197" s="215"/>
      <c r="AA197" s="220"/>
      <c r="AB197" s="215"/>
      <c r="AC197" s="220"/>
    </row>
    <row r="198" spans="3:29" x14ac:dyDescent="0.2">
      <c r="C198" s="213"/>
      <c r="D198" s="224"/>
      <c r="E198" s="224"/>
      <c r="G198" s="224"/>
      <c r="H198" s="224"/>
      <c r="I198" s="224"/>
      <c r="J198" s="224"/>
      <c r="K198" s="224"/>
      <c r="L198" s="224"/>
      <c r="M198" s="219"/>
      <c r="N198" s="224"/>
      <c r="O198" s="221"/>
      <c r="P198" s="222"/>
      <c r="Q198" s="244"/>
      <c r="R198" s="223"/>
      <c r="S198" s="220"/>
      <c r="T198" s="244"/>
      <c r="U198" s="220"/>
      <c r="V198" s="220"/>
      <c r="W198" s="215"/>
      <c r="X198" s="215"/>
      <c r="Y198" s="215"/>
      <c r="Z198" s="215"/>
      <c r="AA198" s="220"/>
      <c r="AB198" s="215"/>
      <c r="AC198" s="220"/>
    </row>
    <row r="199" spans="3:29" x14ac:dyDescent="0.2">
      <c r="C199" s="213"/>
      <c r="D199" s="224"/>
      <c r="E199" s="224"/>
      <c r="G199" s="224"/>
      <c r="H199" s="224"/>
      <c r="I199" s="224"/>
      <c r="J199" s="224"/>
      <c r="K199" s="224"/>
      <c r="L199" s="224"/>
      <c r="M199" s="219"/>
      <c r="N199" s="224"/>
      <c r="O199" s="221"/>
      <c r="P199" s="222"/>
      <c r="Q199" s="244"/>
      <c r="R199" s="223"/>
      <c r="S199" s="220"/>
      <c r="T199" s="244"/>
      <c r="U199" s="220"/>
      <c r="V199" s="220"/>
      <c r="W199" s="215"/>
      <c r="X199" s="215"/>
      <c r="Y199" s="215"/>
      <c r="Z199" s="215"/>
      <c r="AA199" s="220"/>
      <c r="AB199" s="215"/>
      <c r="AC199" s="220"/>
    </row>
    <row r="200" spans="3:29" x14ac:dyDescent="0.2">
      <c r="C200" s="213"/>
      <c r="D200" s="224"/>
      <c r="E200" s="224"/>
      <c r="G200" s="224"/>
      <c r="H200" s="224"/>
      <c r="I200" s="224"/>
      <c r="J200" s="224"/>
      <c r="K200" s="224"/>
      <c r="L200" s="224"/>
      <c r="M200" s="219"/>
      <c r="N200" s="224"/>
      <c r="O200" s="221"/>
      <c r="P200" s="222"/>
      <c r="Q200" s="244"/>
      <c r="R200" s="223"/>
      <c r="S200" s="220"/>
      <c r="T200" s="244"/>
      <c r="U200" s="220"/>
      <c r="V200" s="220"/>
      <c r="W200" s="215"/>
      <c r="X200" s="215"/>
      <c r="Y200" s="215"/>
      <c r="Z200" s="215"/>
      <c r="AA200" s="220"/>
      <c r="AB200" s="215"/>
      <c r="AC200" s="220"/>
    </row>
    <row r="201" spans="3:29" x14ac:dyDescent="0.2">
      <c r="C201" s="213"/>
      <c r="D201" s="224"/>
      <c r="E201" s="224"/>
      <c r="G201" s="224"/>
      <c r="H201" s="224"/>
      <c r="I201" s="224"/>
      <c r="J201" s="224"/>
      <c r="K201" s="224"/>
      <c r="L201" s="224"/>
      <c r="M201" s="219"/>
      <c r="N201" s="224"/>
      <c r="O201" s="221"/>
      <c r="P201" s="222"/>
      <c r="Q201" s="244"/>
      <c r="R201" s="223"/>
      <c r="S201" s="220"/>
      <c r="T201" s="244"/>
      <c r="U201" s="220"/>
      <c r="V201" s="220"/>
      <c r="W201" s="215"/>
      <c r="X201" s="215"/>
      <c r="Y201" s="215"/>
      <c r="Z201" s="215"/>
      <c r="AA201" s="220"/>
      <c r="AB201" s="215"/>
      <c r="AC201" s="220"/>
    </row>
    <row r="202" spans="3:29" x14ac:dyDescent="0.2">
      <c r="C202" s="213"/>
      <c r="D202" s="224"/>
      <c r="E202" s="224"/>
      <c r="G202" s="224"/>
      <c r="H202" s="224"/>
      <c r="I202" s="224"/>
      <c r="J202" s="224"/>
      <c r="K202" s="224"/>
      <c r="L202" s="224"/>
      <c r="M202" s="219"/>
      <c r="N202" s="224"/>
      <c r="O202" s="221"/>
      <c r="P202" s="222"/>
      <c r="Q202" s="244"/>
      <c r="R202" s="223"/>
      <c r="S202" s="220"/>
      <c r="T202" s="244"/>
      <c r="U202" s="220"/>
      <c r="V202" s="220"/>
      <c r="W202" s="215"/>
      <c r="X202" s="215"/>
      <c r="Y202" s="215"/>
      <c r="Z202" s="215"/>
      <c r="AA202" s="220"/>
      <c r="AB202" s="215"/>
      <c r="AC202" s="220"/>
    </row>
    <row r="203" spans="3:29" x14ac:dyDescent="0.2">
      <c r="C203" s="213"/>
      <c r="D203" s="224"/>
      <c r="E203" s="224"/>
      <c r="G203" s="224"/>
      <c r="H203" s="224"/>
      <c r="I203" s="224"/>
      <c r="J203" s="224"/>
      <c r="K203" s="224"/>
      <c r="L203" s="224"/>
      <c r="M203" s="219"/>
      <c r="N203" s="224"/>
      <c r="O203" s="221"/>
      <c r="P203" s="222"/>
      <c r="Q203" s="244"/>
      <c r="R203" s="223"/>
      <c r="S203" s="220"/>
      <c r="T203" s="244"/>
      <c r="U203" s="220"/>
      <c r="V203" s="220"/>
      <c r="W203" s="215"/>
      <c r="X203" s="215"/>
      <c r="Y203" s="215"/>
      <c r="Z203" s="215"/>
      <c r="AA203" s="220"/>
      <c r="AB203" s="215"/>
      <c r="AC203" s="220"/>
    </row>
    <row r="204" spans="3:29" x14ac:dyDescent="0.2">
      <c r="C204" s="213"/>
      <c r="D204" s="224"/>
      <c r="E204" s="224"/>
      <c r="G204" s="224"/>
      <c r="H204" s="224"/>
      <c r="I204" s="224"/>
      <c r="J204" s="224"/>
      <c r="K204" s="224"/>
      <c r="L204" s="224"/>
      <c r="M204" s="219"/>
      <c r="N204" s="224"/>
      <c r="O204" s="221"/>
      <c r="P204" s="222"/>
      <c r="Q204" s="244"/>
      <c r="R204" s="223"/>
      <c r="S204" s="220"/>
      <c r="T204" s="244"/>
      <c r="U204" s="220"/>
      <c r="V204" s="220"/>
      <c r="W204" s="215"/>
      <c r="X204" s="215"/>
      <c r="Y204" s="215"/>
      <c r="Z204" s="215"/>
      <c r="AA204" s="220"/>
      <c r="AB204" s="215"/>
      <c r="AC204" s="220"/>
    </row>
    <row r="205" spans="3:29" x14ac:dyDescent="0.2">
      <c r="C205" s="213"/>
      <c r="D205" s="224"/>
      <c r="E205" s="224"/>
      <c r="G205" s="224"/>
      <c r="H205" s="224"/>
      <c r="I205" s="224"/>
      <c r="J205" s="224"/>
      <c r="K205" s="224"/>
      <c r="L205" s="224"/>
      <c r="M205" s="219"/>
      <c r="N205" s="224"/>
      <c r="O205" s="221"/>
      <c r="P205" s="222"/>
      <c r="Q205" s="244"/>
      <c r="R205" s="223"/>
      <c r="S205" s="220"/>
      <c r="T205" s="244"/>
      <c r="U205" s="220"/>
      <c r="V205" s="220"/>
      <c r="W205" s="215"/>
      <c r="X205" s="215"/>
      <c r="Y205" s="215"/>
      <c r="Z205" s="215"/>
      <c r="AA205" s="220"/>
      <c r="AB205" s="215"/>
      <c r="AC205" s="220"/>
    </row>
    <row r="206" spans="3:29" x14ac:dyDescent="0.2">
      <c r="C206" s="213"/>
      <c r="D206" s="224"/>
      <c r="E206" s="224"/>
      <c r="G206" s="224"/>
      <c r="H206" s="224"/>
      <c r="I206" s="224"/>
      <c r="J206" s="224"/>
      <c r="K206" s="224"/>
      <c r="L206" s="224"/>
      <c r="M206" s="219"/>
      <c r="N206" s="224"/>
      <c r="O206" s="221"/>
      <c r="P206" s="222"/>
      <c r="Q206" s="244"/>
      <c r="R206" s="223"/>
      <c r="S206" s="220"/>
      <c r="T206" s="244"/>
      <c r="U206" s="220"/>
      <c r="V206" s="220"/>
      <c r="W206" s="215"/>
      <c r="X206" s="215"/>
      <c r="Y206" s="215"/>
      <c r="Z206" s="215"/>
      <c r="AA206" s="220"/>
      <c r="AB206" s="215"/>
      <c r="AC206" s="220"/>
    </row>
    <row r="207" spans="3:29" x14ac:dyDescent="0.2">
      <c r="C207" s="213"/>
      <c r="D207" s="224"/>
      <c r="E207" s="224"/>
      <c r="G207" s="224"/>
      <c r="H207" s="224"/>
      <c r="I207" s="224"/>
      <c r="J207" s="224"/>
      <c r="K207" s="224"/>
      <c r="L207" s="224"/>
      <c r="M207" s="219"/>
      <c r="N207" s="224"/>
      <c r="O207" s="221"/>
      <c r="P207" s="222"/>
      <c r="Q207" s="244"/>
      <c r="R207" s="223"/>
      <c r="S207" s="220"/>
      <c r="T207" s="244"/>
      <c r="U207" s="220"/>
      <c r="V207" s="220"/>
      <c r="W207" s="215"/>
      <c r="X207" s="215"/>
      <c r="Y207" s="215"/>
      <c r="Z207" s="215"/>
      <c r="AA207" s="220"/>
      <c r="AB207" s="215"/>
      <c r="AC207" s="220"/>
    </row>
    <row r="208" spans="3:29" x14ac:dyDescent="0.2">
      <c r="C208" s="213"/>
      <c r="D208" s="224"/>
      <c r="E208" s="224"/>
      <c r="G208" s="224"/>
      <c r="H208" s="224"/>
      <c r="I208" s="224"/>
      <c r="J208" s="224"/>
      <c r="K208" s="224"/>
      <c r="L208" s="224"/>
      <c r="M208" s="219"/>
      <c r="N208" s="224"/>
      <c r="O208" s="221"/>
      <c r="P208" s="222"/>
      <c r="Q208" s="244"/>
      <c r="R208" s="223"/>
      <c r="S208" s="220"/>
      <c r="T208" s="244"/>
      <c r="U208" s="220"/>
      <c r="V208" s="220"/>
      <c r="W208" s="215"/>
      <c r="X208" s="215"/>
      <c r="Y208" s="215"/>
      <c r="Z208" s="215"/>
      <c r="AA208" s="220"/>
      <c r="AB208" s="215"/>
      <c r="AC208" s="220"/>
    </row>
    <row r="209" spans="3:29" x14ac:dyDescent="0.2">
      <c r="C209" s="213"/>
      <c r="D209" s="224"/>
      <c r="E209" s="224"/>
      <c r="G209" s="224"/>
      <c r="H209" s="224"/>
      <c r="I209" s="224"/>
      <c r="J209" s="224"/>
      <c r="K209" s="224"/>
      <c r="L209" s="224"/>
      <c r="M209" s="219"/>
      <c r="N209" s="224"/>
      <c r="O209" s="221"/>
      <c r="P209" s="222"/>
      <c r="Q209" s="244"/>
      <c r="R209" s="223"/>
      <c r="S209" s="220"/>
      <c r="T209" s="244"/>
      <c r="U209" s="220"/>
      <c r="V209" s="220"/>
      <c r="W209" s="215"/>
      <c r="X209" s="215"/>
      <c r="Y209" s="215"/>
      <c r="Z209" s="215"/>
      <c r="AA209" s="220"/>
      <c r="AB209" s="215"/>
      <c r="AC209" s="220"/>
    </row>
    <row r="210" spans="3:29" x14ac:dyDescent="0.2">
      <c r="C210" s="213"/>
      <c r="D210" s="224"/>
      <c r="E210" s="224"/>
      <c r="G210" s="224"/>
      <c r="H210" s="224"/>
      <c r="I210" s="224"/>
      <c r="J210" s="224"/>
      <c r="K210" s="224"/>
      <c r="L210" s="224"/>
      <c r="M210" s="219"/>
      <c r="N210" s="224"/>
      <c r="O210" s="221"/>
      <c r="P210" s="222"/>
      <c r="Q210" s="244"/>
      <c r="R210" s="223"/>
      <c r="S210" s="220"/>
      <c r="T210" s="244"/>
      <c r="U210" s="220"/>
      <c r="V210" s="220"/>
      <c r="W210" s="215"/>
      <c r="X210" s="215"/>
      <c r="Y210" s="215"/>
      <c r="Z210" s="215"/>
      <c r="AA210" s="220"/>
      <c r="AB210" s="215"/>
      <c r="AC210" s="220"/>
    </row>
    <row r="211" spans="3:29" x14ac:dyDescent="0.2">
      <c r="C211" s="213"/>
      <c r="D211" s="224"/>
      <c r="E211" s="224"/>
      <c r="G211" s="224"/>
      <c r="H211" s="224"/>
      <c r="I211" s="224"/>
      <c r="J211" s="224"/>
      <c r="K211" s="224"/>
      <c r="L211" s="224"/>
      <c r="M211" s="219"/>
      <c r="N211" s="224"/>
      <c r="O211" s="221"/>
      <c r="P211" s="222"/>
      <c r="Q211" s="244"/>
      <c r="R211" s="223"/>
      <c r="S211" s="220"/>
      <c r="T211" s="244"/>
      <c r="U211" s="220"/>
      <c r="V211" s="220"/>
      <c r="W211" s="215"/>
      <c r="X211" s="215"/>
      <c r="Y211" s="215"/>
      <c r="Z211" s="215"/>
      <c r="AA211" s="220"/>
      <c r="AB211" s="215"/>
      <c r="AC211" s="220"/>
    </row>
    <row r="212" spans="3:29" x14ac:dyDescent="0.2">
      <c r="C212" s="213"/>
      <c r="D212" s="224"/>
      <c r="E212" s="224"/>
      <c r="G212" s="224"/>
      <c r="H212" s="224"/>
      <c r="I212" s="224"/>
      <c r="J212" s="224"/>
      <c r="K212" s="224"/>
      <c r="L212" s="224"/>
      <c r="M212" s="219"/>
      <c r="N212" s="224"/>
      <c r="O212" s="221"/>
      <c r="P212" s="222"/>
      <c r="Q212" s="244"/>
      <c r="R212" s="223"/>
      <c r="S212" s="220"/>
      <c r="T212" s="244"/>
      <c r="U212" s="220"/>
      <c r="V212" s="220"/>
      <c r="W212" s="215"/>
      <c r="X212" s="215"/>
      <c r="Y212" s="215"/>
      <c r="Z212" s="215"/>
      <c r="AA212" s="220"/>
      <c r="AB212" s="215"/>
      <c r="AC212" s="220"/>
    </row>
    <row r="213" spans="3:29" x14ac:dyDescent="0.2">
      <c r="C213" s="213"/>
      <c r="D213" s="224"/>
      <c r="E213" s="224"/>
      <c r="G213" s="224"/>
      <c r="H213" s="224"/>
      <c r="I213" s="224"/>
      <c r="J213" s="224"/>
      <c r="K213" s="224"/>
      <c r="L213" s="224"/>
      <c r="M213" s="219"/>
      <c r="N213" s="224"/>
      <c r="O213" s="221"/>
      <c r="P213" s="222"/>
      <c r="Q213" s="244"/>
      <c r="R213" s="223"/>
      <c r="S213" s="220"/>
      <c r="T213" s="244"/>
      <c r="U213" s="220"/>
      <c r="V213" s="220"/>
      <c r="W213" s="215"/>
      <c r="X213" s="215"/>
      <c r="Y213" s="215"/>
      <c r="Z213" s="215"/>
      <c r="AA213" s="220"/>
      <c r="AB213" s="215"/>
      <c r="AC213" s="220"/>
    </row>
    <row r="214" spans="3:29" x14ac:dyDescent="0.2">
      <c r="C214" s="213"/>
      <c r="D214" s="224"/>
      <c r="E214" s="224"/>
      <c r="G214" s="224"/>
      <c r="H214" s="224"/>
      <c r="I214" s="224"/>
      <c r="J214" s="224"/>
      <c r="K214" s="224"/>
      <c r="L214" s="224"/>
      <c r="M214" s="219"/>
      <c r="N214" s="224"/>
      <c r="O214" s="221"/>
      <c r="P214" s="222"/>
      <c r="Q214" s="244"/>
      <c r="R214" s="223"/>
      <c r="S214" s="220"/>
      <c r="T214" s="244"/>
      <c r="U214" s="220"/>
      <c r="V214" s="220"/>
      <c r="W214" s="215"/>
      <c r="X214" s="215"/>
      <c r="Y214" s="215"/>
      <c r="Z214" s="215"/>
      <c r="AA214" s="220"/>
      <c r="AB214" s="215"/>
      <c r="AC214" s="220"/>
    </row>
    <row r="215" spans="3:29" x14ac:dyDescent="0.2">
      <c r="C215" s="213"/>
      <c r="D215" s="224"/>
      <c r="E215" s="224"/>
      <c r="G215" s="224"/>
      <c r="H215" s="224"/>
      <c r="I215" s="224"/>
      <c r="J215" s="224"/>
      <c r="K215" s="224"/>
      <c r="L215" s="224"/>
      <c r="M215" s="219"/>
      <c r="N215" s="224"/>
      <c r="O215" s="221"/>
      <c r="P215" s="222"/>
      <c r="Q215" s="244"/>
      <c r="R215" s="223"/>
      <c r="S215" s="220"/>
      <c r="T215" s="244"/>
      <c r="U215" s="220"/>
      <c r="V215" s="220"/>
      <c r="W215" s="215"/>
      <c r="X215" s="215"/>
      <c r="Y215" s="215"/>
      <c r="Z215" s="215"/>
      <c r="AA215" s="220"/>
      <c r="AB215" s="215"/>
      <c r="AC215" s="220"/>
    </row>
    <row r="216" spans="3:29" x14ac:dyDescent="0.2">
      <c r="C216" s="213"/>
      <c r="D216" s="224"/>
      <c r="E216" s="224"/>
      <c r="G216" s="224"/>
      <c r="H216" s="224"/>
      <c r="I216" s="224"/>
      <c r="J216" s="224"/>
      <c r="K216" s="224"/>
      <c r="L216" s="224"/>
      <c r="M216" s="219"/>
      <c r="N216" s="224"/>
      <c r="O216" s="221"/>
      <c r="P216" s="222"/>
      <c r="Q216" s="244"/>
      <c r="R216" s="223"/>
      <c r="S216" s="220"/>
      <c r="T216" s="244"/>
      <c r="U216" s="220"/>
      <c r="V216" s="220"/>
      <c r="W216" s="215"/>
      <c r="X216" s="215"/>
      <c r="Y216" s="215"/>
      <c r="Z216" s="215"/>
      <c r="AA216" s="220"/>
      <c r="AB216" s="215"/>
      <c r="AC216" s="220"/>
    </row>
    <row r="217" spans="3:29" x14ac:dyDescent="0.2">
      <c r="C217" s="213"/>
      <c r="D217" s="224"/>
      <c r="E217" s="224"/>
      <c r="G217" s="224"/>
      <c r="H217" s="224"/>
      <c r="I217" s="224"/>
      <c r="J217" s="224"/>
      <c r="K217" s="224"/>
      <c r="L217" s="224"/>
      <c r="M217" s="219"/>
      <c r="N217" s="224"/>
      <c r="O217" s="221"/>
      <c r="P217" s="222"/>
      <c r="Q217" s="244"/>
      <c r="R217" s="223"/>
      <c r="S217" s="220"/>
      <c r="T217" s="244"/>
      <c r="U217" s="220"/>
      <c r="V217" s="220"/>
      <c r="W217" s="215"/>
      <c r="X217" s="215"/>
      <c r="Y217" s="215"/>
      <c r="Z217" s="215"/>
      <c r="AA217" s="220"/>
      <c r="AB217" s="215"/>
      <c r="AC217" s="220"/>
    </row>
    <row r="218" spans="3:29" x14ac:dyDescent="0.2">
      <c r="C218" s="213"/>
      <c r="D218" s="224"/>
      <c r="E218" s="224"/>
      <c r="G218" s="224"/>
      <c r="H218" s="224"/>
      <c r="I218" s="224"/>
      <c r="J218" s="224"/>
      <c r="K218" s="224"/>
      <c r="L218" s="224"/>
      <c r="M218" s="219"/>
      <c r="N218" s="224"/>
      <c r="O218" s="221"/>
      <c r="P218" s="222"/>
      <c r="Q218" s="244"/>
      <c r="R218" s="223"/>
      <c r="S218" s="220"/>
      <c r="T218" s="244"/>
      <c r="U218" s="220"/>
      <c r="V218" s="220"/>
      <c r="W218" s="215"/>
      <c r="X218" s="215"/>
      <c r="Y218" s="215"/>
      <c r="Z218" s="215"/>
      <c r="AA218" s="220"/>
      <c r="AB218" s="215"/>
      <c r="AC218" s="220"/>
    </row>
    <row r="219" spans="3:29" x14ac:dyDescent="0.2">
      <c r="C219" s="213"/>
      <c r="D219" s="224"/>
      <c r="E219" s="224"/>
      <c r="G219" s="224"/>
      <c r="H219" s="224"/>
      <c r="I219" s="224"/>
      <c r="J219" s="224"/>
      <c r="K219" s="224"/>
      <c r="L219" s="224"/>
      <c r="M219" s="219"/>
      <c r="N219" s="224"/>
      <c r="O219" s="221"/>
      <c r="P219" s="222"/>
      <c r="Q219" s="244"/>
      <c r="R219" s="223"/>
      <c r="S219" s="220"/>
      <c r="T219" s="244"/>
      <c r="U219" s="220"/>
      <c r="V219" s="220"/>
      <c r="W219" s="215"/>
      <c r="X219" s="215"/>
      <c r="Y219" s="215"/>
      <c r="Z219" s="215"/>
      <c r="AA219" s="220"/>
      <c r="AB219" s="215"/>
      <c r="AC219" s="220"/>
    </row>
    <row r="220" spans="3:29" x14ac:dyDescent="0.2">
      <c r="C220" s="213"/>
      <c r="D220" s="224"/>
      <c r="E220" s="224"/>
      <c r="G220" s="224"/>
      <c r="H220" s="224"/>
      <c r="I220" s="224"/>
      <c r="J220" s="224"/>
      <c r="K220" s="224"/>
      <c r="L220" s="224"/>
      <c r="M220" s="219"/>
      <c r="N220" s="224"/>
      <c r="O220" s="221"/>
      <c r="P220" s="222"/>
      <c r="Q220" s="244"/>
      <c r="R220" s="223"/>
      <c r="S220" s="220"/>
      <c r="T220" s="244"/>
      <c r="U220" s="220"/>
      <c r="V220" s="220"/>
      <c r="W220" s="215"/>
      <c r="X220" s="215"/>
      <c r="Y220" s="215"/>
      <c r="Z220" s="215"/>
      <c r="AA220" s="220"/>
      <c r="AB220" s="215"/>
      <c r="AC220" s="220"/>
    </row>
    <row r="221" spans="3:29" x14ac:dyDescent="0.2">
      <c r="C221" s="213"/>
      <c r="D221" s="224"/>
      <c r="E221" s="224"/>
      <c r="G221" s="224"/>
      <c r="H221" s="224"/>
      <c r="I221" s="224"/>
      <c r="J221" s="224"/>
      <c r="K221" s="224"/>
      <c r="L221" s="224"/>
      <c r="M221" s="219"/>
      <c r="N221" s="224"/>
      <c r="O221" s="221"/>
      <c r="P221" s="222"/>
      <c r="Q221" s="244"/>
      <c r="R221" s="223"/>
      <c r="S221" s="220"/>
      <c r="T221" s="244"/>
      <c r="U221" s="220"/>
      <c r="V221" s="220"/>
      <c r="W221" s="215"/>
      <c r="X221" s="215"/>
      <c r="Y221" s="215"/>
      <c r="Z221" s="215"/>
      <c r="AA221" s="220"/>
      <c r="AB221" s="215"/>
      <c r="AC221" s="220"/>
    </row>
    <row r="222" spans="3:29" x14ac:dyDescent="0.2">
      <c r="C222" s="213"/>
      <c r="D222" s="224"/>
      <c r="E222" s="224"/>
      <c r="G222" s="224"/>
      <c r="H222" s="224"/>
      <c r="I222" s="224"/>
      <c r="J222" s="224"/>
      <c r="K222" s="224"/>
      <c r="L222" s="224"/>
      <c r="M222" s="219"/>
      <c r="N222" s="224"/>
      <c r="O222" s="221"/>
      <c r="P222" s="222"/>
      <c r="Q222" s="244"/>
      <c r="R222" s="223"/>
      <c r="S222" s="220"/>
      <c r="T222" s="244"/>
      <c r="U222" s="220"/>
      <c r="V222" s="220"/>
      <c r="W222" s="215"/>
      <c r="X222" s="215"/>
      <c r="Y222" s="215"/>
      <c r="Z222" s="215"/>
      <c r="AA222" s="220"/>
      <c r="AB222" s="215"/>
      <c r="AC222" s="220"/>
    </row>
    <row r="223" spans="3:29" x14ac:dyDescent="0.2">
      <c r="C223" s="213"/>
      <c r="D223" s="224"/>
      <c r="E223" s="224"/>
      <c r="G223" s="224"/>
      <c r="H223" s="224"/>
      <c r="I223" s="224"/>
      <c r="J223" s="224"/>
      <c r="K223" s="224"/>
      <c r="L223" s="224"/>
      <c r="M223" s="219"/>
      <c r="N223" s="224"/>
      <c r="O223" s="221"/>
      <c r="P223" s="222"/>
      <c r="Q223" s="244"/>
      <c r="R223" s="223"/>
      <c r="S223" s="220"/>
      <c r="T223" s="244"/>
      <c r="U223" s="220"/>
      <c r="V223" s="220"/>
      <c r="W223" s="215"/>
      <c r="X223" s="215"/>
      <c r="Y223" s="215"/>
      <c r="Z223" s="215"/>
      <c r="AA223" s="220"/>
      <c r="AB223" s="215"/>
      <c r="AC223" s="220"/>
    </row>
    <row r="224" spans="3:29" x14ac:dyDescent="0.2">
      <c r="C224" s="213"/>
      <c r="D224" s="224"/>
      <c r="E224" s="224"/>
      <c r="G224" s="224"/>
      <c r="H224" s="224"/>
      <c r="I224" s="224"/>
      <c r="J224" s="224"/>
      <c r="K224" s="224"/>
      <c r="L224" s="224"/>
      <c r="M224" s="219"/>
      <c r="N224" s="224"/>
      <c r="O224" s="221"/>
      <c r="P224" s="222"/>
      <c r="Q224" s="244"/>
      <c r="R224" s="223"/>
      <c r="S224" s="220"/>
      <c r="T224" s="244"/>
      <c r="U224" s="220"/>
      <c r="V224" s="220"/>
      <c r="W224" s="215"/>
      <c r="X224" s="215"/>
      <c r="Y224" s="215"/>
      <c r="Z224" s="215"/>
      <c r="AA224" s="220"/>
      <c r="AB224" s="215"/>
      <c r="AC224" s="220"/>
    </row>
    <row r="225" spans="3:29" x14ac:dyDescent="0.2">
      <c r="C225" s="213"/>
      <c r="D225" s="224"/>
      <c r="E225" s="224"/>
      <c r="G225" s="224"/>
      <c r="H225" s="224"/>
      <c r="I225" s="224"/>
      <c r="J225" s="224"/>
      <c r="K225" s="224"/>
      <c r="L225" s="224"/>
      <c r="M225" s="219"/>
      <c r="N225" s="224"/>
      <c r="O225" s="221"/>
      <c r="P225" s="222"/>
      <c r="Q225" s="244"/>
      <c r="R225" s="223"/>
      <c r="S225" s="220"/>
      <c r="T225" s="244"/>
      <c r="U225" s="220"/>
      <c r="V225" s="220"/>
      <c r="W225" s="215"/>
      <c r="X225" s="215"/>
      <c r="Y225" s="215"/>
      <c r="Z225" s="215"/>
      <c r="AA225" s="220"/>
      <c r="AB225" s="215"/>
      <c r="AC225" s="220"/>
    </row>
    <row r="226" spans="3:29" x14ac:dyDescent="0.2">
      <c r="C226" s="213"/>
      <c r="D226" s="224"/>
      <c r="E226" s="224"/>
      <c r="G226" s="224"/>
      <c r="H226" s="224"/>
      <c r="I226" s="224"/>
      <c r="J226" s="224"/>
      <c r="K226" s="224"/>
      <c r="L226" s="224"/>
      <c r="M226" s="219"/>
      <c r="N226" s="224"/>
      <c r="O226" s="221"/>
      <c r="P226" s="222"/>
      <c r="Q226" s="244"/>
      <c r="R226" s="223"/>
      <c r="S226" s="220"/>
      <c r="T226" s="244"/>
      <c r="U226" s="220"/>
      <c r="V226" s="220"/>
      <c r="W226" s="215"/>
      <c r="X226" s="215"/>
      <c r="Y226" s="215"/>
      <c r="Z226" s="215"/>
      <c r="AA226" s="220"/>
      <c r="AB226" s="215"/>
      <c r="AC226" s="220"/>
    </row>
    <row r="227" spans="3:29" x14ac:dyDescent="0.2">
      <c r="C227" s="213"/>
      <c r="D227" s="224"/>
      <c r="E227" s="224"/>
      <c r="G227" s="224"/>
      <c r="H227" s="224"/>
      <c r="I227" s="224"/>
      <c r="J227" s="224"/>
      <c r="K227" s="224"/>
      <c r="L227" s="224"/>
      <c r="M227" s="219"/>
      <c r="N227" s="224"/>
      <c r="O227" s="221"/>
      <c r="P227" s="222"/>
      <c r="Q227" s="244"/>
      <c r="R227" s="223"/>
      <c r="S227" s="220"/>
      <c r="T227" s="244"/>
      <c r="U227" s="220"/>
      <c r="V227" s="220"/>
      <c r="W227" s="215"/>
      <c r="X227" s="215"/>
      <c r="Y227" s="215"/>
      <c r="Z227" s="215"/>
      <c r="AA227" s="220"/>
      <c r="AB227" s="215"/>
      <c r="AC227" s="220"/>
    </row>
    <row r="228" spans="3:29" x14ac:dyDescent="0.2">
      <c r="C228" s="213"/>
      <c r="D228" s="224"/>
      <c r="E228" s="224"/>
      <c r="G228" s="224"/>
      <c r="H228" s="224"/>
      <c r="I228" s="224"/>
      <c r="J228" s="224"/>
      <c r="K228" s="224"/>
      <c r="L228" s="224"/>
      <c r="M228" s="219"/>
      <c r="N228" s="224"/>
      <c r="O228" s="221"/>
      <c r="P228" s="222"/>
      <c r="Q228" s="244"/>
      <c r="R228" s="223"/>
      <c r="S228" s="220"/>
      <c r="T228" s="244"/>
      <c r="U228" s="220"/>
      <c r="V228" s="220"/>
      <c r="W228" s="215"/>
      <c r="X228" s="215"/>
      <c r="Y228" s="215"/>
      <c r="Z228" s="215"/>
      <c r="AA228" s="220"/>
      <c r="AB228" s="215"/>
      <c r="AC228" s="220"/>
    </row>
    <row r="229" spans="3:29" x14ac:dyDescent="0.2">
      <c r="C229" s="213"/>
      <c r="D229" s="224"/>
      <c r="E229" s="224"/>
      <c r="G229" s="224"/>
      <c r="H229" s="224"/>
      <c r="I229" s="224"/>
      <c r="J229" s="224"/>
      <c r="K229" s="224"/>
      <c r="L229" s="224"/>
      <c r="M229" s="219"/>
      <c r="N229" s="224"/>
      <c r="O229" s="221"/>
      <c r="P229" s="222"/>
      <c r="Q229" s="244"/>
      <c r="R229" s="223"/>
      <c r="S229" s="220"/>
      <c r="T229" s="244"/>
      <c r="U229" s="220"/>
      <c r="V229" s="220"/>
      <c r="W229" s="215"/>
      <c r="X229" s="215"/>
      <c r="Y229" s="215"/>
      <c r="Z229" s="215"/>
      <c r="AA229" s="220"/>
      <c r="AB229" s="215"/>
      <c r="AC229" s="220"/>
    </row>
    <row r="230" spans="3:29" x14ac:dyDescent="0.2">
      <c r="C230" s="213"/>
      <c r="D230" s="224"/>
      <c r="E230" s="224"/>
      <c r="G230" s="224"/>
      <c r="H230" s="224"/>
      <c r="I230" s="224"/>
      <c r="J230" s="224"/>
      <c r="K230" s="224"/>
      <c r="L230" s="224"/>
      <c r="M230" s="219"/>
      <c r="N230" s="224"/>
      <c r="O230" s="221"/>
      <c r="P230" s="222"/>
      <c r="Q230" s="244"/>
      <c r="R230" s="223"/>
      <c r="S230" s="220"/>
      <c r="T230" s="244"/>
      <c r="U230" s="220"/>
      <c r="V230" s="220"/>
      <c r="W230" s="215"/>
      <c r="X230" s="215"/>
      <c r="Y230" s="215"/>
      <c r="Z230" s="215"/>
      <c r="AA230" s="220"/>
      <c r="AB230" s="215"/>
      <c r="AC230" s="220"/>
    </row>
    <row r="231" spans="3:29" x14ac:dyDescent="0.2">
      <c r="C231" s="213"/>
      <c r="D231" s="224"/>
      <c r="E231" s="224"/>
      <c r="G231" s="224"/>
      <c r="H231" s="224"/>
      <c r="I231" s="224"/>
      <c r="J231" s="224"/>
      <c r="K231" s="224"/>
      <c r="L231" s="224"/>
      <c r="M231" s="219"/>
      <c r="N231" s="224"/>
      <c r="O231" s="221"/>
      <c r="P231" s="222"/>
      <c r="Q231" s="244"/>
      <c r="R231" s="223"/>
      <c r="S231" s="220"/>
      <c r="T231" s="244"/>
      <c r="U231" s="220"/>
      <c r="V231" s="220"/>
      <c r="W231" s="215"/>
      <c r="X231" s="215"/>
      <c r="Y231" s="215"/>
      <c r="Z231" s="215"/>
      <c r="AA231" s="220"/>
      <c r="AB231" s="215"/>
      <c r="AC231" s="220"/>
    </row>
    <row r="232" spans="3:29" x14ac:dyDescent="0.2">
      <c r="C232" s="213"/>
      <c r="D232" s="224"/>
      <c r="E232" s="224"/>
      <c r="G232" s="224"/>
      <c r="H232" s="224"/>
      <c r="I232" s="224"/>
      <c r="J232" s="224"/>
      <c r="K232" s="224"/>
      <c r="L232" s="224"/>
      <c r="M232" s="219"/>
      <c r="N232" s="224"/>
      <c r="O232" s="221"/>
      <c r="P232" s="222"/>
      <c r="Q232" s="244"/>
      <c r="R232" s="223"/>
      <c r="S232" s="220"/>
      <c r="T232" s="244"/>
      <c r="U232" s="220"/>
      <c r="V232" s="220"/>
      <c r="W232" s="215"/>
      <c r="X232" s="215"/>
      <c r="Y232" s="215"/>
      <c r="Z232" s="215"/>
      <c r="AA232" s="220"/>
      <c r="AB232" s="215"/>
      <c r="AC232" s="220"/>
    </row>
    <row r="233" spans="3:29" x14ac:dyDescent="0.2">
      <c r="C233" s="213"/>
      <c r="D233" s="224"/>
      <c r="E233" s="224"/>
      <c r="G233" s="224"/>
      <c r="H233" s="224"/>
      <c r="I233" s="224"/>
      <c r="J233" s="224"/>
      <c r="K233" s="224"/>
      <c r="L233" s="224"/>
      <c r="M233" s="219"/>
      <c r="N233" s="224"/>
      <c r="O233" s="221"/>
      <c r="P233" s="222"/>
      <c r="Q233" s="244"/>
      <c r="R233" s="223"/>
      <c r="S233" s="220"/>
      <c r="T233" s="244"/>
      <c r="U233" s="220"/>
      <c r="V233" s="220"/>
      <c r="W233" s="215"/>
      <c r="X233" s="215"/>
      <c r="Y233" s="215"/>
      <c r="Z233" s="215"/>
      <c r="AA233" s="220"/>
      <c r="AB233" s="215"/>
      <c r="AC233" s="220"/>
    </row>
    <row r="234" spans="3:29" x14ac:dyDescent="0.2">
      <c r="C234" s="213"/>
      <c r="D234" s="224"/>
      <c r="E234" s="224"/>
      <c r="G234" s="224"/>
      <c r="H234" s="224"/>
      <c r="I234" s="224"/>
      <c r="J234" s="224"/>
      <c r="K234" s="224"/>
      <c r="L234" s="224"/>
      <c r="M234" s="219"/>
      <c r="N234" s="224"/>
      <c r="O234" s="221"/>
      <c r="P234" s="222"/>
      <c r="Q234" s="244"/>
      <c r="R234" s="223"/>
      <c r="S234" s="220"/>
      <c r="T234" s="244"/>
      <c r="U234" s="220"/>
      <c r="V234" s="220"/>
      <c r="W234" s="215"/>
      <c r="X234" s="215"/>
      <c r="Y234" s="215"/>
      <c r="Z234" s="215"/>
      <c r="AA234" s="220"/>
      <c r="AB234" s="215"/>
      <c r="AC234" s="220"/>
    </row>
    <row r="235" spans="3:29" x14ac:dyDescent="0.2">
      <c r="C235" s="213"/>
      <c r="D235" s="224"/>
      <c r="E235" s="224"/>
      <c r="G235" s="224"/>
      <c r="H235" s="224"/>
      <c r="I235" s="224"/>
      <c r="J235" s="224"/>
      <c r="K235" s="224"/>
      <c r="L235" s="224"/>
      <c r="M235" s="219"/>
      <c r="N235" s="224"/>
      <c r="O235" s="221"/>
      <c r="P235" s="222"/>
      <c r="Q235" s="244"/>
      <c r="R235" s="223"/>
      <c r="S235" s="220"/>
      <c r="T235" s="244"/>
      <c r="U235" s="220"/>
      <c r="V235" s="220"/>
      <c r="W235" s="215"/>
      <c r="X235" s="215"/>
      <c r="Y235" s="215"/>
      <c r="Z235" s="215"/>
      <c r="AA235" s="220"/>
      <c r="AB235" s="215"/>
      <c r="AC235" s="220"/>
    </row>
    <row r="236" spans="3:29" x14ac:dyDescent="0.2">
      <c r="C236" s="213"/>
      <c r="D236" s="224"/>
      <c r="E236" s="224"/>
      <c r="G236" s="224"/>
      <c r="H236" s="224"/>
      <c r="I236" s="224"/>
      <c r="J236" s="224"/>
      <c r="K236" s="224"/>
      <c r="L236" s="224"/>
      <c r="M236" s="219"/>
      <c r="N236" s="224"/>
      <c r="O236" s="221"/>
      <c r="P236" s="222"/>
      <c r="Q236" s="244"/>
      <c r="R236" s="223"/>
      <c r="S236" s="220"/>
      <c r="T236" s="244"/>
      <c r="U236" s="220"/>
      <c r="V236" s="220"/>
      <c r="W236" s="215"/>
      <c r="X236" s="215"/>
      <c r="Y236" s="215"/>
      <c r="Z236" s="215"/>
      <c r="AA236" s="220"/>
      <c r="AB236" s="215"/>
      <c r="AC236" s="220"/>
    </row>
    <row r="237" spans="3:29" x14ac:dyDescent="0.2">
      <c r="C237" s="213"/>
      <c r="D237" s="224"/>
      <c r="E237" s="224"/>
      <c r="G237" s="224"/>
      <c r="H237" s="224"/>
      <c r="I237" s="224"/>
      <c r="J237" s="224"/>
      <c r="K237" s="224"/>
      <c r="L237" s="224"/>
      <c r="M237" s="219"/>
      <c r="N237" s="224"/>
      <c r="O237" s="221"/>
      <c r="P237" s="222"/>
      <c r="Q237" s="244"/>
      <c r="R237" s="223"/>
      <c r="S237" s="220"/>
      <c r="T237" s="244"/>
      <c r="U237" s="220"/>
      <c r="V237" s="220"/>
      <c r="W237" s="215"/>
      <c r="X237" s="215"/>
      <c r="Y237" s="215"/>
      <c r="Z237" s="215"/>
      <c r="AA237" s="220"/>
      <c r="AB237" s="215"/>
      <c r="AC237" s="220"/>
    </row>
    <row r="238" spans="3:29" x14ac:dyDescent="0.2">
      <c r="C238" s="213"/>
      <c r="D238" s="224"/>
      <c r="E238" s="224"/>
      <c r="G238" s="224"/>
      <c r="H238" s="224"/>
      <c r="I238" s="224"/>
      <c r="J238" s="224"/>
      <c r="K238" s="224"/>
      <c r="L238" s="224"/>
      <c r="M238" s="219"/>
      <c r="N238" s="224"/>
      <c r="O238" s="221"/>
      <c r="P238" s="222"/>
      <c r="Q238" s="244"/>
      <c r="R238" s="223"/>
      <c r="S238" s="220"/>
      <c r="T238" s="244"/>
      <c r="U238" s="220"/>
      <c r="V238" s="220"/>
      <c r="W238" s="215"/>
      <c r="X238" s="215"/>
      <c r="Y238" s="215"/>
      <c r="Z238" s="215"/>
      <c r="AA238" s="220"/>
      <c r="AB238" s="215"/>
      <c r="AC238" s="220"/>
    </row>
    <row r="239" spans="3:29" x14ac:dyDescent="0.2">
      <c r="C239" s="213"/>
      <c r="D239" s="224"/>
      <c r="E239" s="224"/>
      <c r="G239" s="224"/>
      <c r="H239" s="224"/>
      <c r="I239" s="224"/>
      <c r="J239" s="224"/>
      <c r="K239" s="224"/>
      <c r="L239" s="224"/>
      <c r="M239" s="219"/>
      <c r="N239" s="224"/>
      <c r="O239" s="221"/>
      <c r="P239" s="222"/>
      <c r="Q239" s="244"/>
      <c r="R239" s="223"/>
      <c r="S239" s="220"/>
      <c r="T239" s="244"/>
      <c r="U239" s="220"/>
      <c r="V239" s="220"/>
      <c r="W239" s="215"/>
      <c r="X239" s="215"/>
      <c r="Y239" s="215"/>
      <c r="Z239" s="215"/>
      <c r="AA239" s="220"/>
      <c r="AB239" s="215"/>
      <c r="AC239" s="220"/>
    </row>
    <row r="240" spans="3:29" x14ac:dyDescent="0.2">
      <c r="C240" s="213"/>
      <c r="D240" s="224"/>
      <c r="E240" s="224"/>
      <c r="G240" s="224"/>
      <c r="H240" s="224"/>
      <c r="I240" s="224"/>
      <c r="J240" s="224"/>
      <c r="K240" s="224"/>
      <c r="L240" s="224"/>
      <c r="M240" s="219"/>
      <c r="N240" s="224"/>
      <c r="O240" s="221"/>
      <c r="P240" s="222"/>
      <c r="Q240" s="244"/>
      <c r="R240" s="223"/>
      <c r="S240" s="220"/>
      <c r="T240" s="244"/>
      <c r="U240" s="220"/>
      <c r="V240" s="220"/>
      <c r="W240" s="215"/>
      <c r="X240" s="215"/>
      <c r="Y240" s="215"/>
      <c r="Z240" s="215"/>
      <c r="AA240" s="220"/>
      <c r="AB240" s="215"/>
      <c r="AC240" s="220"/>
    </row>
    <row r="241" spans="3:29" x14ac:dyDescent="0.2">
      <c r="C241" s="213"/>
      <c r="D241" s="224"/>
      <c r="E241" s="224"/>
      <c r="G241" s="224"/>
      <c r="H241" s="224"/>
      <c r="I241" s="224"/>
      <c r="J241" s="224"/>
      <c r="K241" s="224"/>
      <c r="L241" s="224"/>
      <c r="M241" s="219"/>
      <c r="N241" s="224"/>
      <c r="O241" s="221"/>
      <c r="P241" s="222"/>
      <c r="Q241" s="244"/>
      <c r="R241" s="223"/>
      <c r="S241" s="220"/>
      <c r="T241" s="244"/>
      <c r="U241" s="220"/>
      <c r="V241" s="220"/>
      <c r="W241" s="215"/>
      <c r="X241" s="215"/>
      <c r="Y241" s="215"/>
      <c r="Z241" s="215"/>
      <c r="AA241" s="220"/>
      <c r="AB241" s="215"/>
      <c r="AC241" s="220"/>
    </row>
    <row r="242" spans="3:29" x14ac:dyDescent="0.2">
      <c r="C242" s="213"/>
      <c r="D242" s="224"/>
      <c r="E242" s="224"/>
      <c r="G242" s="224"/>
      <c r="H242" s="224"/>
      <c r="I242" s="224"/>
      <c r="J242" s="224"/>
      <c r="K242" s="224"/>
      <c r="L242" s="224"/>
      <c r="M242" s="219"/>
      <c r="N242" s="224"/>
      <c r="O242" s="221"/>
      <c r="P242" s="222"/>
      <c r="Q242" s="244"/>
      <c r="R242" s="223"/>
      <c r="S242" s="220"/>
      <c r="T242" s="244"/>
      <c r="U242" s="220"/>
      <c r="V242" s="220"/>
      <c r="W242" s="215"/>
      <c r="X242" s="215"/>
      <c r="Y242" s="215"/>
      <c r="Z242" s="215"/>
      <c r="AA242" s="220"/>
      <c r="AB242" s="215"/>
      <c r="AC242" s="220"/>
    </row>
    <row r="243" spans="3:29" x14ac:dyDescent="0.2">
      <c r="C243" s="213"/>
      <c r="D243" s="224"/>
      <c r="E243" s="224"/>
      <c r="G243" s="224"/>
      <c r="H243" s="224"/>
      <c r="I243" s="224"/>
      <c r="J243" s="224"/>
      <c r="K243" s="224"/>
      <c r="L243" s="224"/>
      <c r="M243" s="219"/>
      <c r="N243" s="224"/>
      <c r="O243" s="221"/>
      <c r="P243" s="222"/>
      <c r="Q243" s="244"/>
      <c r="R243" s="223"/>
      <c r="S243" s="220"/>
      <c r="T243" s="244"/>
      <c r="U243" s="220"/>
      <c r="V243" s="220"/>
      <c r="W243" s="215"/>
      <c r="X243" s="215"/>
      <c r="Y243" s="215"/>
      <c r="Z243" s="215"/>
      <c r="AA243" s="220"/>
      <c r="AB243" s="215"/>
      <c r="AC243" s="220"/>
    </row>
    <row r="244" spans="3:29" x14ac:dyDescent="0.2">
      <c r="C244" s="225"/>
      <c r="D244" s="225"/>
      <c r="E244" s="105"/>
      <c r="F244" s="126"/>
      <c r="G244" s="105"/>
      <c r="H244" s="105"/>
      <c r="I244" s="105"/>
      <c r="J244" s="105"/>
      <c r="K244" s="105"/>
      <c r="L244" s="105"/>
      <c r="M244" s="226"/>
      <c r="N244" s="220"/>
      <c r="O244" s="221"/>
      <c r="P244" s="222"/>
      <c r="Q244" s="244"/>
      <c r="R244" s="223"/>
      <c r="S244" s="220"/>
      <c r="T244" s="244"/>
      <c r="U244" s="220"/>
      <c r="V244" s="220"/>
      <c r="W244" s="215"/>
      <c r="X244" s="215"/>
      <c r="Y244" s="215"/>
      <c r="Z244" s="215"/>
      <c r="AA244" s="220"/>
      <c r="AB244" s="215"/>
      <c r="AC244" s="220"/>
    </row>
    <row r="245" spans="3:29" x14ac:dyDescent="0.2">
      <c r="C245" s="225"/>
      <c r="D245" s="225"/>
      <c r="E245" s="105"/>
      <c r="F245" s="126"/>
      <c r="G245" s="105"/>
      <c r="H245" s="105"/>
      <c r="I245" s="105"/>
      <c r="J245" s="105"/>
      <c r="K245" s="105"/>
      <c r="L245" s="105"/>
      <c r="M245" s="226"/>
      <c r="N245" s="220"/>
      <c r="O245" s="221"/>
      <c r="P245" s="222"/>
      <c r="Q245" s="244"/>
      <c r="R245" s="223"/>
      <c r="S245" s="220"/>
      <c r="T245" s="244"/>
      <c r="U245" s="220"/>
      <c r="V245" s="220"/>
      <c r="W245" s="215"/>
      <c r="X245" s="215"/>
      <c r="Y245" s="215"/>
      <c r="Z245" s="215"/>
      <c r="AA245" s="220"/>
      <c r="AB245" s="215"/>
      <c r="AC245" s="220"/>
    </row>
    <row r="246" spans="3:29" x14ac:dyDescent="0.2">
      <c r="C246" s="225"/>
      <c r="D246" s="225"/>
      <c r="E246" s="105"/>
      <c r="F246" s="126"/>
      <c r="G246" s="105"/>
      <c r="H246" s="105"/>
      <c r="I246" s="105"/>
      <c r="J246" s="105"/>
      <c r="K246" s="105"/>
      <c r="L246" s="105"/>
      <c r="M246" s="226"/>
      <c r="N246" s="220"/>
      <c r="O246" s="221"/>
      <c r="P246" s="222"/>
      <c r="Q246" s="244"/>
      <c r="R246" s="223"/>
      <c r="S246" s="220"/>
      <c r="T246" s="244"/>
      <c r="U246" s="220"/>
      <c r="V246" s="220"/>
      <c r="W246" s="215"/>
      <c r="X246" s="215"/>
      <c r="Y246" s="215"/>
      <c r="Z246" s="215"/>
      <c r="AA246" s="220"/>
      <c r="AB246" s="215"/>
      <c r="AC246" s="220"/>
    </row>
    <row r="247" spans="3:29" x14ac:dyDescent="0.2">
      <c r="C247" s="225"/>
      <c r="D247" s="225"/>
      <c r="E247" s="105"/>
      <c r="F247" s="126"/>
      <c r="G247" s="105"/>
      <c r="H247" s="105"/>
      <c r="I247" s="105"/>
      <c r="J247" s="105"/>
      <c r="K247" s="105"/>
      <c r="L247" s="105"/>
      <c r="M247" s="226"/>
      <c r="N247" s="220"/>
      <c r="O247" s="221"/>
      <c r="P247" s="222"/>
      <c r="Q247" s="244"/>
      <c r="R247" s="223"/>
      <c r="S247" s="220"/>
      <c r="T247" s="244"/>
      <c r="U247" s="220"/>
      <c r="V247" s="220"/>
      <c r="W247" s="215"/>
      <c r="X247" s="215"/>
      <c r="Y247" s="215"/>
      <c r="Z247" s="215"/>
      <c r="AA247" s="220"/>
      <c r="AB247" s="215"/>
      <c r="AC247" s="220"/>
    </row>
    <row r="248" spans="3:29" x14ac:dyDescent="0.2">
      <c r="C248" s="225"/>
      <c r="D248" s="225"/>
      <c r="E248" s="105"/>
      <c r="F248" s="126"/>
      <c r="G248" s="105"/>
      <c r="H248" s="105"/>
      <c r="I248" s="105"/>
      <c r="J248" s="105"/>
      <c r="K248" s="105"/>
      <c r="L248" s="105"/>
      <c r="M248" s="226"/>
      <c r="N248" s="220"/>
      <c r="O248" s="221"/>
      <c r="P248" s="222"/>
      <c r="Q248" s="244"/>
      <c r="R248" s="223"/>
      <c r="S248" s="220"/>
      <c r="T248" s="244"/>
      <c r="U248" s="220"/>
      <c r="V248" s="220"/>
      <c r="W248" s="215"/>
      <c r="X248" s="215"/>
      <c r="Y248" s="215"/>
      <c r="Z248" s="215"/>
      <c r="AA248" s="220"/>
      <c r="AB248" s="215"/>
      <c r="AC248" s="220"/>
    </row>
    <row r="249" spans="3:29" x14ac:dyDescent="0.2">
      <c r="C249" s="225"/>
      <c r="D249" s="225"/>
      <c r="E249" s="105"/>
      <c r="F249" s="126"/>
      <c r="G249" s="105"/>
      <c r="H249" s="105"/>
      <c r="I249" s="105"/>
      <c r="J249" s="105"/>
      <c r="K249" s="105"/>
      <c r="L249" s="105"/>
      <c r="M249" s="226"/>
      <c r="N249" s="220"/>
      <c r="O249" s="221"/>
      <c r="P249" s="222"/>
      <c r="Q249" s="244"/>
      <c r="R249" s="223"/>
      <c r="S249" s="220"/>
      <c r="T249" s="244"/>
      <c r="U249" s="220"/>
      <c r="V249" s="220"/>
      <c r="W249" s="215"/>
      <c r="X249" s="215"/>
      <c r="Y249" s="215"/>
      <c r="Z249" s="215"/>
      <c r="AA249" s="220"/>
      <c r="AB249" s="215"/>
      <c r="AC249" s="220"/>
    </row>
    <row r="250" spans="3:29" x14ac:dyDescent="0.2">
      <c r="C250" s="225"/>
      <c r="D250" s="225"/>
      <c r="E250" s="105"/>
      <c r="F250" s="126"/>
      <c r="G250" s="105"/>
      <c r="H250" s="105"/>
      <c r="I250" s="105"/>
      <c r="J250" s="105"/>
      <c r="K250" s="105"/>
      <c r="L250" s="105"/>
      <c r="M250" s="226"/>
      <c r="N250" s="220"/>
      <c r="O250" s="221"/>
      <c r="P250" s="222"/>
      <c r="Q250" s="244"/>
      <c r="R250" s="223"/>
      <c r="S250" s="220"/>
      <c r="T250" s="244"/>
      <c r="U250" s="220"/>
      <c r="V250" s="220"/>
      <c r="W250" s="215"/>
      <c r="X250" s="215"/>
      <c r="Y250" s="215"/>
      <c r="Z250" s="215"/>
      <c r="AA250" s="220"/>
      <c r="AB250" s="215"/>
      <c r="AC250" s="220"/>
    </row>
    <row r="251" spans="3:29" x14ac:dyDescent="0.2">
      <c r="C251" s="225"/>
      <c r="D251" s="225"/>
      <c r="E251" s="105"/>
      <c r="F251" s="126"/>
      <c r="G251" s="105"/>
      <c r="H251" s="105"/>
      <c r="I251" s="105"/>
      <c r="J251" s="105"/>
      <c r="K251" s="105"/>
      <c r="L251" s="105"/>
      <c r="M251" s="226"/>
      <c r="N251" s="220"/>
      <c r="O251" s="221"/>
      <c r="P251" s="222"/>
      <c r="Q251" s="244"/>
      <c r="R251" s="223"/>
      <c r="S251" s="220"/>
      <c r="T251" s="244"/>
      <c r="U251" s="220"/>
      <c r="V251" s="220"/>
      <c r="W251" s="215"/>
      <c r="X251" s="215"/>
      <c r="Y251" s="215"/>
      <c r="Z251" s="215"/>
      <c r="AA251" s="220"/>
      <c r="AB251" s="215"/>
      <c r="AC251" s="220"/>
    </row>
    <row r="252" spans="3:29" x14ac:dyDescent="0.2">
      <c r="M252" s="226"/>
      <c r="O252" s="221"/>
    </row>
    <row r="253" spans="3:29" x14ac:dyDescent="0.2">
      <c r="M253" s="226"/>
      <c r="O253" s="221"/>
    </row>
    <row r="254" spans="3:29" x14ac:dyDescent="0.2">
      <c r="M254" s="226"/>
      <c r="O254" s="221"/>
    </row>
    <row r="255" spans="3:29" x14ac:dyDescent="0.2">
      <c r="M255" s="226"/>
      <c r="O255" s="221"/>
    </row>
    <row r="256" spans="3:29" x14ac:dyDescent="0.2">
      <c r="M256" s="226"/>
      <c r="O256" s="221"/>
    </row>
    <row r="257" spans="13:15" x14ac:dyDescent="0.2">
      <c r="M257" s="226"/>
      <c r="O257" s="221"/>
    </row>
    <row r="258" spans="13:15" x14ac:dyDescent="0.2">
      <c r="M258" s="226"/>
      <c r="O258" s="221"/>
    </row>
    <row r="259" spans="13:15" x14ac:dyDescent="0.2">
      <c r="M259" s="226"/>
      <c r="O259" s="221"/>
    </row>
    <row r="260" spans="13:15" x14ac:dyDescent="0.2">
      <c r="M260" s="226"/>
      <c r="O260" s="221"/>
    </row>
    <row r="261" spans="13:15" x14ac:dyDescent="0.2">
      <c r="M261" s="226"/>
      <c r="O261" s="221"/>
    </row>
    <row r="262" spans="13:15" x14ac:dyDescent="0.2">
      <c r="M262" s="226"/>
      <c r="O262" s="221"/>
    </row>
    <row r="263" spans="13:15" x14ac:dyDescent="0.2">
      <c r="M263" s="226"/>
      <c r="O263" s="221"/>
    </row>
    <row r="264" spans="13:15" x14ac:dyDescent="0.2">
      <c r="M264" s="226"/>
      <c r="O264" s="221"/>
    </row>
    <row r="265" spans="13:15" x14ac:dyDescent="0.2">
      <c r="M265" s="226"/>
      <c r="O265" s="221"/>
    </row>
    <row r="266" spans="13:15" x14ac:dyDescent="0.2">
      <c r="M266" s="226"/>
      <c r="O266" s="221"/>
    </row>
    <row r="267" spans="13:15" x14ac:dyDescent="0.2">
      <c r="M267" s="226"/>
      <c r="O267" s="221"/>
    </row>
    <row r="268" spans="13:15" x14ac:dyDescent="0.2">
      <c r="M268" s="226"/>
      <c r="O268" s="221"/>
    </row>
    <row r="269" spans="13:15" x14ac:dyDescent="0.2">
      <c r="M269" s="226"/>
      <c r="O269" s="221"/>
    </row>
    <row r="270" spans="13:15" x14ac:dyDescent="0.2">
      <c r="M270" s="226"/>
      <c r="O270" s="221"/>
    </row>
    <row r="271" spans="13:15" x14ac:dyDescent="0.2">
      <c r="M271" s="226"/>
      <c r="O271" s="221"/>
    </row>
    <row r="272" spans="13:15" x14ac:dyDescent="0.2">
      <c r="M272" s="226"/>
      <c r="O272" s="221"/>
    </row>
    <row r="273" spans="13:15" x14ac:dyDescent="0.2">
      <c r="M273" s="226"/>
      <c r="O273" s="221"/>
    </row>
    <row r="274" spans="13:15" x14ac:dyDescent="0.2">
      <c r="M274" s="226"/>
      <c r="O274" s="221"/>
    </row>
    <row r="275" spans="13:15" x14ac:dyDescent="0.2">
      <c r="M275" s="226"/>
      <c r="O275" s="221"/>
    </row>
    <row r="276" spans="13:15" x14ac:dyDescent="0.2">
      <c r="M276" s="226"/>
      <c r="O276" s="221"/>
    </row>
    <row r="277" spans="13:15" x14ac:dyDescent="0.2">
      <c r="M277" s="226"/>
      <c r="O277" s="221"/>
    </row>
    <row r="278" spans="13:15" x14ac:dyDescent="0.2">
      <c r="M278" s="226"/>
      <c r="O278" s="221"/>
    </row>
    <row r="279" spans="13:15" x14ac:dyDescent="0.2">
      <c r="M279" s="226"/>
      <c r="O279" s="221"/>
    </row>
    <row r="280" spans="13:15" x14ac:dyDescent="0.2">
      <c r="M280" s="226"/>
      <c r="O280" s="221"/>
    </row>
    <row r="281" spans="13:15" x14ac:dyDescent="0.2">
      <c r="M281" s="226"/>
      <c r="O281" s="221"/>
    </row>
    <row r="282" spans="13:15" x14ac:dyDescent="0.2">
      <c r="M282" s="226"/>
      <c r="O282" s="221"/>
    </row>
    <row r="283" spans="13:15" x14ac:dyDescent="0.2">
      <c r="M283" s="226"/>
      <c r="O283" s="221"/>
    </row>
    <row r="284" spans="13:15" x14ac:dyDescent="0.2">
      <c r="M284" s="226"/>
      <c r="O284" s="221"/>
    </row>
    <row r="285" spans="13:15" x14ac:dyDescent="0.2">
      <c r="M285" s="226"/>
      <c r="O285" s="221"/>
    </row>
    <row r="286" spans="13:15" x14ac:dyDescent="0.2">
      <c r="M286" s="226"/>
      <c r="O286" s="221"/>
    </row>
    <row r="287" spans="13:15" x14ac:dyDescent="0.2">
      <c r="M287" s="226"/>
      <c r="O287" s="221"/>
    </row>
    <row r="288" spans="13:15" x14ac:dyDescent="0.2">
      <c r="M288" s="226"/>
      <c r="O288" s="221"/>
    </row>
    <row r="289" spans="13:15" x14ac:dyDescent="0.2">
      <c r="M289" s="226"/>
      <c r="O289" s="221"/>
    </row>
    <row r="290" spans="13:15" x14ac:dyDescent="0.2">
      <c r="M290" s="226"/>
      <c r="O290" s="221"/>
    </row>
    <row r="291" spans="13:15" x14ac:dyDescent="0.2">
      <c r="M291" s="226"/>
      <c r="O291" s="221"/>
    </row>
    <row r="292" spans="13:15" x14ac:dyDescent="0.2">
      <c r="M292" s="226"/>
      <c r="O292" s="221"/>
    </row>
    <row r="293" spans="13:15" x14ac:dyDescent="0.2">
      <c r="M293" s="226"/>
      <c r="O293" s="221"/>
    </row>
    <row r="294" spans="13:15" x14ac:dyDescent="0.2">
      <c r="M294" s="226"/>
      <c r="O294" s="221"/>
    </row>
    <row r="295" spans="13:15" x14ac:dyDescent="0.2">
      <c r="M295" s="226"/>
      <c r="O295" s="221"/>
    </row>
    <row r="296" spans="13:15" x14ac:dyDescent="0.2">
      <c r="M296" s="226"/>
      <c r="O296" s="221"/>
    </row>
    <row r="297" spans="13:15" x14ac:dyDescent="0.2">
      <c r="M297" s="226"/>
      <c r="O297" s="221"/>
    </row>
    <row r="298" spans="13:15" x14ac:dyDescent="0.2">
      <c r="M298" s="226"/>
      <c r="O298" s="221"/>
    </row>
    <row r="299" spans="13:15" x14ac:dyDescent="0.2">
      <c r="M299" s="226"/>
      <c r="O299" s="221"/>
    </row>
    <row r="300" spans="13:15" x14ac:dyDescent="0.2">
      <c r="M300" s="226"/>
      <c r="O300" s="221"/>
    </row>
    <row r="301" spans="13:15" x14ac:dyDescent="0.2">
      <c r="M301" s="226"/>
      <c r="O301" s="221"/>
    </row>
    <row r="302" spans="13:15" x14ac:dyDescent="0.2">
      <c r="M302" s="226"/>
      <c r="O302" s="221"/>
    </row>
    <row r="303" spans="13:15" x14ac:dyDescent="0.2">
      <c r="M303" s="226"/>
      <c r="O303" s="221"/>
    </row>
    <row r="304" spans="13:15" x14ac:dyDescent="0.2">
      <c r="M304" s="226"/>
      <c r="O304" s="221"/>
    </row>
    <row r="305" spans="13:15" x14ac:dyDescent="0.2">
      <c r="M305" s="226"/>
      <c r="O305" s="221"/>
    </row>
    <row r="306" spans="13:15" x14ac:dyDescent="0.2">
      <c r="M306" s="226"/>
      <c r="O306" s="221"/>
    </row>
    <row r="307" spans="13:15" x14ac:dyDescent="0.2">
      <c r="M307" s="226"/>
      <c r="O307" s="221"/>
    </row>
    <row r="308" spans="13:15" x14ac:dyDescent="0.2">
      <c r="M308" s="226"/>
      <c r="O308" s="221"/>
    </row>
    <row r="309" spans="13:15" x14ac:dyDescent="0.2">
      <c r="M309" s="226"/>
      <c r="O309" s="221"/>
    </row>
    <row r="310" spans="13:15" x14ac:dyDescent="0.2">
      <c r="M310" s="226"/>
      <c r="O310" s="221"/>
    </row>
    <row r="311" spans="13:15" x14ac:dyDescent="0.2">
      <c r="M311" s="226"/>
      <c r="O311" s="221"/>
    </row>
    <row r="312" spans="13:15" x14ac:dyDescent="0.2">
      <c r="M312" s="226"/>
      <c r="O312" s="221"/>
    </row>
    <row r="313" spans="13:15" x14ac:dyDescent="0.2">
      <c r="M313" s="226"/>
      <c r="O313" s="221"/>
    </row>
    <row r="314" spans="13:15" x14ac:dyDescent="0.2">
      <c r="M314" s="226"/>
      <c r="O314" s="221"/>
    </row>
    <row r="315" spans="13:15" x14ac:dyDescent="0.2">
      <c r="M315" s="226"/>
      <c r="O315" s="221"/>
    </row>
    <row r="316" spans="13:15" x14ac:dyDescent="0.2">
      <c r="M316" s="226"/>
      <c r="O316" s="221"/>
    </row>
    <row r="317" spans="13:15" x14ac:dyDescent="0.2">
      <c r="M317" s="226"/>
      <c r="O317" s="221"/>
    </row>
    <row r="318" spans="13:15" x14ac:dyDescent="0.2">
      <c r="M318" s="226"/>
      <c r="O318" s="221"/>
    </row>
    <row r="319" spans="13:15" x14ac:dyDescent="0.2">
      <c r="M319" s="226"/>
      <c r="O319" s="221"/>
    </row>
    <row r="320" spans="13:15" x14ac:dyDescent="0.2">
      <c r="M320" s="226"/>
      <c r="O320" s="221"/>
    </row>
    <row r="321" spans="13:15" x14ac:dyDescent="0.2">
      <c r="M321" s="226"/>
      <c r="O321" s="221"/>
    </row>
    <row r="322" spans="13:15" x14ac:dyDescent="0.2">
      <c r="M322" s="226"/>
      <c r="O322" s="221"/>
    </row>
    <row r="323" spans="13:15" x14ac:dyDescent="0.2">
      <c r="M323" s="226"/>
      <c r="O323" s="221"/>
    </row>
    <row r="324" spans="13:15" x14ac:dyDescent="0.2">
      <c r="M324" s="226"/>
      <c r="O324" s="221"/>
    </row>
    <row r="325" spans="13:15" x14ac:dyDescent="0.2">
      <c r="M325" s="226"/>
      <c r="O325" s="221"/>
    </row>
    <row r="326" spans="13:15" x14ac:dyDescent="0.2">
      <c r="M326" s="226"/>
      <c r="O326" s="221"/>
    </row>
    <row r="327" spans="13:15" x14ac:dyDescent="0.2">
      <c r="M327" s="226"/>
      <c r="O327" s="221"/>
    </row>
    <row r="328" spans="13:15" x14ac:dyDescent="0.2">
      <c r="M328" s="226"/>
      <c r="O328" s="221"/>
    </row>
    <row r="329" spans="13:15" x14ac:dyDescent="0.2">
      <c r="M329" s="226"/>
      <c r="O329" s="221"/>
    </row>
    <row r="330" spans="13:15" x14ac:dyDescent="0.2">
      <c r="M330" s="226"/>
      <c r="O330" s="221"/>
    </row>
    <row r="331" spans="13:15" x14ac:dyDescent="0.2">
      <c r="M331" s="226"/>
      <c r="O331" s="221"/>
    </row>
    <row r="332" spans="13:15" x14ac:dyDescent="0.2">
      <c r="M332" s="226"/>
      <c r="O332" s="221"/>
    </row>
    <row r="333" spans="13:15" x14ac:dyDescent="0.2">
      <c r="M333" s="226"/>
      <c r="O333" s="221"/>
    </row>
    <row r="334" spans="13:15" x14ac:dyDescent="0.2">
      <c r="M334" s="226"/>
      <c r="O334" s="221"/>
    </row>
    <row r="335" spans="13:15" x14ac:dyDescent="0.2">
      <c r="M335" s="226"/>
      <c r="O335" s="221"/>
    </row>
    <row r="336" spans="13:15" x14ac:dyDescent="0.2">
      <c r="M336" s="226"/>
      <c r="O336" s="221"/>
    </row>
    <row r="337" spans="13:15" x14ac:dyDescent="0.2">
      <c r="M337" s="226"/>
      <c r="O337" s="221"/>
    </row>
    <row r="338" spans="13:15" x14ac:dyDescent="0.2">
      <c r="M338" s="226"/>
      <c r="O338" s="221"/>
    </row>
    <row r="339" spans="13:15" x14ac:dyDescent="0.2">
      <c r="M339" s="226"/>
      <c r="O339" s="221"/>
    </row>
    <row r="340" spans="13:15" x14ac:dyDescent="0.2">
      <c r="M340" s="226"/>
      <c r="O340" s="221"/>
    </row>
    <row r="341" spans="13:15" x14ac:dyDescent="0.2">
      <c r="M341" s="226"/>
      <c r="O341" s="221"/>
    </row>
    <row r="342" spans="13:15" x14ac:dyDescent="0.2">
      <c r="M342" s="226"/>
      <c r="O342" s="221"/>
    </row>
    <row r="343" spans="13:15" x14ac:dyDescent="0.2">
      <c r="M343" s="226"/>
      <c r="O343" s="221"/>
    </row>
    <row r="344" spans="13:15" x14ac:dyDescent="0.2">
      <c r="M344" s="226"/>
      <c r="O344" s="221"/>
    </row>
    <row r="345" spans="13:15" x14ac:dyDescent="0.2">
      <c r="M345" s="226"/>
      <c r="O345" s="221"/>
    </row>
    <row r="346" spans="13:15" x14ac:dyDescent="0.2">
      <c r="M346" s="226"/>
      <c r="O346" s="221"/>
    </row>
    <row r="347" spans="13:15" x14ac:dyDescent="0.2">
      <c r="M347" s="226"/>
      <c r="O347" s="221"/>
    </row>
    <row r="348" spans="13:15" x14ac:dyDescent="0.2">
      <c r="M348" s="226"/>
      <c r="O348" s="221"/>
    </row>
    <row r="349" spans="13:15" x14ac:dyDescent="0.2">
      <c r="M349" s="226"/>
      <c r="O349" s="221"/>
    </row>
    <row r="350" spans="13:15" x14ac:dyDescent="0.2">
      <c r="M350" s="226"/>
      <c r="O350" s="221"/>
    </row>
    <row r="351" spans="13:15" x14ac:dyDescent="0.2">
      <c r="M351" s="226"/>
      <c r="O351" s="221"/>
    </row>
    <row r="352" spans="13:15" x14ac:dyDescent="0.2">
      <c r="M352" s="226"/>
      <c r="O352" s="221"/>
    </row>
    <row r="353" spans="13:15" x14ac:dyDescent="0.2">
      <c r="M353" s="226"/>
      <c r="O353" s="221"/>
    </row>
    <row r="354" spans="13:15" x14ac:dyDescent="0.2">
      <c r="M354" s="226"/>
      <c r="O354" s="221"/>
    </row>
    <row r="355" spans="13:15" x14ac:dyDescent="0.2">
      <c r="M355" s="226"/>
      <c r="O355" s="221"/>
    </row>
    <row r="356" spans="13:15" x14ac:dyDescent="0.2">
      <c r="M356" s="226"/>
      <c r="O356" s="221"/>
    </row>
    <row r="357" spans="13:15" x14ac:dyDescent="0.2">
      <c r="M357" s="226"/>
      <c r="O357" s="221"/>
    </row>
    <row r="358" spans="13:15" x14ac:dyDescent="0.2">
      <c r="M358" s="226"/>
      <c r="O358" s="221"/>
    </row>
    <row r="359" spans="13:15" x14ac:dyDescent="0.2">
      <c r="M359" s="226"/>
      <c r="O359" s="221"/>
    </row>
    <row r="360" spans="13:15" x14ac:dyDescent="0.2">
      <c r="M360" s="226"/>
      <c r="O360" s="221"/>
    </row>
    <row r="361" spans="13:15" x14ac:dyDescent="0.2">
      <c r="M361" s="226"/>
      <c r="O361" s="221"/>
    </row>
    <row r="362" spans="13:15" x14ac:dyDescent="0.2">
      <c r="M362" s="17"/>
      <c r="O362" s="12"/>
    </row>
    <row r="363" spans="13:15" ht="13.5" thickBot="1" x14ac:dyDescent="0.25">
      <c r="M363" s="231"/>
      <c r="O363" s="12"/>
    </row>
    <row r="364" spans="13:15" x14ac:dyDescent="0.2">
      <c r="M364" s="232"/>
      <c r="O364" s="12"/>
    </row>
    <row r="365" spans="13:15" x14ac:dyDescent="0.2">
      <c r="M365" s="232"/>
      <c r="O365" s="12"/>
    </row>
    <row r="366" spans="13:15" x14ac:dyDescent="0.2">
      <c r="M366" s="232"/>
      <c r="O366" s="12"/>
    </row>
    <row r="367" spans="13:15" x14ac:dyDescent="0.2">
      <c r="M367" s="232"/>
      <c r="O367" s="12"/>
    </row>
    <row r="368" spans="13:15" x14ac:dyDescent="0.2">
      <c r="M368" s="232"/>
      <c r="O368" s="12"/>
    </row>
    <row r="369" spans="13:15" x14ac:dyDescent="0.2">
      <c r="M369" s="232"/>
      <c r="O369" s="12"/>
    </row>
    <row r="370" spans="13:15" x14ac:dyDescent="0.2">
      <c r="M370" s="232"/>
      <c r="O370" s="12"/>
    </row>
    <row r="371" spans="13:15" x14ac:dyDescent="0.2">
      <c r="M371" s="232"/>
      <c r="O371" s="12"/>
    </row>
    <row r="372" spans="13:15" x14ac:dyDescent="0.2">
      <c r="M372" s="232"/>
      <c r="O372" s="12"/>
    </row>
    <row r="373" spans="13:15" x14ac:dyDescent="0.2">
      <c r="M373" s="232"/>
      <c r="O373" s="12"/>
    </row>
    <row r="374" spans="13:15" x14ac:dyDescent="0.2">
      <c r="M374" s="232"/>
      <c r="O374" s="12"/>
    </row>
    <row r="375" spans="13:15" x14ac:dyDescent="0.2">
      <c r="M375" s="232"/>
      <c r="O375" s="12"/>
    </row>
    <row r="376" spans="13:15" x14ac:dyDescent="0.2">
      <c r="M376" s="232"/>
      <c r="O376" s="12"/>
    </row>
    <row r="377" spans="13:15" x14ac:dyDescent="0.2">
      <c r="M377" s="232"/>
      <c r="O377" s="12"/>
    </row>
    <row r="378" spans="13:15" x14ac:dyDescent="0.2">
      <c r="M378" s="232"/>
      <c r="O378" s="12"/>
    </row>
    <row r="379" spans="13:15" x14ac:dyDescent="0.2">
      <c r="M379" s="232"/>
      <c r="O379" s="12"/>
    </row>
    <row r="380" spans="13:15" x14ac:dyDescent="0.2">
      <c r="M380" s="232"/>
      <c r="O380" s="12"/>
    </row>
    <row r="381" spans="13:15" x14ac:dyDescent="0.2">
      <c r="M381" s="232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36708</v>
      </c>
      <c r="C2" s="103">
        <f>IF(ISNA(VLOOKUP($B2,'[1]MENGENLS1 19-07-2000'!$R$7:$S$71,2,0)),0,VLOOKUP($B2,'[1]MENGENLS1 19-07-2000'!$R$7:$S$71,2,0))</f>
        <v>394524</v>
      </c>
      <c r="D2" s="109">
        <f>IF(ISNA(VLOOKUP($B2,'[1]MENGENLS1 19-07-2000'!$U$7:$V$60,2,0)),0,VLOOKUP($B2,'[1]MENGENLS1 19-07-2000'!$U$7:$V$60,2,0))</f>
        <v>513709</v>
      </c>
      <c r="E2" s="104">
        <f>IF(ISNA(VLOOKUP($B2,'[1]MENGENLS1 19-07-2000'!$X$7:$Y$27,2,0)),0,VLOOKUP($B2,'[1]MENGENLS1 19-07-2000'!$X$7:$Y$27,2,0))</f>
        <v>104398</v>
      </c>
      <c r="F2" s="104">
        <f>IF(ISNA(VLOOKUP($B2,'[1]MENGENLS1 19-07-2000'!$AA$7:$AB$35,2,0)),0,VLOOKUP($B2,'[1]MENGENLS1 19-07-2000'!$AA$7:$AB$35,2,0))</f>
        <v>8786</v>
      </c>
      <c r="G2" s="104">
        <f>IF(ISNA(VLOOKUP($B2,'[1]MENGENLS1 19-07-2000'!$AD$7:$AE$38,2,0)),0,VLOOKUP($B2,'[1]MENGENLS1 19-07-2000'!$AD$7:$AE$38,2,0))</f>
        <v>26010</v>
      </c>
      <c r="H2" s="109">
        <f>IF(ISNA(VLOOKUP($B2,'[1]MENGENLS1 19-07-2000'!$AG$7:$AH$20,2,0)),0,VLOOKUP($B2,'[1]MENGENLS1 19-07-2000'!$AG$7:$AH$20,2,0))</f>
        <v>2490</v>
      </c>
      <c r="I2" s="104">
        <f>IF(ISNA(VLOOKUP($B2,'[1]MENGENLS1 19-07-2000'!$AJ$7:$AK$38,2,0)),0,VLOOKUP($B2,'[1]MENGENLS1 19-07-2000'!$AJ$7:$AK$38,2,0))</f>
        <v>98690</v>
      </c>
      <c r="J2" s="104">
        <f>IF(ISNA(VLOOKUP($B2,'[1]MENGENLS1 19-07-2000'!$AM$7:$AN$38,2,0)),0,VLOOKUP($B2,'[1]MENGENLS1 19-07-2000'!$AM$7:$AN$38,2,0))</f>
        <v>-103428</v>
      </c>
      <c r="K2" s="104">
        <f>IF(ISNA(VLOOKUP($B2,'[1]MENGENLS1 19-07-2000'!$AP$7:$AQ$12,2,0)),0,VLOOKUP($B2,'[1]MENGENLS1 19-07-2000'!$AP$7:$AQ$12,2,0))</f>
        <v>72350</v>
      </c>
      <c r="L2" s="98">
        <v>-597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">
      <c r="B3" s="107">
        <f>DATE(YEAR(B2),MONTH(B2)+1,1)</f>
        <v>36739</v>
      </c>
      <c r="C3" s="108">
        <f>IF(ISNA(VLOOKUP($B3,'[1]MENGENLS1 19-07-2000'!$R$7:$S$71,2,0)),0,VLOOKUP($B3,'[1]MENGENLS1 19-07-2000'!$R$7:$S$71,2,0))</f>
        <v>-377702</v>
      </c>
      <c r="D3" s="109">
        <f>IF(ISNA(VLOOKUP($B3,'[1]MENGENLS1 19-07-2000'!$U$7:$V$60,2,0)),0,VLOOKUP($B3,'[1]MENGENLS1 19-07-2000'!$U$7:$V$60,2,0))</f>
        <v>-107879</v>
      </c>
      <c r="E3" s="109">
        <f>IF(ISNA(VLOOKUP($B3,'[1]MENGENLS1 19-07-2000'!$X$7:$Y$27,2,0)),0,VLOOKUP($B3,'[1]MENGENLS1 19-07-2000'!$X$7:$Y$27,2,0))</f>
        <v>2731</v>
      </c>
      <c r="F3" s="109">
        <f>IF(ISNA(VLOOKUP($B3,'[1]MENGENLS1 19-07-2000'!$AA$7:$AB$35,2,0)),0,VLOOKUP($B3,'[1]MENGENLS1 19-07-2000'!$AA$7:$AB$35,2,0))</f>
        <v>-3442</v>
      </c>
      <c r="G3" s="109">
        <f>IF(ISNA(VLOOKUP($B3,'[1]MENGENLS1 19-07-2000'!$AD$7:$AE$38,2,0)),0,VLOOKUP($B3,'[1]MENGENLS1 19-07-2000'!$AD$7:$AE$38,2,0))</f>
        <v>864468</v>
      </c>
      <c r="H3" s="109">
        <f>IF(ISNA(VLOOKUP($B3,'[1]MENGENLS1 19-07-2000'!$AG$7:$AH$20,2,0)),0,VLOOKUP($B3,'[1]MENGENLS1 19-07-2000'!$AG$7:$AH$20,2,0))</f>
        <v>-730</v>
      </c>
      <c r="I3" s="109">
        <f>IF(ISNA(VLOOKUP($B3,'[1]MENGENLS1 19-07-2000'!$AJ$7:$AK$38,2,0)),0,VLOOKUP($B3,'[1]MENGENLS1 19-07-2000'!$AJ$7:$AK$38,2,0))</f>
        <v>-9831</v>
      </c>
      <c r="J3" s="109">
        <f>IF(ISNA(VLOOKUP($B3,'[1]MENGENLS1 19-07-2000'!$AM$7:$AN$38,2,0)),0,VLOOKUP($B3,'[1]MENGENLS1 19-07-2000'!$AM$7:$AN$38,2,0))</f>
        <v>27649</v>
      </c>
      <c r="K3" s="109">
        <f>IF(ISNA(VLOOKUP($B3,'[1]MENGENLS1 19-07-2000'!$AP$7:$AQ$12,2,0)),0,VLOOKUP($B3,'[1]MENGENLS1 19-07-2000'!$AP$7:$AQ$12,2,0))</f>
        <v>0</v>
      </c>
      <c r="L3" s="99">
        <v>20000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36770</v>
      </c>
      <c r="C4" s="108">
        <f>IF(ISNA(VLOOKUP($B4,'[1]MENGENLS1 19-07-2000'!$R$7:$S$71,2,0)),0,VLOOKUP($B4,'[1]MENGENLS1 19-07-2000'!$R$7:$S$71,2,0))</f>
        <v>43577</v>
      </c>
      <c r="D4" s="109">
        <f>IF(ISNA(VLOOKUP($B4,'[1]MENGENLS1 19-07-2000'!$U$7:$V$60,2,0)),0,VLOOKUP($B4,'[1]MENGENLS1 19-07-2000'!$U$7:$V$60,2,0))</f>
        <v>-155039</v>
      </c>
      <c r="E4" s="109">
        <f>IF(ISNA(VLOOKUP($B4,'[1]MENGENLS1 19-07-2000'!$X$7:$Y$27,2,0)),0,VLOOKUP($B4,'[1]MENGENLS1 19-07-2000'!$X$7:$Y$27,2,0))</f>
        <v>-15978</v>
      </c>
      <c r="F4" s="109">
        <f>IF(ISNA(VLOOKUP($B4,'[1]MENGENLS1 19-07-2000'!$AA$7:$AB$35,2,0)),0,VLOOKUP($B4,'[1]MENGENLS1 19-07-2000'!$AA$7:$AB$35,2,0))</f>
        <v>4561</v>
      </c>
      <c r="G4" s="109">
        <f>IF(ISNA(VLOOKUP($B4,'[1]MENGENLS1 19-07-2000'!$AD$7:$AE$38,2,0)),0,VLOOKUP($B4,'[1]MENGENLS1 19-07-2000'!$AD$7:$AE$38,2,0))</f>
        <v>-1237031</v>
      </c>
      <c r="H4" s="109">
        <f>IF(ISNA(VLOOKUP($B4,'[1]MENGENLS1 19-07-2000'!$AG$7:$AH$20,2,0)),0,VLOOKUP($B4,'[1]MENGENLS1 19-07-2000'!$AG$7:$AH$20,2,0))</f>
        <v>712</v>
      </c>
      <c r="I4" s="109">
        <f>IF(ISNA(VLOOKUP($B4,'[1]MENGENLS1 19-07-2000'!$AJ$7:$AK$38,2,0)),0,VLOOKUP($B4,'[1]MENGENLS1 19-07-2000'!$AJ$7:$AK$38,2,0))</f>
        <v>-52636</v>
      </c>
      <c r="J4" s="109">
        <f>IF(ISNA(VLOOKUP($B4,'[1]MENGENLS1 19-07-2000'!$AM$7:$AN$38,2,0)),0,VLOOKUP($B4,'[1]MENGENLS1 19-07-2000'!$AM$7:$AN$38,2,0))</f>
        <v>13632</v>
      </c>
      <c r="K4" s="109">
        <f>IF(ISNA(VLOOKUP($B4,'[1]MENGENLS1 19-07-2000'!$AP$7:$AQ$12,2,0)),0,VLOOKUP($B4,'[1]MENGENLS1 19-07-2000'!$AP$7:$AQ$12,2,0))</f>
        <v>-3780</v>
      </c>
      <c r="L4" s="99">
        <v>-15000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36800</v>
      </c>
      <c r="C5" s="108">
        <f>IF(ISNA(VLOOKUP($B5,'[1]MENGENLS1 19-07-2000'!$R$7:$S$71,2,0)),0,VLOOKUP($B5,'[1]MENGENLS1 19-07-2000'!$R$7:$S$71,2,0))</f>
        <v>41692</v>
      </c>
      <c r="D5" s="109">
        <f>IF(ISNA(VLOOKUP($B5,'[1]MENGENLS1 19-07-2000'!$U$7:$V$60,2,0)),0,VLOOKUP($B5,'[1]MENGENLS1 19-07-2000'!$U$7:$V$60,2,0))</f>
        <v>-41753</v>
      </c>
      <c r="E5" s="109">
        <f>IF(ISNA(VLOOKUP($B5,'[1]MENGENLS1 19-07-2000'!$X$7:$Y$27,2,0)),0,VLOOKUP($B5,'[1]MENGENLS1 19-07-2000'!$X$7:$Y$27,2,0))</f>
        <v>11846</v>
      </c>
      <c r="F5" s="109">
        <f>IF(ISNA(VLOOKUP($B5,'[1]MENGENLS1 19-07-2000'!$AA$7:$AB$35,2,0)),0,VLOOKUP($B5,'[1]MENGENLS1 19-07-2000'!$AA$7:$AB$35,2,0))</f>
        <v>873</v>
      </c>
      <c r="G5" s="109">
        <f>IF(ISNA(VLOOKUP($B5,'[1]MENGENLS1 19-07-2000'!$AD$7:$AE$38,2,0)),0,VLOOKUP($B5,'[1]MENGENLS1 19-07-2000'!$AD$7:$AE$38,2,0))</f>
        <v>328741</v>
      </c>
      <c r="H5" s="109">
        <f>IF(ISNA(VLOOKUP($B5,'[1]MENGENLS1 19-07-2000'!$AG$7:$AH$20,2,0)),0,VLOOKUP($B5,'[1]MENGENLS1 19-07-2000'!$AG$7:$AH$20,2,0))</f>
        <v>-504</v>
      </c>
      <c r="I5" s="109">
        <f>IF(ISNA(VLOOKUP($B5,'[1]MENGENLS1 19-07-2000'!$AJ$7:$AK$38,2,0)),0,VLOOKUP($B5,'[1]MENGENLS1 19-07-2000'!$AJ$7:$AK$38,2,0))</f>
        <v>20534</v>
      </c>
      <c r="J5" s="109">
        <f>IF(ISNA(VLOOKUP($B5,'[1]MENGENLS1 19-07-2000'!$AM$7:$AN$38,2,0)),0,VLOOKUP($B5,'[1]MENGENLS1 19-07-2000'!$AM$7:$AN$38,2,0))</f>
        <v>-54110</v>
      </c>
      <c r="K5" s="109">
        <f>IF(ISNA(VLOOKUP($B5,'[1]MENGENLS1 19-07-2000'!$AP$7:$AQ$12,2,0)),0,VLOOKUP($B5,'[1]MENGENLS1 19-07-2000'!$AP$7:$AQ$12,2,0))</f>
        <v>0</v>
      </c>
      <c r="L5" s="99">
        <v>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36831</v>
      </c>
      <c r="C6" s="108">
        <f>IF(ISNA(VLOOKUP($B6,'[1]MENGENLS1 19-07-2000'!$R$7:$S$71,2,0)),0,VLOOKUP($B6,'[1]MENGENLS1 19-07-2000'!$R$7:$S$71,2,0))</f>
        <v>-33824</v>
      </c>
      <c r="D6" s="109">
        <f>IF(ISNA(VLOOKUP($B6,'[1]MENGENLS1 19-07-2000'!$U$7:$V$60,2,0)),0,VLOOKUP($B6,'[1]MENGENLS1 19-07-2000'!$U$7:$V$60,2,0))</f>
        <v>954</v>
      </c>
      <c r="E6" s="109">
        <f>IF(ISNA(VLOOKUP($B6,'[1]MENGENLS1 19-07-2000'!$X$7:$Y$27,2,0)),0,VLOOKUP($B6,'[1]MENGENLS1 19-07-2000'!$X$7:$Y$27,2,0))</f>
        <v>2784</v>
      </c>
      <c r="F6" s="109">
        <f>IF(ISNA(VLOOKUP($B6,'[1]MENGENLS1 19-07-2000'!$AA$7:$AB$35,2,0)),0,VLOOKUP($B6,'[1]MENGENLS1 19-07-2000'!$AA$7:$AB$35,2,0))</f>
        <v>-877</v>
      </c>
      <c r="G6" s="109">
        <f>IF(ISNA(VLOOKUP($B6,'[1]MENGENLS1 19-07-2000'!$AD$7:$AE$38,2,0)),0,VLOOKUP($B6,'[1]MENGENLS1 19-07-2000'!$AD$7:$AE$38,2,0))</f>
        <v>553218</v>
      </c>
      <c r="H6" s="109">
        <f>IF(ISNA(VLOOKUP($B6,'[1]MENGENLS1 19-07-2000'!$AG$7:$AH$20,2,0)),0,VLOOKUP($B6,'[1]MENGENLS1 19-07-2000'!$AG$7:$AH$20,2,0))</f>
        <v>-140</v>
      </c>
      <c r="I6" s="109">
        <f>IF(ISNA(VLOOKUP($B6,'[1]MENGENLS1 19-07-2000'!$AJ$7:$AK$38,2,0)),0,VLOOKUP($B6,'[1]MENGENLS1 19-07-2000'!$AJ$7:$AK$38,2,0))</f>
        <v>-10655</v>
      </c>
      <c r="J6" s="109">
        <f>IF(ISNA(VLOOKUP($B6,'[1]MENGENLS1 19-07-2000'!$AM$7:$AN$38,2,0)),0,VLOOKUP($B6,'[1]MENGENLS1 19-07-2000'!$AM$7:$AN$38,2,0))</f>
        <v>-8328</v>
      </c>
      <c r="K6" s="109">
        <f>IF(ISNA(VLOOKUP($B6,'[1]MENGENLS1 19-07-2000'!$AP$7:$AQ$12,2,0)),0,VLOOKUP($B6,'[1]MENGENLS1 19-07-2000'!$AP$7:$AQ$12,2,0))</f>
        <v>0</v>
      </c>
      <c r="L6" s="99">
        <v>-10000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36861</v>
      </c>
      <c r="C7" s="108">
        <f>IF(ISNA(VLOOKUP($B7,'[1]MENGENLS1 19-07-2000'!$R$7:$S$71,2,0)),0,VLOOKUP($B7,'[1]MENGENLS1 19-07-2000'!$R$7:$S$71,2,0))</f>
        <v>-64770</v>
      </c>
      <c r="D7" s="109">
        <f>IF(ISNA(VLOOKUP($B7,'[1]MENGENLS1 19-07-2000'!$U$7:$V$60,2,0)),0,VLOOKUP($B7,'[1]MENGENLS1 19-07-2000'!$U$7:$V$60,2,0))</f>
        <v>47952</v>
      </c>
      <c r="E7" s="109">
        <f>IF(ISNA(VLOOKUP($B7,'[1]MENGENLS1 19-07-2000'!$X$7:$Y$27,2,0)),0,VLOOKUP($B7,'[1]MENGENLS1 19-07-2000'!$X$7:$Y$27,2,0))</f>
        <v>-4830</v>
      </c>
      <c r="F7" s="109">
        <f>IF(ISNA(VLOOKUP($B7,'[1]MENGENLS1 19-07-2000'!$AA$7:$AB$35,2,0)),0,VLOOKUP($B7,'[1]MENGENLS1 19-07-2000'!$AA$7:$AB$35,2,0))</f>
        <v>2299</v>
      </c>
      <c r="G7" s="109">
        <f>IF(ISNA(VLOOKUP($B7,'[1]MENGENLS1 19-07-2000'!$AD$7:$AE$38,2,0)),0,VLOOKUP($B7,'[1]MENGENLS1 19-07-2000'!$AD$7:$AE$38,2,0))</f>
        <v>-749080</v>
      </c>
      <c r="H7" s="109">
        <f>IF(ISNA(VLOOKUP($B7,'[1]MENGENLS1 19-07-2000'!$AG$7:$AH$20,2,0)),0,VLOOKUP($B7,'[1]MENGENLS1 19-07-2000'!$AG$7:$AH$20,2,0))</f>
        <v>-296</v>
      </c>
      <c r="I7" s="109">
        <f>IF(ISNA(VLOOKUP($B7,'[1]MENGENLS1 19-07-2000'!$AJ$7:$AK$38,2,0)),0,VLOOKUP($B7,'[1]MENGENLS1 19-07-2000'!$AJ$7:$AK$38,2,0))</f>
        <v>-6380</v>
      </c>
      <c r="J7" s="109">
        <f>IF(ISNA(VLOOKUP($B7,'[1]MENGENLS1 19-07-2000'!$AM$7:$AN$38,2,0)),0,VLOOKUP($B7,'[1]MENGENLS1 19-07-2000'!$AM$7:$AN$38,2,0))</f>
        <v>16944</v>
      </c>
      <c r="K7" s="109">
        <f>IF(ISNA(VLOOKUP($B7,'[1]MENGENLS1 19-07-2000'!$AP$7:$AQ$12,2,0)),0,VLOOKUP($B7,'[1]MENGENLS1 19-07-2000'!$AP$7:$AQ$12,2,0))</f>
        <v>-22250</v>
      </c>
      <c r="L7" s="99"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36892</v>
      </c>
      <c r="C8" s="108">
        <f>IF(ISNA(VLOOKUP($B8,'[1]MENGENLS1 19-07-2000'!$R$7:$S$71,2,0)),0,VLOOKUP($B8,'[1]MENGENLS1 19-07-2000'!$R$7:$S$71,2,0))</f>
        <v>11460</v>
      </c>
      <c r="D8" s="109">
        <f>IF(ISNA(VLOOKUP($B8,'[1]MENGENLS1 19-07-2000'!$U$7:$V$60,2,0)),0,VLOOKUP($B8,'[1]MENGENLS1 19-07-2000'!$U$7:$V$60,2,0))</f>
        <v>8847</v>
      </c>
      <c r="E8" s="109">
        <f>IF(ISNA(VLOOKUP($B8,'[1]MENGENLS1 19-07-2000'!$X$7:$Y$27,2,0)),0,VLOOKUP($B8,'[1]MENGENLS1 19-07-2000'!$X$7:$Y$27,2,0))</f>
        <v>-17733</v>
      </c>
      <c r="F8" s="109">
        <f>IF(ISNA(VLOOKUP($B8,'[1]MENGENLS1 19-07-2000'!$AA$7:$AB$35,2,0)),0,VLOOKUP($B8,'[1]MENGENLS1 19-07-2000'!$AA$7:$AB$35,2,0))</f>
        <v>703</v>
      </c>
      <c r="G8" s="109">
        <f>IF(ISNA(VLOOKUP($B8,'[1]MENGENLS1 19-07-2000'!$AD$7:$AE$38,2,0)),0,VLOOKUP($B8,'[1]MENGENLS1 19-07-2000'!$AD$7:$AE$38,2,0))</f>
        <v>214927</v>
      </c>
      <c r="H8" s="109">
        <f>IF(ISNA(VLOOKUP($B8,'[1]MENGENLS1 19-07-2000'!$AG$7:$AH$20,2,0)),0,VLOOKUP($B8,'[1]MENGENLS1 19-07-2000'!$AG$7:$AH$20,2,0))</f>
        <v>-26</v>
      </c>
      <c r="I8" s="109">
        <f>IF(ISNA(VLOOKUP($B8,'[1]MENGENLS1 19-07-2000'!$AJ$7:$AK$38,2,0)),0,VLOOKUP($B8,'[1]MENGENLS1 19-07-2000'!$AJ$7:$AK$38,2,0))</f>
        <v>-5178</v>
      </c>
      <c r="J8" s="109">
        <f>IF(ISNA(VLOOKUP($B8,'[1]MENGENLS1 19-07-2000'!$AM$7:$AN$38,2,0)),0,VLOOKUP($B8,'[1]MENGENLS1 19-07-2000'!$AM$7:$AN$38,2,0))</f>
        <v>35076</v>
      </c>
      <c r="K8" s="109">
        <f>IF(ISNA(VLOOKUP($B8,'[1]MENGENLS1 19-07-2000'!$AP$7:$AQ$12,2,0)),0,VLOOKUP($B8,'[1]MENGENLS1 19-07-2000'!$AP$7:$AQ$12,2,0))</f>
        <v>0</v>
      </c>
      <c r="L8" s="99">
        <v>-40000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36923</v>
      </c>
      <c r="C9" s="108">
        <f>IF(ISNA(VLOOKUP($B9,'[1]MENGENLS1 19-07-2000'!$R$7:$S$71,2,0)),0,VLOOKUP($B9,'[1]MENGENLS1 19-07-2000'!$R$7:$S$71,2,0))</f>
        <v>-7328</v>
      </c>
      <c r="D9" s="109">
        <f>IF(ISNA(VLOOKUP($B9,'[1]MENGENLS1 19-07-2000'!$U$7:$V$60,2,0)),0,VLOOKUP($B9,'[1]MENGENLS1 19-07-2000'!$U$7:$V$60,2,0))</f>
        <v>-130</v>
      </c>
      <c r="E9" s="109">
        <f>IF(ISNA(VLOOKUP($B9,'[1]MENGENLS1 19-07-2000'!$X$7:$Y$27,2,0)),0,VLOOKUP($B9,'[1]MENGENLS1 19-07-2000'!$X$7:$Y$27,2,0))</f>
        <v>-5497</v>
      </c>
      <c r="F9" s="109">
        <f>IF(ISNA(VLOOKUP($B9,'[1]MENGENLS1 19-07-2000'!$AA$7:$AB$35,2,0)),0,VLOOKUP($B9,'[1]MENGENLS1 19-07-2000'!$AA$7:$AB$35,2,0))</f>
        <v>264</v>
      </c>
      <c r="G9" s="109">
        <f>IF(ISNA(VLOOKUP($B9,'[1]MENGENLS1 19-07-2000'!$AD$7:$AE$38,2,0)),0,VLOOKUP($B9,'[1]MENGENLS1 19-07-2000'!$AD$7:$AE$38,2,0))</f>
        <v>-21380</v>
      </c>
      <c r="H9" s="109">
        <f>IF(ISNA(VLOOKUP($B9,'[1]MENGENLS1 19-07-2000'!$AG$7:$AH$20,2,0)),0,VLOOKUP($B9,'[1]MENGENLS1 19-07-2000'!$AG$7:$AH$20,2,0))</f>
        <v>-25</v>
      </c>
      <c r="I9" s="109">
        <f>IF(ISNA(VLOOKUP($B9,'[1]MENGENLS1 19-07-2000'!$AJ$7:$AK$38,2,0)),0,VLOOKUP($B9,'[1]MENGENLS1 19-07-2000'!$AJ$7:$AK$38,2,0))</f>
        <v>-2077</v>
      </c>
      <c r="J9" s="109">
        <f>IF(ISNA(VLOOKUP($B9,'[1]MENGENLS1 19-07-2000'!$AM$7:$AN$38,2,0)),0,VLOOKUP($B9,'[1]MENGENLS1 19-07-2000'!$AM$7:$AN$38,2,0))</f>
        <v>14821</v>
      </c>
      <c r="K9" s="109">
        <f>IF(ISNA(VLOOKUP($B9,'[1]MENGENLS1 19-07-2000'!$AP$7:$AQ$12,2,0)),0,VLOOKUP($B9,'[1]MENGENLS1 19-07-2000'!$AP$7:$AQ$12,2,0))</f>
        <v>0</v>
      </c>
      <c r="L9" s="99"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36951</v>
      </c>
      <c r="C10" s="108">
        <f>IF(ISNA(VLOOKUP($B10,'[1]MENGENLS1 19-07-2000'!$R$7:$S$71,2,0)),0,VLOOKUP($B10,'[1]MENGENLS1 19-07-2000'!$R$7:$S$71,2,0))</f>
        <v>-9111</v>
      </c>
      <c r="D10" s="109">
        <f>IF(ISNA(VLOOKUP($B10,'[1]MENGENLS1 19-07-2000'!$U$7:$V$60,2,0)),0,VLOOKUP($B10,'[1]MENGENLS1 19-07-2000'!$U$7:$V$60,2,0))</f>
        <v>-59604</v>
      </c>
      <c r="E10" s="109">
        <f>IF(ISNA(VLOOKUP($B10,'[1]MENGENLS1 19-07-2000'!$X$7:$Y$27,2,0)),0,VLOOKUP($B10,'[1]MENGENLS1 19-07-2000'!$X$7:$Y$27,2,0))</f>
        <v>-9147</v>
      </c>
      <c r="F10" s="109">
        <f>IF(ISNA(VLOOKUP($B10,'[1]MENGENLS1 19-07-2000'!$AA$7:$AB$35,2,0)),0,VLOOKUP($B10,'[1]MENGENLS1 19-07-2000'!$AA$7:$AB$35,2,0))</f>
        <v>553</v>
      </c>
      <c r="G10" s="109">
        <f>IF(ISNA(VLOOKUP($B10,'[1]MENGENLS1 19-07-2000'!$AD$7:$AE$38,2,0)),0,VLOOKUP($B10,'[1]MENGENLS1 19-07-2000'!$AD$7:$AE$38,2,0))</f>
        <v>137252</v>
      </c>
      <c r="H10" s="109">
        <f>IF(ISNA(VLOOKUP($B10,'[1]MENGENLS1 19-07-2000'!$AG$7:$AH$20,2,0)),0,VLOOKUP($B10,'[1]MENGENLS1 19-07-2000'!$AG$7:$AH$20,2,0))</f>
        <v>-94</v>
      </c>
      <c r="I10" s="109">
        <f>IF(ISNA(VLOOKUP($B10,'[1]MENGENLS1 19-07-2000'!$AJ$7:$AK$38,2,0)),0,VLOOKUP($B10,'[1]MENGENLS1 19-07-2000'!$AJ$7:$AK$38,2,0))</f>
        <v>-1419</v>
      </c>
      <c r="J10" s="109">
        <f>IF(ISNA(VLOOKUP($B10,'[1]MENGENLS1 19-07-2000'!$AM$7:$AN$38,2,0)),0,VLOOKUP($B10,'[1]MENGENLS1 19-07-2000'!$AM$7:$AN$38,2,0))</f>
        <v>11928</v>
      </c>
      <c r="K10" s="109">
        <f>IF(ISNA(VLOOKUP($B10,'[1]MENGENLS1 19-07-2000'!$AP$7:$AQ$12,2,0)),0,VLOOKUP($B10,'[1]MENGENLS1 19-07-2000'!$AP$7:$AQ$12,2,0))</f>
        <v>-43310</v>
      </c>
      <c r="L10" s="99">
        <v>30000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36982</v>
      </c>
      <c r="C11" s="108">
        <f>IF(ISNA(VLOOKUP($B11,'[1]MENGENLS1 19-07-2000'!$R$7:$S$71,2,0)),0,VLOOKUP($B11,'[1]MENGENLS1 19-07-2000'!$R$7:$S$71,2,0))</f>
        <v>-8812</v>
      </c>
      <c r="D11" s="109">
        <f>IF(ISNA(VLOOKUP($B11,'[1]MENGENLS1 19-07-2000'!$U$7:$V$60,2,0)),0,VLOOKUP($B11,'[1]MENGENLS1 19-07-2000'!$U$7:$V$60,2,0))</f>
        <v>-31288</v>
      </c>
      <c r="E11" s="109">
        <f>IF(ISNA(VLOOKUP($B11,'[1]MENGENLS1 19-07-2000'!$X$7:$Y$27,2,0)),0,VLOOKUP($B11,'[1]MENGENLS1 19-07-2000'!$X$7:$Y$27,2,0))</f>
        <v>-907</v>
      </c>
      <c r="F11" s="109">
        <f>IF(ISNA(VLOOKUP($B11,'[1]MENGENLS1 19-07-2000'!$AA$7:$AB$35,2,0)),0,VLOOKUP($B11,'[1]MENGENLS1 19-07-2000'!$AA$7:$AB$35,2,0))</f>
        <v>649</v>
      </c>
      <c r="G11" s="109">
        <f>IF(ISNA(VLOOKUP($B11,'[1]MENGENLS1 19-07-2000'!$AD$7:$AE$38,2,0)),0,VLOOKUP($B11,'[1]MENGENLS1 19-07-2000'!$AD$7:$AE$38,2,0))</f>
        <v>28807</v>
      </c>
      <c r="H11" s="109">
        <f>IF(ISNA(VLOOKUP($B11,'[1]MENGENLS1 19-07-2000'!$AG$7:$AH$20,2,0)),0,VLOOKUP($B11,'[1]MENGENLS1 19-07-2000'!$AG$7:$AH$20,2,0))</f>
        <v>-4</v>
      </c>
      <c r="I11" s="109">
        <f>IF(ISNA(VLOOKUP($B11,'[1]MENGENLS1 19-07-2000'!$AJ$7:$AK$38,2,0)),0,VLOOKUP($B11,'[1]MENGENLS1 19-07-2000'!$AJ$7:$AK$38,2,0))</f>
        <v>-2270</v>
      </c>
      <c r="J11" s="109">
        <f>IF(ISNA(VLOOKUP($B11,'[1]MENGENLS1 19-07-2000'!$AM$7:$AN$38,2,0)),0,VLOOKUP($B11,'[1]MENGENLS1 19-07-2000'!$AM$7:$AN$38,2,0))</f>
        <v>26878</v>
      </c>
      <c r="K11" s="109">
        <f>IF(ISNA(VLOOKUP($B11,'[1]MENGENLS1 19-07-2000'!$AP$7:$AQ$12,2,0)),0,VLOOKUP($B11,'[1]MENGENLS1 19-07-2000'!$AP$7:$AQ$12,2,0))</f>
        <v>0</v>
      </c>
      <c r="L11" s="99">
        <v>25000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37012</v>
      </c>
      <c r="C12" s="108">
        <f>IF(ISNA(VLOOKUP($B12,'[1]MENGENLS1 19-07-2000'!$R$7:$S$71,2,0)),0,VLOOKUP($B12,'[1]MENGENLS1 19-07-2000'!$R$7:$S$71,2,0))</f>
        <v>-1747</v>
      </c>
      <c r="D12" s="109">
        <f>IF(ISNA(VLOOKUP($B12,'[1]MENGENLS1 19-07-2000'!$U$7:$V$60,2,0)),0,VLOOKUP($B12,'[1]MENGENLS1 19-07-2000'!$U$7:$V$60,2,0))</f>
        <v>1937</v>
      </c>
      <c r="E12" s="109">
        <f>IF(ISNA(VLOOKUP($B12,'[1]MENGENLS1 19-07-2000'!$X$7:$Y$27,2,0)),0,VLOOKUP($B12,'[1]MENGENLS1 19-07-2000'!$X$7:$Y$27,2,0))</f>
        <v>-6855</v>
      </c>
      <c r="F12" s="109">
        <f>IF(ISNA(VLOOKUP($B12,'[1]MENGENLS1 19-07-2000'!$AA$7:$AB$35,2,0)),0,VLOOKUP($B12,'[1]MENGENLS1 19-07-2000'!$AA$7:$AB$35,2,0))</f>
        <v>1</v>
      </c>
      <c r="G12" s="109">
        <f>IF(ISNA(VLOOKUP($B12,'[1]MENGENLS1 19-07-2000'!$AD$7:$AE$38,2,0)),0,VLOOKUP($B12,'[1]MENGENLS1 19-07-2000'!$AD$7:$AE$38,2,0))</f>
        <v>-37616</v>
      </c>
      <c r="H12" s="109">
        <f>IF(ISNA(VLOOKUP($B12,'[1]MENGENLS1 19-07-2000'!$AG$7:$AH$20,2,0)),0,VLOOKUP($B12,'[1]MENGENLS1 19-07-2000'!$AG$7:$AH$20,2,0))</f>
        <v>46</v>
      </c>
      <c r="I12" s="109">
        <f>IF(ISNA(VLOOKUP($B12,'[1]MENGENLS1 19-07-2000'!$AJ$7:$AK$38,2,0)),0,VLOOKUP($B12,'[1]MENGENLS1 19-07-2000'!$AJ$7:$AK$38,2,0))</f>
        <v>-4653</v>
      </c>
      <c r="J12" s="109">
        <f>IF(ISNA(VLOOKUP($B12,'[1]MENGENLS1 19-07-2000'!$AM$7:$AN$38,2,0)),0,VLOOKUP($B12,'[1]MENGENLS1 19-07-2000'!$AM$7:$AN$38,2,0))</f>
        <v>-23470</v>
      </c>
      <c r="K12" s="109">
        <f>IF(ISNA(VLOOKUP($B12,'[1]MENGENLS1 19-07-2000'!$AP$7:$AQ$12,2,0)),0,VLOOKUP($B12,'[1]MENGENLS1 19-07-2000'!$AP$7:$AQ$12,2,0))</f>
        <v>18860</v>
      </c>
      <c r="L12" s="99">
        <v>-6666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37043</v>
      </c>
      <c r="C13" s="108">
        <f>IF(ISNA(VLOOKUP($B13,'[1]MENGENLS1 19-07-2000'!$R$7:$S$71,2,0)),0,VLOOKUP($B13,'[1]MENGENLS1 19-07-2000'!$R$7:$S$71,2,0))</f>
        <v>-3091</v>
      </c>
      <c r="D13" s="109">
        <f>IF(ISNA(VLOOKUP($B13,'[1]MENGENLS1 19-07-2000'!$U$7:$V$60,2,0)),0,VLOOKUP($B13,'[1]MENGENLS1 19-07-2000'!$U$7:$V$60,2,0))</f>
        <v>-550</v>
      </c>
      <c r="E13" s="109">
        <f>IF(ISNA(VLOOKUP($B13,'[1]MENGENLS1 19-07-2000'!$X$7:$Y$27,2,0)),0,VLOOKUP($B13,'[1]MENGENLS1 19-07-2000'!$X$7:$Y$27,2,0))</f>
        <v>-9674</v>
      </c>
      <c r="F13" s="109">
        <f>IF(ISNA(VLOOKUP($B13,'[1]MENGENLS1 19-07-2000'!$AA$7:$AB$35,2,0)),0,VLOOKUP($B13,'[1]MENGENLS1 19-07-2000'!$AA$7:$AB$35,2,0))</f>
        <v>2237</v>
      </c>
      <c r="G13" s="109">
        <f>IF(ISNA(VLOOKUP($B13,'[1]MENGENLS1 19-07-2000'!$AD$7:$AE$38,2,0)),0,VLOOKUP($B13,'[1]MENGENLS1 19-07-2000'!$AD$7:$AE$38,2,0))</f>
        <v>-3794</v>
      </c>
      <c r="H13" s="109">
        <f>IF(ISNA(VLOOKUP($B13,'[1]MENGENLS1 19-07-2000'!$AG$7:$AH$20,2,0)),0,VLOOKUP($B13,'[1]MENGENLS1 19-07-2000'!$AG$7:$AH$20,2,0))</f>
        <v>-152</v>
      </c>
      <c r="I13" s="109">
        <f>IF(ISNA(VLOOKUP($B13,'[1]MENGENLS1 19-07-2000'!$AJ$7:$AK$38,2,0)),0,VLOOKUP($B13,'[1]MENGENLS1 19-07-2000'!$AJ$7:$AK$38,2,0))</f>
        <v>1300</v>
      </c>
      <c r="J13" s="109">
        <f>IF(ISNA(VLOOKUP($B13,'[1]MENGENLS1 19-07-2000'!$AM$7:$AN$38,2,0)),0,VLOOKUP($B13,'[1]MENGENLS1 19-07-2000'!$AM$7:$AN$38,2,0))</f>
        <v>24724</v>
      </c>
      <c r="K13" s="109">
        <f>IF(ISNA(VLOOKUP($B13,'[1]MENGENLS1 19-07-2000'!$AP$7:$AQ$12,2,0)),0,VLOOKUP($B13,'[1]MENGENLS1 19-07-2000'!$AP$7:$AQ$12,2,0))</f>
        <v>0</v>
      </c>
      <c r="L13" s="99">
        <v>-10000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37073</v>
      </c>
      <c r="C14" s="108">
        <f>IF(ISNA(VLOOKUP($B14,'[1]MENGENLS1 19-07-2000'!$R$7:$S$71,2,0)),0,VLOOKUP($B14,'[1]MENGENLS1 19-07-2000'!$R$7:$S$71,2,0))</f>
        <v>-6252</v>
      </c>
      <c r="D14" s="109">
        <f>IF(ISNA(VLOOKUP($B14,'[1]MENGENLS1 19-07-2000'!$U$7:$V$60,2,0)),0,VLOOKUP($B14,'[1]MENGENLS1 19-07-2000'!$U$7:$V$60,2,0))</f>
        <v>718</v>
      </c>
      <c r="E14" s="109">
        <f>IF(ISNA(VLOOKUP($B14,'[1]MENGENLS1 19-07-2000'!$X$7:$Y$27,2,0)),0,VLOOKUP($B14,'[1]MENGENLS1 19-07-2000'!$X$7:$Y$27,2,0))</f>
        <v>-25900</v>
      </c>
      <c r="F14" s="109">
        <f>IF(ISNA(VLOOKUP($B14,'[1]MENGENLS1 19-07-2000'!$AA$7:$AB$35,2,0)),0,VLOOKUP($B14,'[1]MENGENLS1 19-07-2000'!$AA$7:$AB$35,2,0))</f>
        <v>-1067</v>
      </c>
      <c r="G14" s="109">
        <f>IF(ISNA(VLOOKUP($B14,'[1]MENGENLS1 19-07-2000'!$AD$7:$AE$38,2,0)),0,VLOOKUP($B14,'[1]MENGENLS1 19-07-2000'!$AD$7:$AE$38,2,0))</f>
        <v>9163</v>
      </c>
      <c r="H14" s="109">
        <f>IF(ISNA(VLOOKUP($B14,'[1]MENGENLS1 19-07-2000'!$AG$7:$AH$20,2,0)),0,VLOOKUP($B14,'[1]MENGENLS1 19-07-2000'!$AG$7:$AH$20,2,0))</f>
        <v>-50</v>
      </c>
      <c r="I14" s="109">
        <f>IF(ISNA(VLOOKUP($B14,'[1]MENGENLS1 19-07-2000'!$AJ$7:$AK$38,2,0)),0,VLOOKUP($B14,'[1]MENGENLS1 19-07-2000'!$AJ$7:$AK$38,2,0))</f>
        <v>-3389</v>
      </c>
      <c r="J14" s="109">
        <f>IF(ISNA(VLOOKUP($B14,'[1]MENGENLS1 19-07-2000'!$AM$7:$AN$38,2,0)),0,VLOOKUP($B14,'[1]MENGENLS1 19-07-2000'!$AM$7:$AN$38,2,0))</f>
        <v>611</v>
      </c>
      <c r="K14" s="109">
        <f>IF(ISNA(VLOOKUP($B14,'[1]MENGENLS1 19-07-2000'!$AP$7:$AQ$12,2,0)),0,VLOOKUP($B14,'[1]MENGENLS1 19-07-2000'!$AP$7:$AQ$12,2,0))</f>
        <v>0</v>
      </c>
      <c r="L14" s="99">
        <v>20000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37104</v>
      </c>
      <c r="C15" s="108">
        <f>IF(ISNA(VLOOKUP($B15,'[1]MENGENLS1 19-07-2000'!$R$7:$S$71,2,0)),0,VLOOKUP($B15,'[1]MENGENLS1 19-07-2000'!$R$7:$S$71,2,0))</f>
        <v>987</v>
      </c>
      <c r="D15" s="109">
        <f>IF(ISNA(VLOOKUP($B15,'[1]MENGENLS1 19-07-2000'!$U$7:$V$60,2,0)),0,VLOOKUP($B15,'[1]MENGENLS1 19-07-2000'!$U$7:$V$60,2,0))</f>
        <v>-1744</v>
      </c>
      <c r="E15" s="109">
        <f>IF(ISNA(VLOOKUP($B15,'[1]MENGENLS1 19-07-2000'!$X$7:$Y$27,2,0)),0,VLOOKUP($B15,'[1]MENGENLS1 19-07-2000'!$X$7:$Y$27,2,0))</f>
        <v>-2975</v>
      </c>
      <c r="F15" s="109">
        <f>IF(ISNA(VLOOKUP($B15,'[1]MENGENLS1 19-07-2000'!$AA$7:$AB$35,2,0)),0,VLOOKUP($B15,'[1]MENGENLS1 19-07-2000'!$AA$7:$AB$35,2,0))</f>
        <v>-71</v>
      </c>
      <c r="G15" s="109">
        <f>IF(ISNA(VLOOKUP($B15,'[1]MENGENLS1 19-07-2000'!$AD$7:$AE$38,2,0)),0,VLOOKUP($B15,'[1]MENGENLS1 19-07-2000'!$AD$7:$AE$38,2,0))</f>
        <v>-1061</v>
      </c>
      <c r="H15" s="109">
        <f>IF(ISNA(VLOOKUP($B15,'[1]MENGENLS1 19-07-2000'!$AG$7:$AH$20,2,0)),0,VLOOKUP($B15,'[1]MENGENLS1 19-07-2000'!$AG$7:$AH$20,2,0))</f>
        <v>70</v>
      </c>
      <c r="I15" s="109">
        <f>IF(ISNA(VLOOKUP($B15,'[1]MENGENLS1 19-07-2000'!$AJ$7:$AK$38,2,0)),0,VLOOKUP($B15,'[1]MENGENLS1 19-07-2000'!$AJ$7:$AK$38,2,0))</f>
        <v>-6767</v>
      </c>
      <c r="J15" s="109">
        <f>IF(ISNA(VLOOKUP($B15,'[1]MENGENLS1 19-07-2000'!$AM$7:$AN$38,2,0)),0,VLOOKUP($B15,'[1]MENGENLS1 19-07-2000'!$AM$7:$AN$38,2,0))</f>
        <v>-6720</v>
      </c>
      <c r="K15" s="109">
        <f>IF(ISNA(VLOOKUP($B15,'[1]MENGENLS1 19-07-2000'!$AP$7:$AQ$12,2,0)),0,VLOOKUP($B15,'[1]MENGENLS1 19-07-2000'!$AP$7:$AQ$12,2,0))</f>
        <v>0</v>
      </c>
      <c r="L15" s="99">
        <v>10000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37135</v>
      </c>
      <c r="C16" s="108">
        <f>IF(ISNA(VLOOKUP($B16,'[1]MENGENLS1 19-07-2000'!$R$7:$S$71,2,0)),0,VLOOKUP($B16,'[1]MENGENLS1 19-07-2000'!$R$7:$S$71,2,0))</f>
        <v>-1332</v>
      </c>
      <c r="D16" s="109">
        <f>IF(ISNA(VLOOKUP($B16,'[1]MENGENLS1 19-07-2000'!$U$7:$V$60,2,0)),0,VLOOKUP($B16,'[1]MENGENLS1 19-07-2000'!$U$7:$V$60,2,0))</f>
        <v>-6389</v>
      </c>
      <c r="E16" s="109">
        <f>IF(ISNA(VLOOKUP($B16,'[1]MENGENLS1 19-07-2000'!$X$7:$Y$27,2,0)),0,VLOOKUP($B16,'[1]MENGENLS1 19-07-2000'!$X$7:$Y$27,2,0))</f>
        <v>-1325</v>
      </c>
      <c r="F16" s="109">
        <f>IF(ISNA(VLOOKUP($B16,'[1]MENGENLS1 19-07-2000'!$AA$7:$AB$35,2,0)),0,VLOOKUP($B16,'[1]MENGENLS1 19-07-2000'!$AA$7:$AB$35,2,0))</f>
        <v>-353</v>
      </c>
      <c r="G16" s="109">
        <f>IF(ISNA(VLOOKUP($B16,'[1]MENGENLS1 19-07-2000'!$AD$7:$AE$38,2,0)),0,VLOOKUP($B16,'[1]MENGENLS1 19-07-2000'!$AD$7:$AE$38,2,0))</f>
        <v>9163</v>
      </c>
      <c r="H16" s="109">
        <f>IF(ISNA(VLOOKUP($B16,'[1]MENGENLS1 19-07-2000'!$AG$7:$AH$20,2,0)),0,VLOOKUP($B16,'[1]MENGENLS1 19-07-2000'!$AG$7:$AH$20,2,0))</f>
        <v>0</v>
      </c>
      <c r="I16" s="109">
        <f>IF(ISNA(VLOOKUP($B16,'[1]MENGENLS1 19-07-2000'!$AJ$7:$AK$38,2,0)),0,VLOOKUP($B16,'[1]MENGENLS1 19-07-2000'!$AJ$7:$AK$38,2,0))</f>
        <v>-1398</v>
      </c>
      <c r="J16" s="109">
        <f>IF(ISNA(VLOOKUP($B16,'[1]MENGENLS1 19-07-2000'!$AM$7:$AN$38,2,0)),0,VLOOKUP($B16,'[1]MENGENLS1 19-07-2000'!$AM$7:$AN$38,2,0))</f>
        <v>611</v>
      </c>
      <c r="K16" s="109">
        <f>IF(ISNA(VLOOKUP($B16,'[1]MENGENLS1 19-07-2000'!$AP$7:$AQ$12,2,0)),0,VLOOKUP($B16,'[1]MENGENLS1 19-07-2000'!$AP$7:$AQ$12,2,0))</f>
        <v>0</v>
      </c>
      <c r="L16" s="99">
        <v>-16666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37165</v>
      </c>
      <c r="C17" s="108">
        <f>IF(ISNA(VLOOKUP($B17,'[1]MENGENLS1 19-07-2000'!$R$7:$S$71,2,0)),0,VLOOKUP($B17,'[1]MENGENLS1 19-07-2000'!$R$7:$S$71,2,0))</f>
        <v>2728</v>
      </c>
      <c r="D17" s="109">
        <f>IF(ISNA(VLOOKUP($B17,'[1]MENGENLS1 19-07-2000'!$U$7:$V$60,2,0)),0,VLOOKUP($B17,'[1]MENGENLS1 19-07-2000'!$U$7:$V$60,2,0))</f>
        <v>590</v>
      </c>
      <c r="E17" s="109">
        <f>IF(ISNA(VLOOKUP($B17,'[1]MENGENLS1 19-07-2000'!$X$7:$Y$27,2,0)),0,VLOOKUP($B17,'[1]MENGENLS1 19-07-2000'!$X$7:$Y$27,2,0))</f>
        <v>-325</v>
      </c>
      <c r="F17" s="109">
        <f>IF(ISNA(VLOOKUP($B17,'[1]MENGENLS1 19-07-2000'!$AA$7:$AB$35,2,0)),0,VLOOKUP($B17,'[1]MENGENLS1 19-07-2000'!$AA$7:$AB$35,2,0))</f>
        <v>-924</v>
      </c>
      <c r="G17" s="109">
        <f>IF(ISNA(VLOOKUP($B17,'[1]MENGENLS1 19-07-2000'!$AD$7:$AE$38,2,0)),0,VLOOKUP($B17,'[1]MENGENLS1 19-07-2000'!$AD$7:$AE$38,2,0))</f>
        <v>27971</v>
      </c>
      <c r="H17" s="109">
        <f>IF(ISNA(VLOOKUP($B17,'[1]MENGENLS1 19-07-2000'!$AG$7:$AH$20,2,0)),0,VLOOKUP($B17,'[1]MENGENLS1 19-07-2000'!$AG$7:$AH$20,2,0))</f>
        <v>0</v>
      </c>
      <c r="I17" s="109">
        <f>IF(ISNA(VLOOKUP($B17,'[1]MENGENLS1 19-07-2000'!$AJ$7:$AK$38,2,0)),0,VLOOKUP($B17,'[1]MENGENLS1 19-07-2000'!$AJ$7:$AK$38,2,0))</f>
        <v>-3346</v>
      </c>
      <c r="J17" s="109">
        <f>IF(ISNA(VLOOKUP($B17,'[1]MENGENLS1 19-07-2000'!$AM$7:$AN$38,2,0)),0,VLOOKUP($B17,'[1]MENGENLS1 19-07-2000'!$AM$7:$AN$38,2,0))</f>
        <v>7813</v>
      </c>
      <c r="K17" s="109">
        <f>IF(ISNA(VLOOKUP($B17,'[1]MENGENLS1 19-07-2000'!$AP$7:$AQ$12,2,0)),0,VLOOKUP($B17,'[1]MENGENLS1 19-07-2000'!$AP$7:$AQ$12,2,0))</f>
        <v>0</v>
      </c>
      <c r="L17" s="99">
        <v>10000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37196</v>
      </c>
      <c r="C18" s="108">
        <f>IF(ISNA(VLOOKUP($B18,'[1]MENGENLS1 19-07-2000'!$R$7:$S$71,2,0)),0,VLOOKUP($B18,'[1]MENGENLS1 19-07-2000'!$R$7:$S$71,2,0))</f>
        <v>9733</v>
      </c>
      <c r="D18" s="109">
        <f>IF(ISNA(VLOOKUP($B18,'[1]MENGENLS1 19-07-2000'!$U$7:$V$60,2,0)),0,VLOOKUP($B18,'[1]MENGENLS1 19-07-2000'!$U$7:$V$60,2,0))</f>
        <v>-4670</v>
      </c>
      <c r="E18" s="109">
        <f>IF(ISNA(VLOOKUP($B18,'[1]MENGENLS1 19-07-2000'!$X$7:$Y$27,2,0)),0,VLOOKUP($B18,'[1]MENGENLS1 19-07-2000'!$X$7:$Y$27,2,0))</f>
        <v>925</v>
      </c>
      <c r="F18" s="109">
        <f>IF(ISNA(VLOOKUP($B18,'[1]MENGENLS1 19-07-2000'!$AA$7:$AB$35,2,0)),0,VLOOKUP($B18,'[1]MENGENLS1 19-07-2000'!$AA$7:$AB$35,2,0))</f>
        <v>-276</v>
      </c>
      <c r="G18" s="109">
        <f>IF(ISNA(VLOOKUP($B18,'[1]MENGENLS1 19-07-2000'!$AD$7:$AE$38,2,0)),0,VLOOKUP($B18,'[1]MENGENLS1 19-07-2000'!$AD$7:$AE$38,2,0))</f>
        <v>-18808</v>
      </c>
      <c r="H18" s="109">
        <f>IF(ISNA(VLOOKUP($B18,'[1]MENGENLS1 19-07-2000'!$AG$7:$AH$20,2,0)),0,VLOOKUP($B18,'[1]MENGENLS1 19-07-2000'!$AG$7:$AH$20,2,0))</f>
        <v>0</v>
      </c>
      <c r="I18" s="109">
        <f>IF(ISNA(VLOOKUP($B18,'[1]MENGENLS1 19-07-2000'!$AJ$7:$AK$38,2,0)),0,VLOOKUP($B18,'[1]MENGENLS1 19-07-2000'!$AJ$7:$AK$38,2,0))</f>
        <v>-4308</v>
      </c>
      <c r="J18" s="109">
        <f>IF(ISNA(VLOOKUP($B18,'[1]MENGENLS1 19-07-2000'!$AM$7:$AN$38,2,0)),0,VLOOKUP($B18,'[1]MENGENLS1 19-07-2000'!$AM$7:$AN$38,2,0))</f>
        <v>-7202</v>
      </c>
      <c r="K18" s="109">
        <f>IF(ISNA(VLOOKUP($B18,'[1]MENGENLS1 19-07-2000'!$AP$7:$AQ$12,2,0)),0,VLOOKUP($B18,'[1]MENGENLS1 19-07-2000'!$AP$7:$AQ$12,2,0))</f>
        <v>0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37226</v>
      </c>
      <c r="C19" s="108">
        <f>IF(ISNA(VLOOKUP($B19,'[1]MENGENLS1 19-07-2000'!$R$7:$S$71,2,0)),0,VLOOKUP($B19,'[1]MENGENLS1 19-07-2000'!$R$7:$S$71,2,0))</f>
        <v>-18157</v>
      </c>
      <c r="D19" s="109">
        <f>IF(ISNA(VLOOKUP($B19,'[1]MENGENLS1 19-07-2000'!$U$7:$V$60,2,0)),0,VLOOKUP($B19,'[1]MENGENLS1 19-07-2000'!$U$7:$V$60,2,0))</f>
        <v>-111039</v>
      </c>
      <c r="E19" s="109">
        <f>IF(ISNA(VLOOKUP($B19,'[1]MENGENLS1 19-07-2000'!$X$7:$Y$27,2,0)),0,VLOOKUP($B19,'[1]MENGENLS1 19-07-2000'!$X$7:$Y$27,2,0))</f>
        <v>925</v>
      </c>
      <c r="F19" s="109">
        <f>IF(ISNA(VLOOKUP($B19,'[1]MENGENLS1 19-07-2000'!$AA$7:$AB$35,2,0)),0,VLOOKUP($B19,'[1]MENGENLS1 19-07-2000'!$AA$7:$AB$35,2,0))</f>
        <v>-10134</v>
      </c>
      <c r="G19" s="109">
        <f>IF(ISNA(VLOOKUP($B19,'[1]MENGENLS1 19-07-2000'!$AD$7:$AE$38,2,0)),0,VLOOKUP($B19,'[1]MENGENLS1 19-07-2000'!$AD$7:$AE$38,2,0))</f>
        <v>0</v>
      </c>
      <c r="H19" s="109">
        <f>IF(ISNA(VLOOKUP($B19,'[1]MENGENLS1 19-07-2000'!$AG$7:$AH$20,2,0)),0,VLOOKUP($B19,'[1]MENGENLS1 19-07-2000'!$AG$7:$AH$20,2,0))</f>
        <v>0</v>
      </c>
      <c r="I19" s="109">
        <f>IF(ISNA(VLOOKUP($B19,'[1]MENGENLS1 19-07-2000'!$AJ$7:$AK$38,2,0)),0,VLOOKUP($B19,'[1]MENGENLS1 19-07-2000'!$AJ$7:$AK$38,2,0))</f>
        <v>4883</v>
      </c>
      <c r="J19" s="109">
        <f>IF(ISNA(VLOOKUP($B19,'[1]MENGENLS1 19-07-2000'!$AM$7:$AN$38,2,0)),0,VLOOKUP($B19,'[1]MENGENLS1 19-07-2000'!$AM$7:$AN$38,2,0))</f>
        <v>0</v>
      </c>
      <c r="K19" s="109">
        <f>IF(ISNA(VLOOKUP($B19,'[1]MENGENLS1 19-07-2000'!$AP$7:$AQ$12,2,0)),0,VLOOKUP($B19,'[1]MENGENLS1 19-07-2000'!$AP$7:$AQ$12,2,0))</f>
        <v>0</v>
      </c>
      <c r="L19" s="99">
        <v>-6666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37257</v>
      </c>
      <c r="C20" s="108">
        <f>IF(ISNA(VLOOKUP($B20,'[1]MENGENLS1 19-07-2000'!$R$7:$S$71,2,0)),0,VLOOKUP($B20,'[1]MENGENLS1 19-07-2000'!$R$7:$S$71,2,0))</f>
        <v>39024</v>
      </c>
      <c r="D20" s="109">
        <f>IF(ISNA(VLOOKUP($B20,'[1]MENGENLS1 19-07-2000'!$U$7:$V$60,2,0)),0,VLOOKUP($B20,'[1]MENGENLS1 19-07-2000'!$U$7:$V$60,2,0))</f>
        <v>-1147</v>
      </c>
      <c r="E20" s="109">
        <f>IF(ISNA(VLOOKUP($B20,'[1]MENGENLS1 19-07-2000'!$X$7:$Y$27,2,0)),0,VLOOKUP($B20,'[1]MENGENLS1 19-07-2000'!$X$7:$Y$27,2,0))</f>
        <v>675</v>
      </c>
      <c r="F20" s="109">
        <f>IF(ISNA(VLOOKUP($B20,'[1]MENGENLS1 19-07-2000'!$AA$7:$AB$35,2,0)),0,VLOOKUP($B20,'[1]MENGENLS1 19-07-2000'!$AA$7:$AB$35,2,0))</f>
        <v>-654</v>
      </c>
      <c r="G20" s="109">
        <f>IF(ISNA(VLOOKUP($B20,'[1]MENGENLS1 19-07-2000'!$AD$7:$AE$38,2,0)),0,VLOOKUP($B20,'[1]MENGENLS1 19-07-2000'!$AD$7:$AE$38,2,0))</f>
        <v>18808</v>
      </c>
      <c r="H20" s="109">
        <f>IF(ISNA(VLOOKUP($B20,'[1]MENGENLS1 19-07-2000'!$AG$7:$AH$20,2,0)),0,VLOOKUP($B20,'[1]MENGENLS1 19-07-2000'!$AG$7:$AH$20,2,0))</f>
        <v>0</v>
      </c>
      <c r="I20" s="109">
        <f>IF(ISNA(VLOOKUP($B20,'[1]MENGENLS1 19-07-2000'!$AJ$7:$AK$38,2,0)),0,VLOOKUP($B20,'[1]MENGENLS1 19-07-2000'!$AJ$7:$AK$38,2,0))</f>
        <v>4193</v>
      </c>
      <c r="J20" s="109">
        <f>IF(ISNA(VLOOKUP($B20,'[1]MENGENLS1 19-07-2000'!$AM$7:$AN$38,2,0)),0,VLOOKUP($B20,'[1]MENGENLS1 19-07-2000'!$AM$7:$AN$38,2,0))</f>
        <v>7202</v>
      </c>
      <c r="K20" s="109">
        <f>IF(ISNA(VLOOKUP($B20,'[1]MENGENLS1 19-07-2000'!$AP$7:$AQ$12,2,0)),0,VLOOKUP($B20,'[1]MENGENLS1 19-07-2000'!$AP$7:$AQ$12,2,0))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37288</v>
      </c>
      <c r="C21" s="108">
        <f>IF(ISNA(VLOOKUP($B21,'[1]MENGENLS1 19-07-2000'!$R$7:$S$71,2,0)),0,VLOOKUP($B21,'[1]MENGENLS1 19-07-2000'!$R$7:$S$71,2,0))</f>
        <v>15611</v>
      </c>
      <c r="D21" s="109">
        <f>IF(ISNA(VLOOKUP($B21,'[1]MENGENLS1 19-07-2000'!$U$7:$V$60,2,0)),0,VLOOKUP($B21,'[1]MENGENLS1 19-07-2000'!$U$7:$V$60,2,0))</f>
        <v>-191</v>
      </c>
      <c r="E21" s="109">
        <f>IF(ISNA(VLOOKUP($B21,'[1]MENGENLS1 19-07-2000'!$X$7:$Y$27,2,0)),0,VLOOKUP($B21,'[1]MENGENLS1 19-07-2000'!$X$7:$Y$27,2,0))</f>
        <v>900</v>
      </c>
      <c r="F21" s="109">
        <f>IF(ISNA(VLOOKUP($B21,'[1]MENGENLS1 19-07-2000'!$AA$7:$AB$35,2,0)),0,VLOOKUP($B21,'[1]MENGENLS1 19-07-2000'!$AA$7:$AB$35,2,0))</f>
        <v>-72</v>
      </c>
      <c r="G21" s="109">
        <f>IF(ISNA(VLOOKUP($B21,'[1]MENGENLS1 19-07-2000'!$AD$7:$AE$38,2,0)),0,VLOOKUP($B21,'[1]MENGENLS1 19-07-2000'!$AD$7:$AE$38,2,0))</f>
        <v>0</v>
      </c>
      <c r="H21" s="109">
        <f>IF(ISNA(VLOOKUP($B21,'[1]MENGENLS1 19-07-2000'!$AG$7:$AH$20,2,0)),0,VLOOKUP($B21,'[1]MENGENLS1 19-07-2000'!$AG$7:$AH$20,2,0))</f>
        <v>0</v>
      </c>
      <c r="I21" s="109">
        <f>IF(ISNA(VLOOKUP($B21,'[1]MENGENLS1 19-07-2000'!$AJ$7:$AK$38,2,0)),0,VLOOKUP($B21,'[1]MENGENLS1 19-07-2000'!$AJ$7:$AK$38,2,0))</f>
        <v>-813</v>
      </c>
      <c r="J21" s="109">
        <f>IF(ISNA(VLOOKUP($B21,'[1]MENGENLS1 19-07-2000'!$AM$7:$AN$38,2,0)),0,VLOOKUP($B21,'[1]MENGENLS1 19-07-2000'!$AM$7:$AN$38,2,0))</f>
        <v>0</v>
      </c>
      <c r="K21" s="109">
        <f>IF(ISNA(VLOOKUP($B21,'[1]MENGENLS1 19-07-2000'!$AP$7:$AQ$12,2,0)),0,VLOOKUP($B21,'[1]MENGENLS1 19-07-2000'!$AP$7:$AQ$12,2,0))</f>
        <v>0</v>
      </c>
      <c r="L21" s="99">
        <v>10000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37316</v>
      </c>
      <c r="C22" s="108">
        <f>IF(ISNA(VLOOKUP($B22,'[1]MENGENLS1 19-07-2000'!$R$7:$S$71,2,0)),0,VLOOKUP($B22,'[1]MENGENLS1 19-07-2000'!$R$7:$S$71,2,0))</f>
        <v>22319</v>
      </c>
      <c r="D22" s="109">
        <f>IF(ISNA(VLOOKUP($B22,'[1]MENGENLS1 19-07-2000'!$U$7:$V$60,2,0)),0,VLOOKUP($B22,'[1]MENGENLS1 19-07-2000'!$U$7:$V$60,2,0))</f>
        <v>986</v>
      </c>
      <c r="E22" s="109">
        <f>IF(ISNA(VLOOKUP($B22,'[1]MENGENLS1 19-07-2000'!$X$7:$Y$27,2,0)),0,VLOOKUP($B22,'[1]MENGENLS1 19-07-2000'!$X$7:$Y$27,2,0))</f>
        <v>1000</v>
      </c>
      <c r="F22" s="109">
        <f>IF(ISNA(VLOOKUP($B22,'[1]MENGENLS1 19-07-2000'!$AA$7:$AB$35,2,0)),0,VLOOKUP($B22,'[1]MENGENLS1 19-07-2000'!$AA$7:$AB$35,2,0))</f>
        <v>-234</v>
      </c>
      <c r="G22" s="109">
        <f>IF(ISNA(VLOOKUP($B22,'[1]MENGENLS1 19-07-2000'!$AD$7:$AE$38,2,0)),0,VLOOKUP($B22,'[1]MENGENLS1 19-07-2000'!$AD$7:$AE$38,2,0))</f>
        <v>0</v>
      </c>
      <c r="H22" s="109">
        <f>IF(ISNA(VLOOKUP($B22,'[1]MENGENLS1 19-07-2000'!$AG$7:$AH$20,2,0)),0,VLOOKUP($B22,'[1]MENGENLS1 19-07-2000'!$AG$7:$AH$20,2,0))</f>
        <v>0</v>
      </c>
      <c r="I22" s="109">
        <f>IF(ISNA(VLOOKUP($B22,'[1]MENGENLS1 19-07-2000'!$AJ$7:$AK$38,2,0)),0,VLOOKUP($B22,'[1]MENGENLS1 19-07-2000'!$AJ$7:$AK$38,2,0))</f>
        <v>814</v>
      </c>
      <c r="J22" s="109">
        <f>IF(ISNA(VLOOKUP($B22,'[1]MENGENLS1 19-07-2000'!$AM$7:$AN$38,2,0)),0,VLOOKUP($B22,'[1]MENGENLS1 19-07-2000'!$AM$7:$AN$38,2,0))</f>
        <v>0</v>
      </c>
      <c r="K22" s="109">
        <f>IF(ISNA(VLOOKUP($B22,'[1]MENGENLS1 19-07-2000'!$AP$7:$AQ$12,2,0)),0,VLOOKUP($B22,'[1]MENGENLS1 19-07-2000'!$AP$7:$AQ$12,2,0))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37347</v>
      </c>
      <c r="C23" s="108">
        <f>IF(ISNA(VLOOKUP($B23,'[1]MENGENLS1 19-07-2000'!$R$7:$S$71,2,0)),0,VLOOKUP($B23,'[1]MENGENLS1 19-07-2000'!$R$7:$S$71,2,0))</f>
        <v>5738</v>
      </c>
      <c r="D23" s="109">
        <f>IF(ISNA(VLOOKUP($B23,'[1]MENGENLS1 19-07-2000'!$U$7:$V$60,2,0)),0,VLOOKUP($B23,'[1]MENGENLS1 19-07-2000'!$U$7:$V$60,2,0))</f>
        <v>13805</v>
      </c>
      <c r="E23" s="109">
        <f>IF(ISNA(VLOOKUP($B23,'[1]MENGENLS1 19-07-2000'!$X$7:$Y$27,2,0)),0,VLOOKUP($B23,'[1]MENGENLS1 19-07-2000'!$X$7:$Y$27,2,0))</f>
        <v>0</v>
      </c>
      <c r="F23" s="109">
        <f>IF(ISNA(VLOOKUP($B23,'[1]MENGENLS1 19-07-2000'!$AA$7:$AB$35,2,0)),0,VLOOKUP($B23,'[1]MENGENLS1 19-07-2000'!$AA$7:$AB$35,2,0))</f>
        <v>-150</v>
      </c>
      <c r="G23" s="109">
        <f>IF(ISNA(VLOOKUP($B23,'[1]MENGENLS1 19-07-2000'!$AD$7:$AE$38,2,0)),0,VLOOKUP($B23,'[1]MENGENLS1 19-07-2000'!$AD$7:$AE$38,2,0))</f>
        <v>0</v>
      </c>
      <c r="H23" s="109">
        <f>IF(ISNA(VLOOKUP($B23,'[1]MENGENLS1 19-07-2000'!$AG$7:$AH$20,2,0)),0,VLOOKUP($B23,'[1]MENGENLS1 19-07-2000'!$AG$7:$AH$20,2,0))</f>
        <v>0</v>
      </c>
      <c r="I23" s="109">
        <f>IF(ISNA(VLOOKUP($B23,'[1]MENGENLS1 19-07-2000'!$AJ$7:$AK$38,2,0)),0,VLOOKUP($B23,'[1]MENGENLS1 19-07-2000'!$AJ$7:$AK$38,2,0))</f>
        <v>-1135</v>
      </c>
      <c r="J23" s="109">
        <f>IF(ISNA(VLOOKUP($B23,'[1]MENGENLS1 19-07-2000'!$AM$7:$AN$38,2,0)),0,VLOOKUP($B23,'[1]MENGENLS1 19-07-2000'!$AM$7:$AN$38,2,0))</f>
        <v>0</v>
      </c>
      <c r="K23" s="109">
        <f>IF(ISNA(VLOOKUP($B23,'[1]MENGENLS1 19-07-2000'!$AP$7:$AQ$12,2,0)),0,VLOOKUP($B23,'[1]MENGENLS1 19-07-2000'!$AP$7:$AQ$12,2,0))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37377</v>
      </c>
      <c r="C24" s="108">
        <f>IF(ISNA(VLOOKUP($B24,'[1]MENGENLS1 19-07-2000'!$R$7:$S$71,2,0)),0,VLOOKUP($B24,'[1]MENGENLS1 19-07-2000'!$R$7:$S$71,2,0))</f>
        <v>5307</v>
      </c>
      <c r="D24" s="109">
        <f>IF(ISNA(VLOOKUP($B24,'[1]MENGENLS1 19-07-2000'!$U$7:$V$60,2,0)),0,VLOOKUP($B24,'[1]MENGENLS1 19-07-2000'!$U$7:$V$60,2,0))</f>
        <v>-1895</v>
      </c>
      <c r="E24" s="109">
        <f>IF(ISNA(VLOOKUP($B24,'[1]MENGENLS1 19-07-2000'!$X$7:$Y$27,2,0)),0,VLOOKUP($B24,'[1]MENGENLS1 19-07-2000'!$X$7:$Y$27,2,0))</f>
        <v>0</v>
      </c>
      <c r="F24" s="109">
        <f>IF(ISNA(VLOOKUP($B24,'[1]MENGENLS1 19-07-2000'!$AA$7:$AB$35,2,0)),0,VLOOKUP($B24,'[1]MENGENLS1 19-07-2000'!$AA$7:$AB$35,2,0))</f>
        <v>54</v>
      </c>
      <c r="G24" s="109">
        <f>IF(ISNA(VLOOKUP($B24,'[1]MENGENLS1 19-07-2000'!$AD$7:$AE$38,2,0)),0,VLOOKUP($B24,'[1]MENGENLS1 19-07-2000'!$AD$7:$AE$38,2,0))</f>
        <v>0</v>
      </c>
      <c r="H24" s="109">
        <f>IF(ISNA(VLOOKUP($B24,'[1]MENGENLS1 19-07-2000'!$AG$7:$AH$20,2,0)),0,VLOOKUP($B24,'[1]MENGENLS1 19-07-2000'!$AG$7:$AH$20,2,0))</f>
        <v>0</v>
      </c>
      <c r="I24" s="109">
        <f>IF(ISNA(VLOOKUP($B24,'[1]MENGENLS1 19-07-2000'!$AJ$7:$AK$38,2,0)),0,VLOOKUP($B24,'[1]MENGENLS1 19-07-2000'!$AJ$7:$AK$38,2,0))</f>
        <v>-1401</v>
      </c>
      <c r="J24" s="109">
        <f>IF(ISNA(VLOOKUP($B24,'[1]MENGENLS1 19-07-2000'!$AM$7:$AN$38,2,0)),0,VLOOKUP($B24,'[1]MENGENLS1 19-07-2000'!$AM$7:$AN$38,2,0))</f>
        <v>0</v>
      </c>
      <c r="K24" s="109">
        <f>IF(ISNA(VLOOKUP($B24,'[1]MENGENLS1 19-07-2000'!$AP$7:$AQ$12,2,0)),0,VLOOKUP($B24,'[1]MENGENLS1 19-07-2000'!$AP$7:$AQ$12,2,0))</f>
        <v>-20000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37408</v>
      </c>
      <c r="C25" s="108">
        <f>IF(ISNA(VLOOKUP($B25,'[1]MENGENLS1 19-07-2000'!$R$7:$S$71,2,0)),0,VLOOKUP($B25,'[1]MENGENLS1 19-07-2000'!$R$7:$S$71,2,0))</f>
        <v>-23140</v>
      </c>
      <c r="D25" s="109">
        <f>IF(ISNA(VLOOKUP($B25,'[1]MENGENLS1 19-07-2000'!$U$7:$V$60,2,0)),0,VLOOKUP($B25,'[1]MENGENLS1 19-07-2000'!$U$7:$V$60,2,0))</f>
        <v>-1395</v>
      </c>
      <c r="E25" s="109">
        <f>IF(ISNA(VLOOKUP($B25,'[1]MENGENLS1 19-07-2000'!$X$7:$Y$27,2,0)),0,VLOOKUP($B25,'[1]MENGENLS1 19-07-2000'!$X$7:$Y$27,2,0))</f>
        <v>0</v>
      </c>
      <c r="F25" s="109">
        <f>IF(ISNA(VLOOKUP($B25,'[1]MENGENLS1 19-07-2000'!$AA$7:$AB$35,2,0)),0,VLOOKUP($B25,'[1]MENGENLS1 19-07-2000'!$AA$7:$AB$35,2,0))</f>
        <v>-78</v>
      </c>
      <c r="G25" s="109">
        <f>IF(ISNA(VLOOKUP($B25,'[1]MENGENLS1 19-07-2000'!$AD$7:$AE$38,2,0)),0,VLOOKUP($B25,'[1]MENGENLS1 19-07-2000'!$AD$7:$AE$38,2,0))</f>
        <v>0</v>
      </c>
      <c r="H25" s="109">
        <f>IF(ISNA(VLOOKUP($B25,'[1]MENGENLS1 19-07-2000'!$AG$7:$AH$20,2,0)),0,VLOOKUP($B25,'[1]MENGENLS1 19-07-2000'!$AG$7:$AH$20,2,0))</f>
        <v>0</v>
      </c>
      <c r="I25" s="109">
        <f>IF(ISNA(VLOOKUP($B25,'[1]MENGENLS1 19-07-2000'!$AJ$7:$AK$38,2,0)),0,VLOOKUP($B25,'[1]MENGENLS1 19-07-2000'!$AJ$7:$AK$38,2,0))</f>
        <v>355</v>
      </c>
      <c r="J25" s="109">
        <f>IF(ISNA(VLOOKUP($B25,'[1]MENGENLS1 19-07-2000'!$AM$7:$AN$38,2,0)),0,VLOOKUP($B25,'[1]MENGENLS1 19-07-2000'!$AM$7:$AN$38,2,0))</f>
        <v>0</v>
      </c>
      <c r="K25" s="109">
        <f>IF(ISNA(VLOOKUP($B25,'[1]MENGENLS1 19-07-2000'!$AP$7:$AQ$12,2,0)),0,VLOOKUP($B25,'[1]MENGENLS1 19-07-2000'!$AP$7:$AQ$12,2,0))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37438</v>
      </c>
      <c r="C26" s="108">
        <f>IF(ISNA(VLOOKUP($B26,'[1]MENGENLS1 19-07-2000'!$R$7:$S$71,2,0)),0,VLOOKUP($B26,'[1]MENGENLS1 19-07-2000'!$R$7:$S$71,2,0))</f>
        <v>3100</v>
      </c>
      <c r="D26" s="109">
        <f>IF(ISNA(VLOOKUP($B26,'[1]MENGENLS1 19-07-2000'!$U$7:$V$60,2,0)),0,VLOOKUP($B26,'[1]MENGENLS1 19-07-2000'!$U$7:$V$60,2,0))</f>
        <v>-1295</v>
      </c>
      <c r="E26" s="109">
        <f>IF(ISNA(VLOOKUP($B26,'[1]MENGENLS1 19-07-2000'!$X$7:$Y$27,2,0)),0,VLOOKUP($B26,'[1]MENGENLS1 19-07-2000'!$X$7:$Y$27,2,0))</f>
        <v>0</v>
      </c>
      <c r="F26" s="109">
        <f>IF(ISNA(VLOOKUP($B26,'[1]MENGENLS1 19-07-2000'!$AA$7:$AB$35,2,0)),0,VLOOKUP($B26,'[1]MENGENLS1 19-07-2000'!$AA$7:$AB$35,2,0))</f>
        <v>-186</v>
      </c>
      <c r="G26" s="109">
        <f>IF(ISNA(VLOOKUP($B26,'[1]MENGENLS1 19-07-2000'!$AD$7:$AE$38,2,0)),0,VLOOKUP($B26,'[1]MENGENLS1 19-07-2000'!$AD$7:$AE$38,2,0))</f>
        <v>0</v>
      </c>
      <c r="H26" s="109">
        <f>IF(ISNA(VLOOKUP($B26,'[1]MENGENLS1 19-07-2000'!$AG$7:$AH$20,2,0)),0,VLOOKUP($B26,'[1]MENGENLS1 19-07-2000'!$AG$7:$AH$20,2,0))</f>
        <v>0</v>
      </c>
      <c r="I26" s="109">
        <f>IF(ISNA(VLOOKUP($B26,'[1]MENGENLS1 19-07-2000'!$AJ$7:$AK$38,2,0)),0,VLOOKUP($B26,'[1]MENGENLS1 19-07-2000'!$AJ$7:$AK$38,2,0))</f>
        <v>-2040</v>
      </c>
      <c r="J26" s="109">
        <f>IF(ISNA(VLOOKUP($B26,'[1]MENGENLS1 19-07-2000'!$AM$7:$AN$38,2,0)),0,VLOOKUP($B26,'[1]MENGENLS1 19-07-2000'!$AM$7:$AN$38,2,0))</f>
        <v>0</v>
      </c>
      <c r="K26" s="109">
        <f>IF(ISNA(VLOOKUP($B26,'[1]MENGENLS1 19-07-2000'!$AP$7:$AQ$12,2,0)),0,VLOOKUP($B26,'[1]MENGENLS1 19-07-2000'!$AP$7:$AQ$12,2,0))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37469</v>
      </c>
      <c r="C27" s="108">
        <f>IF(ISNA(VLOOKUP($B27,'[1]MENGENLS1 19-07-2000'!$R$7:$S$71,2,0)),0,VLOOKUP($B27,'[1]MENGENLS1 19-07-2000'!$R$7:$S$71,2,0))</f>
        <v>-13904</v>
      </c>
      <c r="D27" s="109">
        <f>IF(ISNA(VLOOKUP($B27,'[1]MENGENLS1 19-07-2000'!$U$7:$V$60,2,0)),0,VLOOKUP($B27,'[1]MENGENLS1 19-07-2000'!$U$7:$V$60,2,0))</f>
        <v>-1100</v>
      </c>
      <c r="E27" s="109">
        <f>IF(ISNA(VLOOKUP($B27,'[1]MENGENLS1 19-07-2000'!$X$7:$Y$27,2,0)),0,VLOOKUP($B27,'[1]MENGENLS1 19-07-2000'!$X$7:$Y$27,2,0))</f>
        <v>0</v>
      </c>
      <c r="F27" s="109">
        <f>IF(ISNA(VLOOKUP($B27,'[1]MENGENLS1 19-07-2000'!$AA$7:$AB$35,2,0)),0,VLOOKUP($B27,'[1]MENGENLS1 19-07-2000'!$AA$7:$AB$35,2,0))</f>
        <v>-12</v>
      </c>
      <c r="G27" s="109">
        <f>IF(ISNA(VLOOKUP($B27,'[1]MENGENLS1 19-07-2000'!$AD$7:$AE$38,2,0)),0,VLOOKUP($B27,'[1]MENGENLS1 19-07-2000'!$AD$7:$AE$38,2,0))</f>
        <v>0</v>
      </c>
      <c r="H27" s="109">
        <f>IF(ISNA(VLOOKUP($B27,'[1]MENGENLS1 19-07-2000'!$AG$7:$AH$20,2,0)),0,VLOOKUP($B27,'[1]MENGENLS1 19-07-2000'!$AG$7:$AH$20,2,0))</f>
        <v>0</v>
      </c>
      <c r="I27" s="109">
        <f>IF(ISNA(VLOOKUP($B27,'[1]MENGENLS1 19-07-2000'!$AJ$7:$AK$38,2,0)),0,VLOOKUP($B27,'[1]MENGENLS1 19-07-2000'!$AJ$7:$AK$38,2,0))</f>
        <v>-387</v>
      </c>
      <c r="J27" s="109">
        <f>IF(ISNA(VLOOKUP($B27,'[1]MENGENLS1 19-07-2000'!$AM$7:$AN$38,2,0)),0,VLOOKUP($B27,'[1]MENGENLS1 19-07-2000'!$AM$7:$AN$38,2,0))</f>
        <v>0</v>
      </c>
      <c r="K27" s="109">
        <f>IF(ISNA(VLOOKUP($B27,'[1]MENGENLS1 19-07-2000'!$AP$7:$AQ$12,2,0)),0,VLOOKUP($B27,'[1]MENGENLS1 19-07-2000'!$AP$7:$AQ$12,2,0))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37500</v>
      </c>
      <c r="C28" s="108">
        <f>IF(ISNA(VLOOKUP($B28,'[1]MENGENLS1 19-07-2000'!$R$7:$S$71,2,0)),0,VLOOKUP($B28,'[1]MENGENLS1 19-07-2000'!$R$7:$S$71,2,0))</f>
        <v>40386</v>
      </c>
      <c r="D28" s="109">
        <f>IF(ISNA(VLOOKUP($B28,'[1]MENGENLS1 19-07-2000'!$U$7:$V$60,2,0)),0,VLOOKUP($B28,'[1]MENGENLS1 19-07-2000'!$U$7:$V$60,2,0))</f>
        <v>250</v>
      </c>
      <c r="E28" s="109">
        <f>IF(ISNA(VLOOKUP($B28,'[1]MENGENLS1 19-07-2000'!$X$7:$Y$27,2,0)),0,VLOOKUP($B28,'[1]MENGENLS1 19-07-2000'!$X$7:$Y$27,2,0))</f>
        <v>0</v>
      </c>
      <c r="F28" s="109">
        <f>IF(ISNA(VLOOKUP($B28,'[1]MENGENLS1 19-07-2000'!$AA$7:$AB$35,2,0)),0,VLOOKUP($B28,'[1]MENGENLS1 19-07-2000'!$AA$7:$AB$35,2,0))</f>
        <v>24</v>
      </c>
      <c r="G28" s="109">
        <f>IF(ISNA(VLOOKUP($B28,'[1]MENGENLS1 19-07-2000'!$AD$7:$AE$38,2,0)),0,VLOOKUP($B28,'[1]MENGENLS1 19-07-2000'!$AD$7:$AE$38,2,0))</f>
        <v>0</v>
      </c>
      <c r="H28" s="109">
        <f>IF(ISNA(VLOOKUP($B28,'[1]MENGENLS1 19-07-2000'!$AG$7:$AH$20,2,0)),0,VLOOKUP($B28,'[1]MENGENLS1 19-07-2000'!$AG$7:$AH$20,2,0))</f>
        <v>0</v>
      </c>
      <c r="I28" s="109">
        <f>IF(ISNA(VLOOKUP($B28,'[1]MENGENLS1 19-07-2000'!$AJ$7:$AK$38,2,0)),0,VLOOKUP($B28,'[1]MENGENLS1 19-07-2000'!$AJ$7:$AK$38,2,0))</f>
        <v>-481</v>
      </c>
      <c r="J28" s="109">
        <f>IF(ISNA(VLOOKUP($B28,'[1]MENGENLS1 19-07-2000'!$AM$7:$AN$38,2,0)),0,VLOOKUP($B28,'[1]MENGENLS1 19-07-2000'!$AM$7:$AN$38,2,0))</f>
        <v>0</v>
      </c>
      <c r="K28" s="109">
        <f>IF(ISNA(VLOOKUP($B28,'[1]MENGENLS1 19-07-2000'!$AP$7:$AQ$12,2,0)),0,VLOOKUP($B28,'[1]MENGENLS1 19-07-2000'!$AP$7:$AQ$12,2,0))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37530</v>
      </c>
      <c r="C29" s="108">
        <f>IF(ISNA(VLOOKUP($B29,'[1]MENGENLS1 19-07-2000'!$R$7:$S$71,2,0)),0,VLOOKUP($B29,'[1]MENGENLS1 19-07-2000'!$R$7:$S$71,2,0))</f>
        <v>-549</v>
      </c>
      <c r="D29" s="109">
        <f>IF(ISNA(VLOOKUP($B29,'[1]MENGENLS1 19-07-2000'!$U$7:$V$60,2,0)),0,VLOOKUP($B29,'[1]MENGENLS1 19-07-2000'!$U$7:$V$60,2,0))</f>
        <v>50</v>
      </c>
      <c r="E29" s="109">
        <f>IF(ISNA(VLOOKUP($B29,'[1]MENGENLS1 19-07-2000'!$X$7:$Y$27,2,0)),0,VLOOKUP($B29,'[1]MENGENLS1 19-07-2000'!$X$7:$Y$27,2,0))</f>
        <v>0</v>
      </c>
      <c r="F29" s="109">
        <f>IF(ISNA(VLOOKUP($B29,'[1]MENGENLS1 19-07-2000'!$AA$7:$AB$35,2,0)),0,VLOOKUP($B29,'[1]MENGENLS1 19-07-2000'!$AA$7:$AB$35,2,0))</f>
        <v>-6</v>
      </c>
      <c r="G29" s="109">
        <f>IF(ISNA(VLOOKUP($B29,'[1]MENGENLS1 19-07-2000'!$AD$7:$AE$38,2,0)),0,VLOOKUP($B29,'[1]MENGENLS1 19-07-2000'!$AD$7:$AE$38,2,0))</f>
        <v>0</v>
      </c>
      <c r="H29" s="109">
        <f>IF(ISNA(VLOOKUP($B29,'[1]MENGENLS1 19-07-2000'!$AG$7:$AH$20,2,0)),0,VLOOKUP($B29,'[1]MENGENLS1 19-07-2000'!$AG$7:$AH$20,2,0))</f>
        <v>0</v>
      </c>
      <c r="I29" s="109">
        <f>IF(ISNA(VLOOKUP($B29,'[1]MENGENLS1 19-07-2000'!$AJ$7:$AK$38,2,0)),0,VLOOKUP($B29,'[1]MENGENLS1 19-07-2000'!$AJ$7:$AK$38,2,0))</f>
        <v>221</v>
      </c>
      <c r="J29" s="109">
        <f>IF(ISNA(VLOOKUP($B29,'[1]MENGENLS1 19-07-2000'!$AM$7:$AN$38,2,0)),0,VLOOKUP($B29,'[1]MENGENLS1 19-07-2000'!$AM$7:$AN$38,2,0))</f>
        <v>0</v>
      </c>
      <c r="K29" s="109">
        <f>IF(ISNA(VLOOKUP($B29,'[1]MENGENLS1 19-07-2000'!$AP$7:$AQ$12,2,0)),0,VLOOKUP($B29,'[1]MENGENLS1 19-07-2000'!$AP$7:$AQ$12,2,0))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37561</v>
      </c>
      <c r="C30" s="108">
        <f>IF(ISNA(VLOOKUP($B30,'[1]MENGENLS1 19-07-2000'!$R$7:$S$71,2,0)),0,VLOOKUP($B30,'[1]MENGENLS1 19-07-2000'!$R$7:$S$71,2,0))</f>
        <v>3925</v>
      </c>
      <c r="D30" s="109">
        <f>IF(ISNA(VLOOKUP($B30,'[1]MENGENLS1 19-07-2000'!$U$7:$V$60,2,0)),0,VLOOKUP($B30,'[1]MENGENLS1 19-07-2000'!$U$7:$V$60,2,0))</f>
        <v>50</v>
      </c>
      <c r="E30" s="109">
        <f>IF(ISNA(VLOOKUP($B30,'[1]MENGENLS1 19-07-2000'!$X$7:$Y$27,2,0)),0,VLOOKUP($B30,'[1]MENGENLS1 19-07-2000'!$X$7:$Y$27,2,0))</f>
        <v>0</v>
      </c>
      <c r="F30" s="109">
        <f>IF(ISNA(VLOOKUP($B30,'[1]MENGENLS1 19-07-2000'!$AA$7:$AB$35,2,0)),0,VLOOKUP($B30,'[1]MENGENLS1 19-07-2000'!$AA$7:$AB$35,2,0))</f>
        <v>-12</v>
      </c>
      <c r="G30" s="109">
        <f>IF(ISNA(VLOOKUP($B30,'[1]MENGENLS1 19-07-2000'!$AD$7:$AE$38,2,0)),0,VLOOKUP($B30,'[1]MENGENLS1 19-07-2000'!$AD$7:$AE$38,2,0))</f>
        <v>0</v>
      </c>
      <c r="H30" s="109">
        <f>IF(ISNA(VLOOKUP($B30,'[1]MENGENLS1 19-07-2000'!$AG$7:$AH$20,2,0)),0,VLOOKUP($B30,'[1]MENGENLS1 19-07-2000'!$AG$7:$AH$20,2,0))</f>
        <v>0</v>
      </c>
      <c r="I30" s="109">
        <f>IF(ISNA(VLOOKUP($B30,'[1]MENGENLS1 19-07-2000'!$AJ$7:$AK$38,2,0)),0,VLOOKUP($B30,'[1]MENGENLS1 19-07-2000'!$AJ$7:$AK$38,2,0))</f>
        <v>225</v>
      </c>
      <c r="J30" s="109">
        <f>IF(ISNA(VLOOKUP($B30,'[1]MENGENLS1 19-07-2000'!$AM$7:$AN$38,2,0)),0,VLOOKUP($B30,'[1]MENGENLS1 19-07-2000'!$AM$7:$AN$38,2,0))</f>
        <v>0</v>
      </c>
      <c r="K30" s="109">
        <f>IF(ISNA(VLOOKUP($B30,'[1]MENGENLS1 19-07-2000'!$AP$7:$AQ$12,2,0)),0,VLOOKUP($B30,'[1]MENGENLS1 19-07-2000'!$AP$7:$AQ$12,2,0))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37591</v>
      </c>
      <c r="C31" s="108">
        <f>IF(ISNA(VLOOKUP($B31,'[1]MENGENLS1 19-07-2000'!$R$7:$S$71,2,0)),0,VLOOKUP($B31,'[1]MENGENLS1 19-07-2000'!$R$7:$S$71,2,0))</f>
        <v>-12184</v>
      </c>
      <c r="D31" s="109">
        <f>IF(ISNA(VLOOKUP($B31,'[1]MENGENLS1 19-07-2000'!$U$7:$V$60,2,0)),0,VLOOKUP($B31,'[1]MENGENLS1 19-07-2000'!$U$7:$V$60,2,0))</f>
        <v>150</v>
      </c>
      <c r="E31" s="109">
        <f>IF(ISNA(VLOOKUP($B31,'[1]MENGENLS1 19-07-2000'!$X$7:$Y$27,2,0)),0,VLOOKUP($B31,'[1]MENGENLS1 19-07-2000'!$X$7:$Y$27,2,0))</f>
        <v>0</v>
      </c>
      <c r="F31" s="109">
        <f>IF(ISNA(VLOOKUP($B31,'[1]MENGENLS1 19-07-2000'!$AA$7:$AB$35,2,0)),0,VLOOKUP($B31,'[1]MENGENLS1 19-07-2000'!$AA$7:$AB$35,2,0))</f>
        <v>0</v>
      </c>
      <c r="G31" s="109">
        <f>IF(ISNA(VLOOKUP($B31,'[1]MENGENLS1 19-07-2000'!$AD$7:$AE$38,2,0)),0,VLOOKUP($B31,'[1]MENGENLS1 19-07-2000'!$AD$7:$AE$38,2,0))</f>
        <v>0</v>
      </c>
      <c r="H31" s="109">
        <f>IF(ISNA(VLOOKUP($B31,'[1]MENGENLS1 19-07-2000'!$AG$7:$AH$20,2,0)),0,VLOOKUP($B31,'[1]MENGENLS1 19-07-2000'!$AG$7:$AH$20,2,0))</f>
        <v>0</v>
      </c>
      <c r="I31" s="109">
        <f>IF(ISNA(VLOOKUP($B31,'[1]MENGENLS1 19-07-2000'!$AJ$7:$AK$38,2,0)),0,VLOOKUP($B31,'[1]MENGENLS1 19-07-2000'!$AJ$7:$AK$38,2,0))</f>
        <v>229</v>
      </c>
      <c r="J31" s="109">
        <f>IF(ISNA(VLOOKUP($B31,'[1]MENGENLS1 19-07-2000'!$AM$7:$AN$38,2,0)),0,VLOOKUP($B31,'[1]MENGENLS1 19-07-2000'!$AM$7:$AN$38,2,0))</f>
        <v>0</v>
      </c>
      <c r="K31" s="109">
        <f>IF(ISNA(VLOOKUP($B31,'[1]MENGENLS1 19-07-2000'!$AP$7:$AQ$12,2,0)),0,VLOOKUP($B31,'[1]MENGENLS1 19-07-2000'!$AP$7:$AQ$12,2,0))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37622</v>
      </c>
      <c r="C32" s="108">
        <f>IF(ISNA(VLOOKUP($B32,'[1]MENGENLS1 19-07-2000'!$R$7:$S$71,2,0)),0,VLOOKUP($B32,'[1]MENGENLS1 19-07-2000'!$R$7:$S$71,2,0))</f>
        <v>-874</v>
      </c>
      <c r="D32" s="109">
        <f>IF(ISNA(VLOOKUP($B32,'[1]MENGENLS1 19-07-2000'!$U$7:$V$60,2,0)),0,VLOOKUP($B32,'[1]MENGENLS1 19-07-2000'!$U$7:$V$60,2,0))</f>
        <v>100</v>
      </c>
      <c r="E32" s="109">
        <f>IF(ISNA(VLOOKUP($B32,'[1]MENGENLS1 19-07-2000'!$X$7:$Y$27,2,0)),0,VLOOKUP($B32,'[1]MENGENLS1 19-07-2000'!$X$7:$Y$27,2,0))</f>
        <v>0</v>
      </c>
      <c r="F32" s="109">
        <f>IF(ISNA(VLOOKUP($B32,'[1]MENGENLS1 19-07-2000'!$AA$7:$AB$35,2,0)),0,VLOOKUP($B32,'[1]MENGENLS1 19-07-2000'!$AA$7:$AB$35,2,0))</f>
        <v>0</v>
      </c>
      <c r="G32" s="109">
        <f>IF(ISNA(VLOOKUP($B32,'[1]MENGENLS1 19-07-2000'!$AD$7:$AE$38,2,0)),0,VLOOKUP($B32,'[1]MENGENLS1 19-07-2000'!$AD$7:$AE$38,2,0))</f>
        <v>0</v>
      </c>
      <c r="H32" s="109">
        <f>IF(ISNA(VLOOKUP($B32,'[1]MENGENLS1 19-07-2000'!$AG$7:$AH$20,2,0)),0,VLOOKUP($B32,'[1]MENGENLS1 19-07-2000'!$AG$7:$AH$20,2,0))</f>
        <v>0</v>
      </c>
      <c r="I32" s="109">
        <f>IF(ISNA(VLOOKUP($B32,'[1]MENGENLS1 19-07-2000'!$AJ$7:$AK$38,2,0)),0,VLOOKUP($B32,'[1]MENGENLS1 19-07-2000'!$AJ$7:$AK$38,2,0))</f>
        <v>234</v>
      </c>
      <c r="J32" s="109">
        <f>IF(ISNA(VLOOKUP($B32,'[1]MENGENLS1 19-07-2000'!$AM$7:$AN$38,2,0)),0,VLOOKUP($B32,'[1]MENGENLS1 19-07-2000'!$AM$7:$AN$38,2,0))</f>
        <v>0</v>
      </c>
      <c r="K32" s="109">
        <f>IF(ISNA(VLOOKUP($B32,'[1]MENGENLS1 19-07-2000'!$AP$7:$AQ$12,2,0)),0,VLOOKUP($B32,'[1]MENGENLS1 19-07-2000'!$AP$7:$AQ$12,2,0))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37653</v>
      </c>
      <c r="C33" s="108">
        <f>IF(ISNA(VLOOKUP($B33,'[1]MENGENLS1 19-07-2000'!$R$7:$S$71,2,0)),0,VLOOKUP($B33,'[1]MENGENLS1 19-07-2000'!$R$7:$S$71,2,0))</f>
        <v>-5501</v>
      </c>
      <c r="D33" s="109">
        <f>IF(ISNA(VLOOKUP($B33,'[1]MENGENLS1 19-07-2000'!$U$7:$V$60,2,0)),0,VLOOKUP($B33,'[1]MENGENLS1 19-07-2000'!$U$7:$V$60,2,0))</f>
        <v>100</v>
      </c>
      <c r="E33" s="109">
        <f>IF(ISNA(VLOOKUP($B33,'[1]MENGENLS1 19-07-2000'!$X$7:$Y$27,2,0)),0,VLOOKUP($B33,'[1]MENGENLS1 19-07-2000'!$X$7:$Y$27,2,0))</f>
        <v>0</v>
      </c>
      <c r="F33" s="109">
        <f>IF(ISNA(VLOOKUP($B33,'[1]MENGENLS1 19-07-2000'!$AA$7:$AB$35,2,0)),0,VLOOKUP($B33,'[1]MENGENLS1 19-07-2000'!$AA$7:$AB$35,2,0))</f>
        <v>0</v>
      </c>
      <c r="G33" s="109">
        <f>IF(ISNA(VLOOKUP($B33,'[1]MENGENLS1 19-07-2000'!$AD$7:$AE$38,2,0)),0,VLOOKUP($B33,'[1]MENGENLS1 19-07-2000'!$AD$7:$AE$38,2,0))</f>
        <v>0</v>
      </c>
      <c r="H33" s="109">
        <f>IF(ISNA(VLOOKUP($B33,'[1]MENGENLS1 19-07-2000'!$AG$7:$AH$20,2,0)),0,VLOOKUP($B33,'[1]MENGENLS1 19-07-2000'!$AG$7:$AH$20,2,0))</f>
        <v>0</v>
      </c>
      <c r="I33" s="109">
        <f>IF(ISNA(VLOOKUP($B33,'[1]MENGENLS1 19-07-2000'!$AJ$7:$AK$38,2,0)),0,VLOOKUP($B33,'[1]MENGENLS1 19-07-2000'!$AJ$7:$AK$38,2,0))</f>
        <v>0</v>
      </c>
      <c r="J33" s="109">
        <f>IF(ISNA(VLOOKUP($B33,'[1]MENGENLS1 19-07-2000'!$AM$7:$AN$38,2,0)),0,VLOOKUP($B33,'[1]MENGENLS1 19-07-2000'!$AM$7:$AN$38,2,0))</f>
        <v>0</v>
      </c>
      <c r="K33" s="109">
        <f>IF(ISNA(VLOOKUP($B33,'[1]MENGENLS1 19-07-2000'!$AP$7:$AQ$12,2,0)),0,VLOOKUP($B33,'[1]MENGENLS1 19-07-2000'!$AP$7:$AQ$12,2,0))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37681</v>
      </c>
      <c r="C34" s="108">
        <f>IF(ISNA(VLOOKUP($B34,'[1]MENGENLS1 19-07-2000'!$R$7:$S$71,2,0)),0,VLOOKUP($B34,'[1]MENGENLS1 19-07-2000'!$R$7:$S$71,2,0))</f>
        <v>-5434</v>
      </c>
      <c r="D34" s="109">
        <f>IF(ISNA(VLOOKUP($B34,'[1]MENGENLS1 19-07-2000'!$U$7:$V$60,2,0)),0,VLOOKUP($B34,'[1]MENGENLS1 19-07-2000'!$U$7:$V$60,2,0))</f>
        <v>-25</v>
      </c>
      <c r="E34" s="109">
        <f>IF(ISNA(VLOOKUP($B34,'[1]MENGENLS1 19-07-2000'!$X$7:$Y$27,2,0)),0,VLOOKUP($B34,'[1]MENGENLS1 19-07-2000'!$X$7:$Y$27,2,0))</f>
        <v>0</v>
      </c>
      <c r="F34" s="109">
        <f>IF(ISNA(VLOOKUP($B34,'[1]MENGENLS1 19-07-2000'!$AA$7:$AB$35,2,0)),0,VLOOKUP($B34,'[1]MENGENLS1 19-07-2000'!$AA$7:$AB$35,2,0))</f>
        <v>0</v>
      </c>
      <c r="G34" s="109">
        <f>IF(ISNA(VLOOKUP($B34,'[1]MENGENLS1 19-07-2000'!$AD$7:$AE$38,2,0)),0,VLOOKUP($B34,'[1]MENGENLS1 19-07-2000'!$AD$7:$AE$38,2,0))</f>
        <v>0</v>
      </c>
      <c r="H34" s="109">
        <f>IF(ISNA(VLOOKUP($B34,'[1]MENGENLS1 19-07-2000'!$AG$7:$AH$20,2,0)),0,VLOOKUP($B34,'[1]MENGENLS1 19-07-2000'!$AG$7:$AH$20,2,0))</f>
        <v>0</v>
      </c>
      <c r="I34" s="109">
        <f>IF(ISNA(VLOOKUP($B34,'[1]MENGENLS1 19-07-2000'!$AJ$7:$AK$38,2,0)),0,VLOOKUP($B34,'[1]MENGENLS1 19-07-2000'!$AJ$7:$AK$38,2,0))</f>
        <v>0</v>
      </c>
      <c r="J34" s="109">
        <f>IF(ISNA(VLOOKUP($B34,'[1]MENGENLS1 19-07-2000'!$AM$7:$AN$38,2,0)),0,VLOOKUP($B34,'[1]MENGENLS1 19-07-2000'!$AM$7:$AN$38,2,0))</f>
        <v>0</v>
      </c>
      <c r="K34" s="109">
        <f>IF(ISNA(VLOOKUP($B34,'[1]MENGENLS1 19-07-2000'!$AP$7:$AQ$12,2,0)),0,VLOOKUP($B34,'[1]MENGENLS1 19-07-2000'!$AP$7:$AQ$12,2,0))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37712</v>
      </c>
      <c r="C35" s="108">
        <f>IF(ISNA(VLOOKUP($B35,'[1]MENGENLS1 19-07-2000'!$R$7:$S$71,2,0)),0,VLOOKUP($B35,'[1]MENGENLS1 19-07-2000'!$R$7:$S$71,2,0))</f>
        <v>258</v>
      </c>
      <c r="D35" s="109">
        <f>IF(ISNA(VLOOKUP($B35,'[1]MENGENLS1 19-07-2000'!$U$7:$V$60,2,0)),0,VLOOKUP($B35,'[1]MENGENLS1 19-07-2000'!$U$7:$V$60,2,0))</f>
        <v>100</v>
      </c>
      <c r="E35" s="109">
        <f>IF(ISNA(VLOOKUP($B35,'[1]MENGENLS1 19-07-2000'!$X$7:$Y$27,2,0)),0,VLOOKUP($B35,'[1]MENGENLS1 19-07-2000'!$X$7:$Y$27,2,0))</f>
        <v>0</v>
      </c>
      <c r="F35" s="109">
        <f>IF(ISNA(VLOOKUP($B35,'[1]MENGENLS1 19-07-2000'!$AA$7:$AB$35,2,0)),0,VLOOKUP($B35,'[1]MENGENLS1 19-07-2000'!$AA$7:$AB$35,2,0))</f>
        <v>0</v>
      </c>
      <c r="G35" s="109">
        <f>IF(ISNA(VLOOKUP($B35,'[1]MENGENLS1 19-07-2000'!$AD$7:$AE$38,2,0)),0,VLOOKUP($B35,'[1]MENGENLS1 19-07-2000'!$AD$7:$AE$38,2,0))</f>
        <v>0</v>
      </c>
      <c r="H35" s="109">
        <f>IF(ISNA(VLOOKUP($B35,'[1]MENGENLS1 19-07-2000'!$AG$7:$AH$20,2,0)),0,VLOOKUP($B35,'[1]MENGENLS1 19-07-2000'!$AG$7:$AH$20,2,0))</f>
        <v>0</v>
      </c>
      <c r="I35" s="109">
        <f>IF(ISNA(VLOOKUP($B35,'[1]MENGENLS1 19-07-2000'!$AJ$7:$AK$38,2,0)),0,VLOOKUP($B35,'[1]MENGENLS1 19-07-2000'!$AJ$7:$AK$38,2,0))</f>
        <v>0</v>
      </c>
      <c r="J35" s="109">
        <f>IF(ISNA(VLOOKUP($B35,'[1]MENGENLS1 19-07-2000'!$AM$7:$AN$38,2,0)),0,VLOOKUP($B35,'[1]MENGENLS1 19-07-2000'!$AM$7:$AN$38,2,0))</f>
        <v>0</v>
      </c>
      <c r="K35" s="109">
        <f>IF(ISNA(VLOOKUP($B35,'[1]MENGENLS1 19-07-2000'!$AP$7:$AQ$12,2,0)),0,VLOOKUP($B35,'[1]MENGENLS1 19-07-2000'!$AP$7:$AQ$12,2,0))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37742</v>
      </c>
      <c r="C36" s="108">
        <f>IF(ISNA(VLOOKUP($B36,'[1]MENGENLS1 19-07-2000'!$R$7:$S$71,2,0)),0,VLOOKUP($B36,'[1]MENGENLS1 19-07-2000'!$R$7:$S$71,2,0))</f>
        <v>247</v>
      </c>
      <c r="D36" s="109">
        <f>IF(ISNA(VLOOKUP($B36,'[1]MENGENLS1 19-07-2000'!$U$7:$V$60,2,0)),0,VLOOKUP($B36,'[1]MENGENLS1 19-07-2000'!$U$7:$V$60,2,0))</f>
        <v>100</v>
      </c>
      <c r="E36" s="109">
        <f>IF(ISNA(VLOOKUP($B36,'[1]MENGENLS1 19-07-2000'!$X$7:$Y$27,2,0)),0,VLOOKUP($B36,'[1]MENGENLS1 19-07-2000'!$X$7:$Y$27,2,0))</f>
        <v>0</v>
      </c>
      <c r="F36" s="109">
        <f>IF(ISNA(VLOOKUP($B36,'[1]MENGENLS1 19-07-2000'!$AA$7:$AB$35,2,0)),0,VLOOKUP($B36,'[1]MENGENLS1 19-07-2000'!$AA$7:$AB$35,2,0))</f>
        <v>0</v>
      </c>
      <c r="G36" s="109">
        <f>IF(ISNA(VLOOKUP($B36,'[1]MENGENLS1 19-07-2000'!$AD$7:$AE$38,2,0)),0,VLOOKUP($B36,'[1]MENGENLS1 19-07-2000'!$AD$7:$AE$38,2,0))</f>
        <v>0</v>
      </c>
      <c r="H36" s="109">
        <f>IF(ISNA(VLOOKUP($B36,'[1]MENGENLS1 19-07-2000'!$AG$7:$AH$20,2,0)),0,VLOOKUP($B36,'[1]MENGENLS1 19-07-2000'!$AG$7:$AH$20,2,0))</f>
        <v>0</v>
      </c>
      <c r="I36" s="109">
        <f>IF(ISNA(VLOOKUP($B36,'[1]MENGENLS1 19-07-2000'!$AJ$7:$AK$38,2,0)),0,VLOOKUP($B36,'[1]MENGENLS1 19-07-2000'!$AJ$7:$AK$38,2,0))</f>
        <v>0</v>
      </c>
      <c r="J36" s="109">
        <f>IF(ISNA(VLOOKUP($B36,'[1]MENGENLS1 19-07-2000'!$AM$7:$AN$38,2,0)),0,VLOOKUP($B36,'[1]MENGENLS1 19-07-2000'!$AM$7:$AN$38,2,0))</f>
        <v>0</v>
      </c>
      <c r="K36" s="109">
        <f>IF(ISNA(VLOOKUP($B36,'[1]MENGENLS1 19-07-2000'!$AP$7:$AQ$12,2,0)),0,VLOOKUP($B36,'[1]MENGENLS1 19-07-2000'!$AP$7:$AQ$12,2,0))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37773</v>
      </c>
      <c r="C37" s="108">
        <f>IF(ISNA(VLOOKUP($B37,'[1]MENGENLS1 19-07-2000'!$R$7:$S$71,2,0)),0,VLOOKUP($B37,'[1]MENGENLS1 19-07-2000'!$R$7:$S$71,2,0))</f>
        <v>216</v>
      </c>
      <c r="D37" s="109">
        <f>IF(ISNA(VLOOKUP($B37,'[1]MENGENLS1 19-07-2000'!$U$7:$V$60,2,0)),0,VLOOKUP($B37,'[1]MENGENLS1 19-07-2000'!$U$7:$V$60,2,0))</f>
        <v>100</v>
      </c>
      <c r="E37" s="109">
        <f>IF(ISNA(VLOOKUP($B37,'[1]MENGENLS1 19-07-2000'!$X$7:$Y$27,2,0)),0,VLOOKUP($B37,'[1]MENGENLS1 19-07-2000'!$X$7:$Y$27,2,0))</f>
        <v>0</v>
      </c>
      <c r="F37" s="109">
        <f>IF(ISNA(VLOOKUP($B37,'[1]MENGENLS1 19-07-2000'!$AA$7:$AB$35,2,0)),0,VLOOKUP($B37,'[1]MENGENLS1 19-07-2000'!$AA$7:$AB$35,2,0))</f>
        <v>0</v>
      </c>
      <c r="G37" s="109">
        <f>IF(ISNA(VLOOKUP($B37,'[1]MENGENLS1 19-07-2000'!$AD$7:$AE$38,2,0)),0,VLOOKUP($B37,'[1]MENGENLS1 19-07-2000'!$AD$7:$AE$38,2,0))</f>
        <v>0</v>
      </c>
      <c r="H37" s="109">
        <f>IF(ISNA(VLOOKUP($B37,'[1]MENGENLS1 19-07-2000'!$AG$7:$AH$20,2,0)),0,VLOOKUP($B37,'[1]MENGENLS1 19-07-2000'!$AG$7:$AH$20,2,0))</f>
        <v>0</v>
      </c>
      <c r="I37" s="109">
        <f>IF(ISNA(VLOOKUP($B37,'[1]MENGENLS1 19-07-2000'!$AJ$7:$AK$38,2,0)),0,VLOOKUP($B37,'[1]MENGENLS1 19-07-2000'!$AJ$7:$AK$38,2,0))</f>
        <v>0</v>
      </c>
      <c r="J37" s="109">
        <f>IF(ISNA(VLOOKUP($B37,'[1]MENGENLS1 19-07-2000'!$AM$7:$AN$38,2,0)),0,VLOOKUP($B37,'[1]MENGENLS1 19-07-2000'!$AM$7:$AN$38,2,0))</f>
        <v>0</v>
      </c>
      <c r="K37" s="109">
        <f>IF(ISNA(VLOOKUP($B37,'[1]MENGENLS1 19-07-2000'!$AP$7:$AQ$12,2,0)),0,VLOOKUP($B37,'[1]MENGENLS1 19-07-2000'!$AP$7:$AQ$12,2,0))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37803</v>
      </c>
      <c r="C38" s="108">
        <f>IF(ISNA(VLOOKUP($B38,'[1]MENGENLS1 19-07-2000'!$R$7:$S$71,2,0)),0,VLOOKUP($B38,'[1]MENGENLS1 19-07-2000'!$R$7:$S$71,2,0))</f>
        <v>-9765</v>
      </c>
      <c r="D38" s="109">
        <f>IF(ISNA(VLOOKUP($B38,'[1]MENGENLS1 19-07-2000'!$U$7:$V$60,2,0)),0,VLOOKUP($B38,'[1]MENGENLS1 19-07-2000'!$U$7:$V$60,2,0))</f>
        <v>100</v>
      </c>
      <c r="E38" s="109">
        <f>IF(ISNA(VLOOKUP($B38,'[1]MENGENLS1 19-07-2000'!$X$7:$Y$27,2,0)),0,VLOOKUP($B38,'[1]MENGENLS1 19-07-2000'!$X$7:$Y$27,2,0))</f>
        <v>0</v>
      </c>
      <c r="F38" s="109">
        <f>IF(ISNA(VLOOKUP($B38,'[1]MENGENLS1 19-07-2000'!$AA$7:$AB$35,2,0)),0,VLOOKUP($B38,'[1]MENGENLS1 19-07-2000'!$AA$7:$AB$35,2,0))</f>
        <v>0</v>
      </c>
      <c r="G38" s="109">
        <f>IF(ISNA(VLOOKUP($B38,'[1]MENGENLS1 19-07-2000'!$AD$7:$AE$38,2,0)),0,VLOOKUP($B38,'[1]MENGENLS1 19-07-2000'!$AD$7:$AE$38,2,0))</f>
        <v>0</v>
      </c>
      <c r="H38" s="109">
        <f>IF(ISNA(VLOOKUP($B38,'[1]MENGENLS1 19-07-2000'!$AG$7:$AH$20,2,0)),0,VLOOKUP($B38,'[1]MENGENLS1 19-07-2000'!$AG$7:$AH$20,2,0))</f>
        <v>0</v>
      </c>
      <c r="I38" s="109">
        <f>IF(ISNA(VLOOKUP($B38,'[1]MENGENLS1 19-07-2000'!$AJ$7:$AK$38,2,0)),0,VLOOKUP($B38,'[1]MENGENLS1 19-07-2000'!$AJ$7:$AK$38,2,0))</f>
        <v>0</v>
      </c>
      <c r="J38" s="109">
        <f>IF(ISNA(VLOOKUP($B38,'[1]MENGENLS1 19-07-2000'!$AM$7:$AN$38,2,0)),0,VLOOKUP($B38,'[1]MENGENLS1 19-07-2000'!$AM$7:$AN$38,2,0))</f>
        <v>0</v>
      </c>
      <c r="K38" s="109">
        <f>IF(ISNA(VLOOKUP($B38,'[1]MENGENLS1 19-07-2000'!$AP$7:$AQ$12,2,0)),0,VLOOKUP($B38,'[1]MENGENLS1 19-07-2000'!$AP$7:$AQ$12,2,0))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37834</v>
      </c>
      <c r="C39" s="108">
        <f>IF(ISNA(VLOOKUP($B39,'[1]MENGENLS1 19-07-2000'!$R$7:$S$71,2,0)),0,VLOOKUP($B39,'[1]MENGENLS1 19-07-2000'!$R$7:$S$71,2,0))</f>
        <v>-6649</v>
      </c>
      <c r="D39" s="109">
        <f>IF(ISNA(VLOOKUP($B39,'[1]MENGENLS1 19-07-2000'!$U$7:$V$60,2,0)),0,VLOOKUP($B39,'[1]MENGENLS1 19-07-2000'!$U$7:$V$60,2,0))</f>
        <v>100</v>
      </c>
      <c r="E39" s="109">
        <f>IF(ISNA(VLOOKUP($B39,'[1]MENGENLS1 19-07-2000'!$X$7:$Y$27,2,0)),0,VLOOKUP($B39,'[1]MENGENLS1 19-07-2000'!$X$7:$Y$27,2,0))</f>
        <v>0</v>
      </c>
      <c r="F39" s="109">
        <f>IF(ISNA(VLOOKUP($B39,'[1]MENGENLS1 19-07-2000'!$AA$7:$AB$35,2,0)),0,VLOOKUP($B39,'[1]MENGENLS1 19-07-2000'!$AA$7:$AB$35,2,0))</f>
        <v>0</v>
      </c>
      <c r="G39" s="109">
        <f>IF(ISNA(VLOOKUP($B39,'[1]MENGENLS1 19-07-2000'!$AD$7:$AE$38,2,0)),0,VLOOKUP($B39,'[1]MENGENLS1 19-07-2000'!$AD$7:$AE$38,2,0))</f>
        <v>0</v>
      </c>
      <c r="H39" s="109">
        <f>IF(ISNA(VLOOKUP($B39,'[1]MENGENLS1 19-07-2000'!$AG$7:$AH$20,2,0)),0,VLOOKUP($B39,'[1]MENGENLS1 19-07-2000'!$AG$7:$AH$20,2,0))</f>
        <v>0</v>
      </c>
      <c r="I39" s="109">
        <f>IF(ISNA(VLOOKUP($B39,'[1]MENGENLS1 19-07-2000'!$AJ$7:$AK$38,2,0)),0,VLOOKUP($B39,'[1]MENGENLS1 19-07-2000'!$AJ$7:$AK$38,2,0))</f>
        <v>0</v>
      </c>
      <c r="J39" s="109">
        <f>IF(ISNA(VLOOKUP($B39,'[1]MENGENLS1 19-07-2000'!$AM$7:$AN$38,2,0)),0,VLOOKUP($B39,'[1]MENGENLS1 19-07-2000'!$AM$7:$AN$38,2,0))</f>
        <v>0</v>
      </c>
      <c r="K39" s="109">
        <f>IF(ISNA(VLOOKUP($B39,'[1]MENGENLS1 19-07-2000'!$AP$7:$AQ$12,2,0)),0,VLOOKUP($B39,'[1]MENGENLS1 19-07-2000'!$AP$7:$AQ$12,2,0))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37865</v>
      </c>
      <c r="C40" s="108">
        <f>IF(ISNA(VLOOKUP($B40,'[1]MENGENLS1 19-07-2000'!$R$7:$S$71,2,0)),0,VLOOKUP($B40,'[1]MENGENLS1 19-07-2000'!$R$7:$S$71,2,0))</f>
        <v>197</v>
      </c>
      <c r="D40" s="109">
        <f>IF(ISNA(VLOOKUP($B40,'[1]MENGENLS1 19-07-2000'!$U$7:$V$60,2,0)),0,VLOOKUP($B40,'[1]MENGENLS1 19-07-2000'!$U$7:$V$60,2,0))</f>
        <v>100</v>
      </c>
      <c r="E40" s="109">
        <f>IF(ISNA(VLOOKUP($B40,'[1]MENGENLS1 19-07-2000'!$X$7:$Y$27,2,0)),0,VLOOKUP($B40,'[1]MENGENLS1 19-07-2000'!$X$7:$Y$27,2,0))</f>
        <v>0</v>
      </c>
      <c r="F40" s="109">
        <f>IF(ISNA(VLOOKUP($B40,'[1]MENGENLS1 19-07-2000'!$AA$7:$AB$35,2,0)),0,VLOOKUP($B40,'[1]MENGENLS1 19-07-2000'!$AA$7:$AB$35,2,0))</f>
        <v>0</v>
      </c>
      <c r="G40" s="109">
        <f>IF(ISNA(VLOOKUP($B40,'[1]MENGENLS1 19-07-2000'!$AD$7:$AE$38,2,0)),0,VLOOKUP($B40,'[1]MENGENLS1 19-07-2000'!$AD$7:$AE$38,2,0))</f>
        <v>0</v>
      </c>
      <c r="H40" s="109">
        <f>IF(ISNA(VLOOKUP($B40,'[1]MENGENLS1 19-07-2000'!$AG$7:$AH$20,2,0)),0,VLOOKUP($B40,'[1]MENGENLS1 19-07-2000'!$AG$7:$AH$20,2,0))</f>
        <v>0</v>
      </c>
      <c r="I40" s="109">
        <f>IF(ISNA(VLOOKUP($B40,'[1]MENGENLS1 19-07-2000'!$AJ$7:$AK$38,2,0)),0,VLOOKUP($B40,'[1]MENGENLS1 19-07-2000'!$AJ$7:$AK$38,2,0))</f>
        <v>0</v>
      </c>
      <c r="J40" s="109">
        <f>IF(ISNA(VLOOKUP($B40,'[1]MENGENLS1 19-07-2000'!$AM$7:$AN$38,2,0)),0,VLOOKUP($B40,'[1]MENGENLS1 19-07-2000'!$AM$7:$AN$38,2,0))</f>
        <v>0</v>
      </c>
      <c r="K40" s="109">
        <f>IF(ISNA(VLOOKUP($B40,'[1]MENGENLS1 19-07-2000'!$AP$7:$AQ$12,2,0)),0,VLOOKUP($B40,'[1]MENGENLS1 19-07-2000'!$AP$7:$AQ$12,2,0))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37895</v>
      </c>
      <c r="C41" s="108">
        <f>IF(ISNA(VLOOKUP($B41,'[1]MENGENLS1 19-07-2000'!$R$7:$S$71,2,0)),0,VLOOKUP($B41,'[1]MENGENLS1 19-07-2000'!$R$7:$S$71,2,0))</f>
        <v>817</v>
      </c>
      <c r="D41" s="109">
        <f>IF(ISNA(VLOOKUP($B41,'[1]MENGENLS1 19-07-2000'!$U$7:$V$60,2,0)),0,VLOOKUP($B41,'[1]MENGENLS1 19-07-2000'!$U$7:$V$60,2,0))</f>
        <v>100</v>
      </c>
      <c r="E41" s="109">
        <f>IF(ISNA(VLOOKUP($B41,'[1]MENGENLS1 19-07-2000'!$X$7:$Y$27,2,0)),0,VLOOKUP($B41,'[1]MENGENLS1 19-07-2000'!$X$7:$Y$27,2,0))</f>
        <v>0</v>
      </c>
      <c r="F41" s="109">
        <f>IF(ISNA(VLOOKUP($B41,'[1]MENGENLS1 19-07-2000'!$AA$7:$AB$35,2,0)),0,VLOOKUP($B41,'[1]MENGENLS1 19-07-2000'!$AA$7:$AB$35,2,0))</f>
        <v>0</v>
      </c>
      <c r="G41" s="109">
        <f>IF(ISNA(VLOOKUP($B41,'[1]MENGENLS1 19-07-2000'!$AD$7:$AE$38,2,0)),0,VLOOKUP($B41,'[1]MENGENLS1 19-07-2000'!$AD$7:$AE$38,2,0))</f>
        <v>0</v>
      </c>
      <c r="H41" s="109">
        <f>IF(ISNA(VLOOKUP($B41,'[1]MENGENLS1 19-07-2000'!$AG$7:$AH$20,2,0)),0,VLOOKUP($B41,'[1]MENGENLS1 19-07-2000'!$AG$7:$AH$20,2,0))</f>
        <v>0</v>
      </c>
      <c r="I41" s="109">
        <f>IF(ISNA(VLOOKUP($B41,'[1]MENGENLS1 19-07-2000'!$AJ$7:$AK$38,2,0)),0,VLOOKUP($B41,'[1]MENGENLS1 19-07-2000'!$AJ$7:$AK$38,2,0))</f>
        <v>0</v>
      </c>
      <c r="J41" s="109">
        <f>IF(ISNA(VLOOKUP($B41,'[1]MENGENLS1 19-07-2000'!$AM$7:$AN$38,2,0)),0,VLOOKUP($B41,'[1]MENGENLS1 19-07-2000'!$AM$7:$AN$38,2,0))</f>
        <v>0</v>
      </c>
      <c r="K41" s="109">
        <f>IF(ISNA(VLOOKUP($B41,'[1]MENGENLS1 19-07-2000'!$AP$7:$AQ$12,2,0)),0,VLOOKUP($B41,'[1]MENGENLS1 19-07-2000'!$AP$7:$AQ$12,2,0))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37926</v>
      </c>
      <c r="C42" s="108">
        <f>IF(ISNA(VLOOKUP($B42,'[1]MENGENLS1 19-07-2000'!$R$7:$S$71,2,0)),0,VLOOKUP($B42,'[1]MENGENLS1 19-07-2000'!$R$7:$S$71,2,0))</f>
        <v>809</v>
      </c>
      <c r="D42" s="109">
        <f>IF(ISNA(VLOOKUP($B42,'[1]MENGENLS1 19-07-2000'!$U$7:$V$60,2,0)),0,VLOOKUP($B42,'[1]MENGENLS1 19-07-2000'!$U$7:$V$60,2,0))</f>
        <v>100</v>
      </c>
      <c r="E42" s="109">
        <f>IF(ISNA(VLOOKUP($B42,'[1]MENGENLS1 19-07-2000'!$X$7:$Y$27,2,0)),0,VLOOKUP($B42,'[1]MENGENLS1 19-07-2000'!$X$7:$Y$27,2,0))</f>
        <v>0</v>
      </c>
      <c r="F42" s="109">
        <f>IF(ISNA(VLOOKUP($B42,'[1]MENGENLS1 19-07-2000'!$AA$7:$AB$35,2,0)),0,VLOOKUP($B42,'[1]MENGENLS1 19-07-2000'!$AA$7:$AB$35,2,0))</f>
        <v>0</v>
      </c>
      <c r="G42" s="109">
        <f>IF(ISNA(VLOOKUP($B42,'[1]MENGENLS1 19-07-2000'!$AD$7:$AE$38,2,0)),0,VLOOKUP($B42,'[1]MENGENLS1 19-07-2000'!$AD$7:$AE$38,2,0))</f>
        <v>0</v>
      </c>
      <c r="H42" s="109">
        <f>IF(ISNA(VLOOKUP($B42,'[1]MENGENLS1 19-07-2000'!$AG$7:$AH$20,2,0)),0,VLOOKUP($B42,'[1]MENGENLS1 19-07-2000'!$AG$7:$AH$20,2,0))</f>
        <v>0</v>
      </c>
      <c r="I42" s="109">
        <f>IF(ISNA(VLOOKUP($B42,'[1]MENGENLS1 19-07-2000'!$AJ$7:$AK$38,2,0)),0,VLOOKUP($B42,'[1]MENGENLS1 19-07-2000'!$AJ$7:$AK$38,2,0))</f>
        <v>0</v>
      </c>
      <c r="J42" s="109">
        <f>IF(ISNA(VLOOKUP($B42,'[1]MENGENLS1 19-07-2000'!$AM$7:$AN$38,2,0)),0,VLOOKUP($B42,'[1]MENGENLS1 19-07-2000'!$AM$7:$AN$38,2,0))</f>
        <v>0</v>
      </c>
      <c r="K42" s="109">
        <f>IF(ISNA(VLOOKUP($B42,'[1]MENGENLS1 19-07-2000'!$AP$7:$AQ$12,2,0)),0,VLOOKUP($B42,'[1]MENGENLS1 19-07-2000'!$AP$7:$AQ$12,2,0))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37956</v>
      </c>
      <c r="C43" s="108">
        <f>IF(ISNA(VLOOKUP($B43,'[1]MENGENLS1 19-07-2000'!$R$7:$S$71,2,0)),0,VLOOKUP($B43,'[1]MENGENLS1 19-07-2000'!$R$7:$S$71,2,0))</f>
        <v>781</v>
      </c>
      <c r="D43" s="109">
        <f>IF(ISNA(VLOOKUP($B43,'[1]MENGENLS1 19-07-2000'!$U$7:$V$60,2,0)),0,VLOOKUP($B43,'[1]MENGENLS1 19-07-2000'!$U$7:$V$60,2,0))</f>
        <v>200</v>
      </c>
      <c r="E43" s="109">
        <f>IF(ISNA(VLOOKUP($B43,'[1]MENGENLS1 19-07-2000'!$X$7:$Y$27,2,0)),0,VLOOKUP($B43,'[1]MENGENLS1 19-07-2000'!$X$7:$Y$27,2,0))</f>
        <v>0</v>
      </c>
      <c r="F43" s="109">
        <f>IF(ISNA(VLOOKUP($B43,'[1]MENGENLS1 19-07-2000'!$AA$7:$AB$35,2,0)),0,VLOOKUP($B43,'[1]MENGENLS1 19-07-2000'!$AA$7:$AB$35,2,0))</f>
        <v>0</v>
      </c>
      <c r="G43" s="109">
        <f>IF(ISNA(VLOOKUP($B43,'[1]MENGENLS1 19-07-2000'!$AD$7:$AE$38,2,0)),0,VLOOKUP($B43,'[1]MENGENLS1 19-07-2000'!$AD$7:$AE$38,2,0))</f>
        <v>0</v>
      </c>
      <c r="H43" s="109">
        <f>IF(ISNA(VLOOKUP($B43,'[1]MENGENLS1 19-07-2000'!$AG$7:$AH$20,2,0)),0,VLOOKUP($B43,'[1]MENGENLS1 19-07-2000'!$AG$7:$AH$20,2,0))</f>
        <v>0</v>
      </c>
      <c r="I43" s="109">
        <f>IF(ISNA(VLOOKUP($B43,'[1]MENGENLS1 19-07-2000'!$AJ$7:$AK$38,2,0)),0,VLOOKUP($B43,'[1]MENGENLS1 19-07-2000'!$AJ$7:$AK$38,2,0))</f>
        <v>0</v>
      </c>
      <c r="J43" s="109">
        <f>IF(ISNA(VLOOKUP($B43,'[1]MENGENLS1 19-07-2000'!$AM$7:$AN$38,2,0)),0,VLOOKUP($B43,'[1]MENGENLS1 19-07-2000'!$AM$7:$AN$38,2,0))</f>
        <v>0</v>
      </c>
      <c r="K43" s="109">
        <f>IF(ISNA(VLOOKUP($B43,'[1]MENGENLS1 19-07-2000'!$AP$7:$AQ$12,2,0)),0,VLOOKUP($B43,'[1]MENGENLS1 19-07-2000'!$AP$7:$AQ$12,2,0))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37987</v>
      </c>
      <c r="C44" s="108">
        <f>IF(ISNA(VLOOKUP($B44,'[1]MENGENLS1 19-07-2000'!$R$7:$S$71,2,0)),0,VLOOKUP($B44,'[1]MENGENLS1 19-07-2000'!$R$7:$S$71,2,0))</f>
        <v>-75</v>
      </c>
      <c r="D44" s="109">
        <f>IF(ISNA(VLOOKUP($B44,'[1]MENGENLS1 19-07-2000'!$U$7:$V$60,2,0)),0,VLOOKUP($B44,'[1]MENGENLS1 19-07-2000'!$U$7:$V$60,2,0))</f>
        <v>-25</v>
      </c>
      <c r="E44" s="109">
        <f>IF(ISNA(VLOOKUP($B44,'[1]MENGENLS1 19-07-2000'!$X$7:$Y$27,2,0)),0,VLOOKUP($B44,'[1]MENGENLS1 19-07-2000'!$X$7:$Y$27,2,0))</f>
        <v>0</v>
      </c>
      <c r="F44" s="109">
        <f>IF(ISNA(VLOOKUP($B44,'[1]MENGENLS1 19-07-2000'!$AA$7:$AB$35,2,0)),0,VLOOKUP($B44,'[1]MENGENLS1 19-07-2000'!$AA$7:$AB$35,2,0))</f>
        <v>0</v>
      </c>
      <c r="G44" s="109">
        <f>IF(ISNA(VLOOKUP($B44,'[1]MENGENLS1 19-07-2000'!$AD$7:$AE$38,2,0)),0,VLOOKUP($B44,'[1]MENGENLS1 19-07-2000'!$AD$7:$AE$38,2,0))</f>
        <v>0</v>
      </c>
      <c r="H44" s="109">
        <f>IF(ISNA(VLOOKUP($B44,'[1]MENGENLS1 19-07-2000'!$AG$7:$AH$20,2,0)),0,VLOOKUP($B44,'[1]MENGENLS1 19-07-2000'!$AG$7:$AH$20,2,0))</f>
        <v>0</v>
      </c>
      <c r="I44" s="109">
        <f>IF(ISNA(VLOOKUP($B44,'[1]MENGENLS1 19-07-2000'!$AJ$7:$AK$38,2,0)),0,VLOOKUP($B44,'[1]MENGENLS1 19-07-2000'!$AJ$7:$AK$38,2,0))</f>
        <v>0</v>
      </c>
      <c r="J44" s="109">
        <f>IF(ISNA(VLOOKUP($B44,'[1]MENGENLS1 19-07-2000'!$AM$7:$AN$38,2,0)),0,VLOOKUP($B44,'[1]MENGENLS1 19-07-2000'!$AM$7:$AN$38,2,0))</f>
        <v>0</v>
      </c>
      <c r="K44" s="109">
        <f>IF(ISNA(VLOOKUP($B44,'[1]MENGENLS1 19-07-2000'!$AP$7:$AQ$12,2,0)),0,VLOOKUP($B44,'[1]MENGENLS1 19-07-2000'!$AP$7:$AQ$12,2,0))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38018</v>
      </c>
      <c r="C45" s="108">
        <f>IF(ISNA(VLOOKUP($B45,'[1]MENGENLS1 19-07-2000'!$R$7:$S$71,2,0)),0,VLOOKUP($B45,'[1]MENGENLS1 19-07-2000'!$R$7:$S$71,2,0))</f>
        <v>-100</v>
      </c>
      <c r="D45" s="109">
        <f>IF(ISNA(VLOOKUP($B45,'[1]MENGENLS1 19-07-2000'!$U$7:$V$60,2,0)),0,VLOOKUP($B45,'[1]MENGENLS1 19-07-2000'!$U$7:$V$60,2,0))</f>
        <v>-25</v>
      </c>
      <c r="E45" s="109">
        <f>IF(ISNA(VLOOKUP($B45,'[1]MENGENLS1 19-07-2000'!$X$7:$Y$27,2,0)),0,VLOOKUP($B45,'[1]MENGENLS1 19-07-2000'!$X$7:$Y$27,2,0))</f>
        <v>0</v>
      </c>
      <c r="F45" s="109">
        <f>IF(ISNA(VLOOKUP($B45,'[1]MENGENLS1 19-07-2000'!$AA$7:$AB$35,2,0)),0,VLOOKUP($B45,'[1]MENGENLS1 19-07-2000'!$AA$7:$AB$35,2,0))</f>
        <v>0</v>
      </c>
      <c r="G45" s="109">
        <f>IF(ISNA(VLOOKUP($B45,'[1]MENGENLS1 19-07-2000'!$AD$7:$AE$38,2,0)),0,VLOOKUP($B45,'[1]MENGENLS1 19-07-2000'!$AD$7:$AE$38,2,0))</f>
        <v>0</v>
      </c>
      <c r="H45" s="109">
        <f>IF(ISNA(VLOOKUP($B45,'[1]MENGENLS1 19-07-2000'!$AG$7:$AH$20,2,0)),0,VLOOKUP($B45,'[1]MENGENLS1 19-07-2000'!$AG$7:$AH$20,2,0))</f>
        <v>0</v>
      </c>
      <c r="I45" s="109">
        <f>IF(ISNA(VLOOKUP($B45,'[1]MENGENLS1 19-07-2000'!$AJ$7:$AK$38,2,0)),0,VLOOKUP($B45,'[1]MENGENLS1 19-07-2000'!$AJ$7:$AK$38,2,0))</f>
        <v>0</v>
      </c>
      <c r="J45" s="109">
        <f>IF(ISNA(VLOOKUP($B45,'[1]MENGENLS1 19-07-2000'!$AM$7:$AN$38,2,0)),0,VLOOKUP($B45,'[1]MENGENLS1 19-07-2000'!$AM$7:$AN$38,2,0))</f>
        <v>0</v>
      </c>
      <c r="K45" s="109">
        <f>IF(ISNA(VLOOKUP($B45,'[1]MENGENLS1 19-07-2000'!$AP$7:$AQ$12,2,0)),0,VLOOKUP($B45,'[1]MENGENLS1 19-07-2000'!$AP$7:$AQ$12,2,0))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38047</v>
      </c>
      <c r="C46" s="108">
        <f>IF(ISNA(VLOOKUP($B46,'[1]MENGENLS1 19-07-2000'!$R$7:$S$71,2,0)),0,VLOOKUP($B46,'[1]MENGENLS1 19-07-2000'!$R$7:$S$71,2,0))</f>
        <v>-75</v>
      </c>
      <c r="D46" s="109">
        <f>IF(ISNA(VLOOKUP($B46,'[1]MENGENLS1 19-07-2000'!$U$7:$V$60,2,0)),0,VLOOKUP($B46,'[1]MENGENLS1 19-07-2000'!$U$7:$V$60,2,0))</f>
        <v>-25</v>
      </c>
      <c r="E46" s="109">
        <f>IF(ISNA(VLOOKUP($B46,'[1]MENGENLS1 19-07-2000'!$X$7:$Y$27,2,0)),0,VLOOKUP($B46,'[1]MENGENLS1 19-07-2000'!$X$7:$Y$27,2,0))</f>
        <v>0</v>
      </c>
      <c r="F46" s="109">
        <f>IF(ISNA(VLOOKUP($B46,'[1]MENGENLS1 19-07-2000'!$AA$7:$AB$35,2,0)),0,VLOOKUP($B46,'[1]MENGENLS1 19-07-2000'!$AA$7:$AB$35,2,0))</f>
        <v>0</v>
      </c>
      <c r="G46" s="109">
        <f>IF(ISNA(VLOOKUP($B46,'[1]MENGENLS1 19-07-2000'!$AD$7:$AE$38,2,0)),0,VLOOKUP($B46,'[1]MENGENLS1 19-07-2000'!$AD$7:$AE$38,2,0))</f>
        <v>0</v>
      </c>
      <c r="H46" s="109">
        <f>IF(ISNA(VLOOKUP($B46,'[1]MENGENLS1 19-07-2000'!$AG$7:$AH$20,2,0)),0,VLOOKUP($B46,'[1]MENGENLS1 19-07-2000'!$AG$7:$AH$20,2,0))</f>
        <v>0</v>
      </c>
      <c r="I46" s="109">
        <f>IF(ISNA(VLOOKUP($B46,'[1]MENGENLS1 19-07-2000'!$AJ$7:$AK$38,2,0)),0,VLOOKUP($B46,'[1]MENGENLS1 19-07-2000'!$AJ$7:$AK$38,2,0))</f>
        <v>0</v>
      </c>
      <c r="J46" s="109">
        <f>IF(ISNA(VLOOKUP($B46,'[1]MENGENLS1 19-07-2000'!$AM$7:$AN$38,2,0)),0,VLOOKUP($B46,'[1]MENGENLS1 19-07-2000'!$AM$7:$AN$38,2,0))</f>
        <v>0</v>
      </c>
      <c r="K46" s="109">
        <f>IF(ISNA(VLOOKUP($B46,'[1]MENGENLS1 19-07-2000'!$AP$7:$AQ$12,2,0)),0,VLOOKUP($B46,'[1]MENGENLS1 19-07-2000'!$AP$7:$AQ$12,2,0))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38078</v>
      </c>
      <c r="C47" s="108">
        <f>IF(ISNA(VLOOKUP($B47,'[1]MENGENLS1 19-07-2000'!$R$7:$S$71,2,0)),0,VLOOKUP($B47,'[1]MENGENLS1 19-07-2000'!$R$7:$S$71,2,0))</f>
        <v>-100</v>
      </c>
      <c r="D47" s="109">
        <f>IF(ISNA(VLOOKUP($B47,'[1]MENGENLS1 19-07-2000'!$U$7:$V$60,2,0)),0,VLOOKUP($B47,'[1]MENGENLS1 19-07-2000'!$U$7:$V$60,2,0))</f>
        <v>-25</v>
      </c>
      <c r="E47" s="109">
        <f>IF(ISNA(VLOOKUP($B47,'[1]MENGENLS1 19-07-2000'!$X$7:$Y$27,2,0)),0,VLOOKUP($B47,'[1]MENGENLS1 19-07-2000'!$X$7:$Y$27,2,0))</f>
        <v>0</v>
      </c>
      <c r="F47" s="109">
        <f>IF(ISNA(VLOOKUP($B47,'[1]MENGENLS1 19-07-2000'!$AA$7:$AB$35,2,0)),0,VLOOKUP($B47,'[1]MENGENLS1 19-07-2000'!$AA$7:$AB$35,2,0))</f>
        <v>0</v>
      </c>
      <c r="G47" s="109">
        <f>IF(ISNA(VLOOKUP($B47,'[1]MENGENLS1 19-07-2000'!$AD$7:$AE$38,2,0)),0,VLOOKUP($B47,'[1]MENGENLS1 19-07-2000'!$AD$7:$AE$38,2,0))</f>
        <v>0</v>
      </c>
      <c r="H47" s="109">
        <f>IF(ISNA(VLOOKUP($B47,'[1]MENGENLS1 19-07-2000'!$AG$7:$AH$20,2,0)),0,VLOOKUP($B47,'[1]MENGENLS1 19-07-2000'!$AG$7:$AH$20,2,0))</f>
        <v>0</v>
      </c>
      <c r="I47" s="109">
        <f>IF(ISNA(VLOOKUP($B47,'[1]MENGENLS1 19-07-2000'!$AJ$7:$AK$38,2,0)),0,VLOOKUP($B47,'[1]MENGENLS1 19-07-2000'!$AJ$7:$AK$38,2,0))</f>
        <v>0</v>
      </c>
      <c r="J47" s="109">
        <f>IF(ISNA(VLOOKUP($B47,'[1]MENGENLS1 19-07-2000'!$AM$7:$AN$38,2,0)),0,VLOOKUP($B47,'[1]MENGENLS1 19-07-2000'!$AM$7:$AN$38,2,0))</f>
        <v>0</v>
      </c>
      <c r="K47" s="109">
        <f>IF(ISNA(VLOOKUP($B47,'[1]MENGENLS1 19-07-2000'!$AP$7:$AQ$12,2,0)),0,VLOOKUP($B47,'[1]MENGENLS1 19-07-2000'!$AP$7:$AQ$12,2,0))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38108</v>
      </c>
      <c r="C48" s="108">
        <f>IF(ISNA(VLOOKUP($B48,'[1]MENGENLS1 19-07-2000'!$R$7:$S$71,2,0)),0,VLOOKUP($B48,'[1]MENGENLS1 19-07-2000'!$R$7:$S$71,2,0))</f>
        <v>-75</v>
      </c>
      <c r="D48" s="109">
        <f>IF(ISNA(VLOOKUP($B48,'[1]MENGENLS1 19-07-2000'!$U$7:$V$60,2,0)),0,VLOOKUP($B48,'[1]MENGENLS1 19-07-2000'!$U$7:$V$60,2,0))</f>
        <v>-25</v>
      </c>
      <c r="E48" s="109">
        <f>IF(ISNA(VLOOKUP($B48,'[1]MENGENLS1 19-07-2000'!$X$7:$Y$27,2,0)),0,VLOOKUP($B48,'[1]MENGENLS1 19-07-2000'!$X$7:$Y$27,2,0))</f>
        <v>0</v>
      </c>
      <c r="F48" s="109">
        <f>IF(ISNA(VLOOKUP($B48,'[1]MENGENLS1 19-07-2000'!$AA$7:$AB$35,2,0)),0,VLOOKUP($B48,'[1]MENGENLS1 19-07-2000'!$AA$7:$AB$35,2,0))</f>
        <v>0</v>
      </c>
      <c r="G48" s="109">
        <f>IF(ISNA(VLOOKUP($B48,'[1]MENGENLS1 19-07-2000'!$AD$7:$AE$38,2,0)),0,VLOOKUP($B48,'[1]MENGENLS1 19-07-2000'!$AD$7:$AE$38,2,0))</f>
        <v>0</v>
      </c>
      <c r="H48" s="109">
        <f>IF(ISNA(VLOOKUP($B48,'[1]MENGENLS1 19-07-2000'!$AG$7:$AH$20,2,0)),0,VLOOKUP($B48,'[1]MENGENLS1 19-07-2000'!$AG$7:$AH$20,2,0))</f>
        <v>0</v>
      </c>
      <c r="I48" s="109">
        <f>IF(ISNA(VLOOKUP($B48,'[1]MENGENLS1 19-07-2000'!$AJ$7:$AK$38,2,0)),0,VLOOKUP($B48,'[1]MENGENLS1 19-07-2000'!$AJ$7:$AK$38,2,0))</f>
        <v>0</v>
      </c>
      <c r="J48" s="109">
        <f>IF(ISNA(VLOOKUP($B48,'[1]MENGENLS1 19-07-2000'!$AM$7:$AN$38,2,0)),0,VLOOKUP($B48,'[1]MENGENLS1 19-07-2000'!$AM$7:$AN$38,2,0))</f>
        <v>0</v>
      </c>
      <c r="K48" s="109">
        <f>IF(ISNA(VLOOKUP($B48,'[1]MENGENLS1 19-07-2000'!$AP$7:$AQ$12,2,0)),0,VLOOKUP($B48,'[1]MENGENLS1 19-07-2000'!$AP$7:$AQ$12,2,0))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38139</v>
      </c>
      <c r="C49" s="108">
        <f>IF(ISNA(VLOOKUP($B49,'[1]MENGENLS1 19-07-2000'!$R$7:$S$71,2,0)),0,VLOOKUP($B49,'[1]MENGENLS1 19-07-2000'!$R$7:$S$71,2,0))</f>
        <v>-100</v>
      </c>
      <c r="D49" s="109">
        <f>IF(ISNA(VLOOKUP($B49,'[1]MENGENLS1 19-07-2000'!$U$7:$V$60,2,0)),0,VLOOKUP($B49,'[1]MENGENLS1 19-07-2000'!$U$7:$V$60,2,0))</f>
        <v>-25</v>
      </c>
      <c r="E49" s="109">
        <f>IF(ISNA(VLOOKUP($B49,'[1]MENGENLS1 19-07-2000'!$X$7:$Y$27,2,0)),0,VLOOKUP($B49,'[1]MENGENLS1 19-07-2000'!$X$7:$Y$27,2,0))</f>
        <v>0</v>
      </c>
      <c r="F49" s="109">
        <f>IF(ISNA(VLOOKUP($B49,'[1]MENGENLS1 19-07-2000'!$AA$7:$AB$35,2,0)),0,VLOOKUP($B49,'[1]MENGENLS1 19-07-2000'!$AA$7:$AB$35,2,0))</f>
        <v>0</v>
      </c>
      <c r="G49" s="109">
        <f>IF(ISNA(VLOOKUP($B49,'[1]MENGENLS1 19-07-2000'!$AD$7:$AE$38,2,0)),0,VLOOKUP($B49,'[1]MENGENLS1 19-07-2000'!$AD$7:$AE$38,2,0))</f>
        <v>0</v>
      </c>
      <c r="H49" s="109">
        <f>IF(ISNA(VLOOKUP($B49,'[1]MENGENLS1 19-07-2000'!$AG$7:$AH$20,2,0)),0,VLOOKUP($B49,'[1]MENGENLS1 19-07-2000'!$AG$7:$AH$20,2,0))</f>
        <v>0</v>
      </c>
      <c r="I49" s="109">
        <f>IF(ISNA(VLOOKUP($B49,'[1]MENGENLS1 19-07-2000'!$AJ$7:$AK$38,2,0)),0,VLOOKUP($B49,'[1]MENGENLS1 19-07-2000'!$AJ$7:$AK$38,2,0))</f>
        <v>0</v>
      </c>
      <c r="J49" s="109">
        <f>IF(ISNA(VLOOKUP($B49,'[1]MENGENLS1 19-07-2000'!$AM$7:$AN$38,2,0)),0,VLOOKUP($B49,'[1]MENGENLS1 19-07-2000'!$AM$7:$AN$38,2,0))</f>
        <v>0</v>
      </c>
      <c r="K49" s="109">
        <f>IF(ISNA(VLOOKUP($B49,'[1]MENGENLS1 19-07-2000'!$AP$7:$AQ$12,2,0)),0,VLOOKUP($B49,'[1]MENGENLS1 19-07-2000'!$AP$7:$AQ$12,2,0))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38169</v>
      </c>
      <c r="C50" s="108">
        <f>IF(ISNA(VLOOKUP($B50,'[1]MENGENLS1 19-07-2000'!$R$7:$S$71,2,0)),0,VLOOKUP($B50,'[1]MENGENLS1 19-07-2000'!$R$7:$S$71,2,0))</f>
        <v>-75</v>
      </c>
      <c r="D50" s="109">
        <f>IF(ISNA(VLOOKUP($B50,'[1]MENGENLS1 19-07-2000'!$U$7:$V$60,2,0)),0,VLOOKUP($B50,'[1]MENGENLS1 19-07-2000'!$U$7:$V$60,2,0))</f>
        <v>-25</v>
      </c>
      <c r="E50" s="109">
        <f>IF(ISNA(VLOOKUP($B50,'[1]MENGENLS1 19-07-2000'!$X$7:$Y$27,2,0)),0,VLOOKUP($B50,'[1]MENGENLS1 19-07-2000'!$X$7:$Y$27,2,0))</f>
        <v>0</v>
      </c>
      <c r="F50" s="109">
        <f>IF(ISNA(VLOOKUP($B50,'[1]MENGENLS1 19-07-2000'!$AA$7:$AB$35,2,0)),0,VLOOKUP($B50,'[1]MENGENLS1 19-07-2000'!$AA$7:$AB$35,2,0))</f>
        <v>0</v>
      </c>
      <c r="G50" s="109">
        <f>IF(ISNA(VLOOKUP($B50,'[1]MENGENLS1 19-07-2000'!$AD$7:$AE$38,2,0)),0,VLOOKUP($B50,'[1]MENGENLS1 19-07-2000'!$AD$7:$AE$38,2,0))</f>
        <v>0</v>
      </c>
      <c r="H50" s="109">
        <f>IF(ISNA(VLOOKUP($B50,'[1]MENGENLS1 19-07-2000'!$AG$7:$AH$20,2,0)),0,VLOOKUP($B50,'[1]MENGENLS1 19-07-2000'!$AG$7:$AH$20,2,0))</f>
        <v>0</v>
      </c>
      <c r="I50" s="109">
        <f>IF(ISNA(VLOOKUP($B50,'[1]MENGENLS1 19-07-2000'!$AJ$7:$AK$38,2,0)),0,VLOOKUP($B50,'[1]MENGENLS1 19-07-2000'!$AJ$7:$AK$38,2,0))</f>
        <v>0</v>
      </c>
      <c r="J50" s="109">
        <f>IF(ISNA(VLOOKUP($B50,'[1]MENGENLS1 19-07-2000'!$AM$7:$AN$38,2,0)),0,VLOOKUP($B50,'[1]MENGENLS1 19-07-2000'!$AM$7:$AN$38,2,0))</f>
        <v>0</v>
      </c>
      <c r="K50" s="109">
        <f>IF(ISNA(VLOOKUP($B50,'[1]MENGENLS1 19-07-2000'!$AP$7:$AQ$12,2,0)),0,VLOOKUP($B50,'[1]MENGENLS1 19-07-2000'!$AP$7:$AQ$12,2,0))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38200</v>
      </c>
      <c r="C51" s="108">
        <f>IF(ISNA(VLOOKUP($B51,'[1]MENGENLS1 19-07-2000'!$R$7:$S$71,2,0)),0,VLOOKUP($B51,'[1]MENGENLS1 19-07-2000'!$R$7:$S$71,2,0))</f>
        <v>-25</v>
      </c>
      <c r="D51" s="109">
        <f>IF(ISNA(VLOOKUP($B51,'[1]MENGENLS1 19-07-2000'!$U$7:$V$60,2,0)),0,VLOOKUP($B51,'[1]MENGENLS1 19-07-2000'!$U$7:$V$60,2,0))</f>
        <v>-25</v>
      </c>
      <c r="E51" s="109">
        <f>IF(ISNA(VLOOKUP($B51,'[1]MENGENLS1 19-07-2000'!$X$7:$Y$27,2,0)),0,VLOOKUP($B51,'[1]MENGENLS1 19-07-2000'!$X$7:$Y$27,2,0))</f>
        <v>0</v>
      </c>
      <c r="F51" s="109">
        <f>IF(ISNA(VLOOKUP($B51,'[1]MENGENLS1 19-07-2000'!$AA$7:$AB$35,2,0)),0,VLOOKUP($B51,'[1]MENGENLS1 19-07-2000'!$AA$7:$AB$35,2,0))</f>
        <v>0</v>
      </c>
      <c r="G51" s="109">
        <f>IF(ISNA(VLOOKUP($B51,'[1]MENGENLS1 19-07-2000'!$AD$7:$AE$38,2,0)),0,VLOOKUP($B51,'[1]MENGENLS1 19-07-2000'!$AD$7:$AE$38,2,0))</f>
        <v>0</v>
      </c>
      <c r="H51" s="109">
        <f>IF(ISNA(VLOOKUP($B51,'[1]MENGENLS1 19-07-2000'!$AG$7:$AH$20,2,0)),0,VLOOKUP($B51,'[1]MENGENLS1 19-07-2000'!$AG$7:$AH$20,2,0))</f>
        <v>0</v>
      </c>
      <c r="I51" s="109">
        <f>IF(ISNA(VLOOKUP($B51,'[1]MENGENLS1 19-07-2000'!$AJ$7:$AK$38,2,0)),0,VLOOKUP($B51,'[1]MENGENLS1 19-07-2000'!$AJ$7:$AK$38,2,0))</f>
        <v>0</v>
      </c>
      <c r="J51" s="109">
        <f>IF(ISNA(VLOOKUP($B51,'[1]MENGENLS1 19-07-2000'!$AM$7:$AN$38,2,0)),0,VLOOKUP($B51,'[1]MENGENLS1 19-07-2000'!$AM$7:$AN$38,2,0))</f>
        <v>0</v>
      </c>
      <c r="K51" s="109">
        <f>IF(ISNA(VLOOKUP($B51,'[1]MENGENLS1 19-07-2000'!$AP$7:$AQ$12,2,0)),0,VLOOKUP($B51,'[1]MENGENLS1 19-07-2000'!$AP$7:$AQ$12,2,0))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">
      <c r="B52" s="107">
        <f t="shared" ref="B52:B67" si="3">DATE(YEAR(B51),MONTH(B51)+1,1)</f>
        <v>38231</v>
      </c>
      <c r="C52" s="108">
        <f>IF(ISNA(VLOOKUP($B52,'[1]MENGENLS1 19-07-2000'!$R$7:$S$71,2,0)),0,VLOOKUP($B52,'[1]MENGENLS1 19-07-2000'!$R$7:$S$71,2,0))</f>
        <v>0</v>
      </c>
      <c r="D52" s="109">
        <f>IF(ISNA(VLOOKUP($B52,'[1]MENGENLS1 19-07-2000'!$U$7:$V$60,2,0)),0,VLOOKUP($B52,'[1]MENGENLS1 19-07-2000'!$U$7:$V$60,2,0))</f>
        <v>-25</v>
      </c>
      <c r="E52" s="109">
        <f>IF(ISNA(VLOOKUP($B52,'[1]MENGENLS1 19-07-2000'!$X$7:$Y$27,2,0)),0,VLOOKUP($B52,'[1]MENGENLS1 19-07-2000'!$X$7:$Y$27,2,0))</f>
        <v>0</v>
      </c>
      <c r="F52" s="109">
        <f>IF(ISNA(VLOOKUP($B52,'[1]MENGENLS1 19-07-2000'!$AA$7:$AB$35,2,0)),0,VLOOKUP($B52,'[1]MENGENLS1 19-07-2000'!$AA$7:$AB$35,2,0))</f>
        <v>0</v>
      </c>
      <c r="G52" s="109">
        <f>IF(ISNA(VLOOKUP($B52,'[1]MENGENLS1 19-07-2000'!$AD$7:$AE$38,2,0)),0,VLOOKUP($B52,'[1]MENGENLS1 19-07-2000'!$AD$7:$AE$38,2,0))</f>
        <v>0</v>
      </c>
      <c r="H52" s="109">
        <f>IF(ISNA(VLOOKUP($B52,'[1]MENGENLS1 19-07-2000'!$AG$7:$AH$20,2,0)),0,VLOOKUP($B52,'[1]MENGENLS1 19-07-2000'!$AG$7:$AH$20,2,0))</f>
        <v>0</v>
      </c>
      <c r="I52" s="109">
        <f>IF(ISNA(VLOOKUP($B52,'[1]MENGENLS1 19-07-2000'!$AJ$7:$AK$38,2,0)),0,VLOOKUP($B52,'[1]MENGENLS1 19-07-2000'!$AJ$7:$AK$38,2,0))</f>
        <v>0</v>
      </c>
      <c r="J52" s="109">
        <f>IF(ISNA(VLOOKUP($B52,'[1]MENGENLS1 19-07-2000'!$AM$7:$AN$38,2,0)),0,VLOOKUP($B52,'[1]MENGENLS1 19-07-2000'!$AM$7:$AN$38,2,0))</f>
        <v>0</v>
      </c>
      <c r="K52" s="109">
        <f>IF(ISNA(VLOOKUP($B52,'[1]MENGENLS1 19-07-2000'!$AP$7:$AQ$12,2,0)),0,VLOOKUP($B52,'[1]MENGENLS1 19-07-2000'!$AP$7:$AQ$12,2,0))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">
      <c r="B53" s="107">
        <f t="shared" si="3"/>
        <v>38261</v>
      </c>
      <c r="C53" s="108">
        <f>IF(ISNA(VLOOKUP($B53,'[1]MENGENLS1 19-07-2000'!$R$7:$S$71,2,0)),0,VLOOKUP($B53,'[1]MENGENLS1 19-07-2000'!$R$7:$S$71,2,0))</f>
        <v>-25</v>
      </c>
      <c r="D53" s="109">
        <f>IF(ISNA(VLOOKUP($B53,'[1]MENGENLS1 19-07-2000'!$U$7:$V$60,2,0)),0,VLOOKUP($B53,'[1]MENGENLS1 19-07-2000'!$U$7:$V$60,2,0))</f>
        <v>-25</v>
      </c>
      <c r="E53" s="109">
        <f>IF(ISNA(VLOOKUP($B53,'[1]MENGENLS1 19-07-2000'!$X$7:$Y$27,2,0)),0,VLOOKUP($B53,'[1]MENGENLS1 19-07-2000'!$X$7:$Y$27,2,0))</f>
        <v>0</v>
      </c>
      <c r="F53" s="109">
        <f>IF(ISNA(VLOOKUP($B53,'[1]MENGENLS1 19-07-2000'!$AA$7:$AB$35,2,0)),0,VLOOKUP($B53,'[1]MENGENLS1 19-07-2000'!$AA$7:$AB$35,2,0))</f>
        <v>0</v>
      </c>
      <c r="G53" s="109">
        <f>IF(ISNA(VLOOKUP($B53,'[1]MENGENLS1 19-07-2000'!$AD$7:$AE$38,2,0)),0,VLOOKUP($B53,'[1]MENGENLS1 19-07-2000'!$AD$7:$AE$38,2,0))</f>
        <v>0</v>
      </c>
      <c r="H53" s="109">
        <f>IF(ISNA(VLOOKUP($B53,'[1]MENGENLS1 19-07-2000'!$AG$7:$AH$20,2,0)),0,VLOOKUP($B53,'[1]MENGENLS1 19-07-2000'!$AG$7:$AH$20,2,0))</f>
        <v>0</v>
      </c>
      <c r="I53" s="109">
        <f>IF(ISNA(VLOOKUP($B53,'[1]MENGENLS1 19-07-2000'!$AJ$7:$AK$38,2,0)),0,VLOOKUP($B53,'[1]MENGENLS1 19-07-2000'!$AJ$7:$AK$38,2,0))</f>
        <v>0</v>
      </c>
      <c r="J53" s="109">
        <f>IF(ISNA(VLOOKUP($B53,'[1]MENGENLS1 19-07-2000'!$AM$7:$AN$38,2,0)),0,VLOOKUP($B53,'[1]MENGENLS1 19-07-2000'!$AM$7:$AN$38,2,0))</f>
        <v>0</v>
      </c>
      <c r="K53" s="109">
        <f>IF(ISNA(VLOOKUP($B53,'[1]MENGENLS1 19-07-2000'!$AP$7:$AQ$12,2,0)),0,VLOOKUP($B53,'[1]MENGENLS1 19-07-2000'!$AP$7:$AQ$12,2,0))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">
      <c r="B54" s="107">
        <f t="shared" si="3"/>
        <v>38292</v>
      </c>
      <c r="C54" s="108">
        <f>IF(ISNA(VLOOKUP($B54,'[1]MENGENLS1 19-07-2000'!$R$7:$S$71,2,0)),0,VLOOKUP($B54,'[1]MENGENLS1 19-07-2000'!$R$7:$S$71,2,0))</f>
        <v>0</v>
      </c>
      <c r="D54" s="109">
        <f>IF(ISNA(VLOOKUP($B54,'[1]MENGENLS1 19-07-2000'!$U$7:$V$60,2,0)),0,VLOOKUP($B54,'[1]MENGENLS1 19-07-2000'!$U$7:$V$60,2,0))</f>
        <v>-25</v>
      </c>
      <c r="E54" s="109">
        <f>IF(ISNA(VLOOKUP($B54,'[1]MENGENLS1 19-07-2000'!$X$7:$Y$27,2,0)),0,VLOOKUP($B54,'[1]MENGENLS1 19-07-2000'!$X$7:$Y$27,2,0))</f>
        <v>0</v>
      </c>
      <c r="F54" s="109">
        <f>IF(ISNA(VLOOKUP($B54,'[1]MENGENLS1 19-07-2000'!$AA$7:$AB$35,2,0)),0,VLOOKUP($B54,'[1]MENGENLS1 19-07-2000'!$AA$7:$AB$35,2,0))</f>
        <v>0</v>
      </c>
      <c r="G54" s="109">
        <f>IF(ISNA(VLOOKUP($B54,'[1]MENGENLS1 19-07-2000'!$AD$7:$AE$38,2,0)),0,VLOOKUP($B54,'[1]MENGENLS1 19-07-2000'!$AD$7:$AE$38,2,0))</f>
        <v>0</v>
      </c>
      <c r="H54" s="109">
        <f>IF(ISNA(VLOOKUP($B54,'[1]MENGENLS1 19-07-2000'!$AG$7:$AH$20,2,0)),0,VLOOKUP($B54,'[1]MENGENLS1 19-07-2000'!$AG$7:$AH$20,2,0))</f>
        <v>0</v>
      </c>
      <c r="I54" s="109">
        <f>IF(ISNA(VLOOKUP($B54,'[1]MENGENLS1 19-07-2000'!$AJ$7:$AK$38,2,0)),0,VLOOKUP($B54,'[1]MENGENLS1 19-07-2000'!$AJ$7:$AK$38,2,0))</f>
        <v>0</v>
      </c>
      <c r="J54" s="109">
        <f>IF(ISNA(VLOOKUP($B54,'[1]MENGENLS1 19-07-2000'!$AM$7:$AN$38,2,0)),0,VLOOKUP($B54,'[1]MENGENLS1 19-07-2000'!$AM$7:$AN$38,2,0))</f>
        <v>0</v>
      </c>
      <c r="K54" s="109">
        <f>IF(ISNA(VLOOKUP($B54,'[1]MENGENLS1 19-07-2000'!$AP$7:$AQ$12,2,0)),0,VLOOKUP($B54,'[1]MENGENLS1 19-07-2000'!$AP$7:$AQ$12,2,0))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">
      <c r="B55" s="107">
        <f t="shared" si="3"/>
        <v>38322</v>
      </c>
      <c r="C55" s="108">
        <f>IF(ISNA(VLOOKUP($B55,'[1]MENGENLS1 19-07-2000'!$R$7:$S$71,2,0)),0,VLOOKUP($B55,'[1]MENGENLS1 19-07-2000'!$R$7:$S$71,2,0))</f>
        <v>-15025</v>
      </c>
      <c r="D55" s="109">
        <f>IF(ISNA(VLOOKUP($B55,'[1]MENGENLS1 19-07-2000'!$U$7:$V$60,2,0)),0,VLOOKUP($B55,'[1]MENGENLS1 19-07-2000'!$U$7:$V$60,2,0))</f>
        <v>-25</v>
      </c>
      <c r="E55" s="109">
        <f>IF(ISNA(VLOOKUP($B55,'[1]MENGENLS1 19-07-2000'!$X$7:$Y$27,2,0)),0,VLOOKUP($B55,'[1]MENGENLS1 19-07-2000'!$X$7:$Y$27,2,0))</f>
        <v>0</v>
      </c>
      <c r="F55" s="109">
        <f>IF(ISNA(VLOOKUP($B55,'[1]MENGENLS1 19-07-2000'!$AA$7:$AB$35,2,0)),0,VLOOKUP($B55,'[1]MENGENLS1 19-07-2000'!$AA$7:$AB$35,2,0))</f>
        <v>0</v>
      </c>
      <c r="G55" s="109">
        <f>IF(ISNA(VLOOKUP($B55,'[1]MENGENLS1 19-07-2000'!$AD$7:$AE$38,2,0)),0,VLOOKUP($B55,'[1]MENGENLS1 19-07-2000'!$AD$7:$AE$38,2,0))</f>
        <v>0</v>
      </c>
      <c r="H55" s="109">
        <f>IF(ISNA(VLOOKUP($B55,'[1]MENGENLS1 19-07-2000'!$AG$7:$AH$20,2,0)),0,VLOOKUP($B55,'[1]MENGENLS1 19-07-2000'!$AG$7:$AH$20,2,0))</f>
        <v>0</v>
      </c>
      <c r="I55" s="109">
        <f>IF(ISNA(VLOOKUP($B55,'[1]MENGENLS1 19-07-2000'!$AJ$7:$AK$38,2,0)),0,VLOOKUP($B55,'[1]MENGENLS1 19-07-2000'!$AJ$7:$AK$38,2,0))</f>
        <v>0</v>
      </c>
      <c r="J55" s="109">
        <f>IF(ISNA(VLOOKUP($B55,'[1]MENGENLS1 19-07-2000'!$AM$7:$AN$38,2,0)),0,VLOOKUP($B55,'[1]MENGENLS1 19-07-2000'!$AM$7:$AN$38,2,0))</f>
        <v>0</v>
      </c>
      <c r="K55" s="109">
        <f>IF(ISNA(VLOOKUP($B55,'[1]MENGENLS1 19-07-2000'!$AP$7:$AQ$12,2,0)),0,VLOOKUP($B55,'[1]MENGENLS1 19-07-2000'!$AP$7:$AQ$12,2,0))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">
      <c r="B56" s="107">
        <f t="shared" si="3"/>
        <v>38353</v>
      </c>
      <c r="C56" s="108">
        <f>IF(ISNA(VLOOKUP($B56,'[1]MENGENLS1 19-07-2000'!$R$7:$S$71,2,0)),0,VLOOKUP($B56,'[1]MENGENLS1 19-07-2000'!$R$7:$S$71,2,0))</f>
        <v>0</v>
      </c>
      <c r="D56" s="109">
        <f>IF(ISNA(VLOOKUP($B56,'[1]MENGENLS1 19-07-2000'!$U$7:$V$60,2,0)),0,VLOOKUP($B56,'[1]MENGENLS1 19-07-2000'!$U$7:$V$60,2,0))</f>
        <v>0</v>
      </c>
      <c r="E56" s="109">
        <f>IF(ISNA(VLOOKUP($B56,'[1]MENGENLS1 19-07-2000'!$X$7:$Y$27,2,0)),0,VLOOKUP($B56,'[1]MENGENLS1 19-07-2000'!$X$7:$Y$27,2,0))</f>
        <v>0</v>
      </c>
      <c r="F56" s="109">
        <f>IF(ISNA(VLOOKUP($B56,'[1]MENGENLS1 19-07-2000'!$AA$7:$AB$35,2,0)),0,VLOOKUP($B56,'[1]MENGENLS1 19-07-2000'!$AA$7:$AB$35,2,0))</f>
        <v>0</v>
      </c>
      <c r="G56" s="109">
        <f>IF(ISNA(VLOOKUP($B56,'[1]MENGENLS1 19-07-2000'!$AD$7:$AE$38,2,0)),0,VLOOKUP($B56,'[1]MENGENLS1 19-07-2000'!$AD$7:$AE$38,2,0))</f>
        <v>0</v>
      </c>
      <c r="H56" s="109">
        <f>IF(ISNA(VLOOKUP($B56,'[1]MENGENLS1 19-07-2000'!$AG$7:$AH$20,2,0)),0,VLOOKUP($B56,'[1]MENGENLS1 19-07-2000'!$AG$7:$AH$20,2,0))</f>
        <v>0</v>
      </c>
      <c r="I56" s="109">
        <f>IF(ISNA(VLOOKUP($B56,'[1]MENGENLS1 19-07-2000'!$AJ$7:$AK$38,2,0)),0,VLOOKUP($B56,'[1]MENGENLS1 19-07-2000'!$AJ$7:$AK$38,2,0))</f>
        <v>0</v>
      </c>
      <c r="J56" s="109">
        <f>IF(ISNA(VLOOKUP($B56,'[1]MENGENLS1 19-07-2000'!$AM$7:$AN$38,2,0)),0,VLOOKUP($B56,'[1]MENGENLS1 19-07-2000'!$AM$7:$AN$38,2,0))</f>
        <v>0</v>
      </c>
      <c r="K56" s="109">
        <f>IF(ISNA(VLOOKUP($B56,'[1]MENGENLS1 19-07-2000'!$AP$7:$AQ$12,2,0)),0,VLOOKUP($B56,'[1]MENGENLS1 19-07-2000'!$AP$7:$AQ$12,2,0))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">
      <c r="B57" s="107">
        <f t="shared" si="3"/>
        <v>38384</v>
      </c>
      <c r="C57" s="108">
        <f>IF(ISNA(VLOOKUP($B57,'[1]MENGENLS1 19-07-2000'!$R$7:$S$71,2,0)),0,VLOOKUP($B57,'[1]MENGENLS1 19-07-2000'!$R$7:$S$71,2,0))</f>
        <v>-25</v>
      </c>
      <c r="D57" s="109">
        <f>IF(ISNA(VLOOKUP($B57,'[1]MENGENLS1 19-07-2000'!$U$7:$V$60,2,0)),0,VLOOKUP($B57,'[1]MENGENLS1 19-07-2000'!$U$7:$V$60,2,0))</f>
        <v>0</v>
      </c>
      <c r="E57" s="109">
        <f>IF(ISNA(VLOOKUP($B57,'[1]MENGENLS1 19-07-2000'!$X$7:$Y$27,2,0)),0,VLOOKUP($B57,'[1]MENGENLS1 19-07-2000'!$X$7:$Y$27,2,0))</f>
        <v>0</v>
      </c>
      <c r="F57" s="109">
        <f>IF(ISNA(VLOOKUP($B57,'[1]MENGENLS1 19-07-2000'!$AA$7:$AB$35,2,0)),0,VLOOKUP($B57,'[1]MENGENLS1 19-07-2000'!$AA$7:$AB$35,2,0))</f>
        <v>0</v>
      </c>
      <c r="G57" s="109">
        <f>IF(ISNA(VLOOKUP($B57,'[1]MENGENLS1 19-07-2000'!$AD$7:$AE$38,2,0)),0,VLOOKUP($B57,'[1]MENGENLS1 19-07-2000'!$AD$7:$AE$38,2,0))</f>
        <v>0</v>
      </c>
      <c r="H57" s="109">
        <f>IF(ISNA(VLOOKUP($B57,'[1]MENGENLS1 19-07-2000'!$AG$7:$AH$20,2,0)),0,VLOOKUP($B57,'[1]MENGENLS1 19-07-2000'!$AG$7:$AH$20,2,0))</f>
        <v>0</v>
      </c>
      <c r="I57" s="109">
        <f>IF(ISNA(VLOOKUP($B57,'[1]MENGENLS1 19-07-2000'!$AJ$7:$AK$38,2,0)),0,VLOOKUP($B57,'[1]MENGENLS1 19-07-2000'!$AJ$7:$AK$38,2,0))</f>
        <v>0</v>
      </c>
      <c r="J57" s="109">
        <f>IF(ISNA(VLOOKUP($B57,'[1]MENGENLS1 19-07-2000'!$AM$7:$AN$38,2,0)),0,VLOOKUP($B57,'[1]MENGENLS1 19-07-2000'!$AM$7:$AN$38,2,0))</f>
        <v>0</v>
      </c>
      <c r="K57" s="109">
        <f>IF(ISNA(VLOOKUP($B57,'[1]MENGENLS1 19-07-2000'!$AP$7:$AQ$12,2,0)),0,VLOOKUP($B57,'[1]MENGENLS1 19-07-2000'!$AP$7:$AQ$12,2,0))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">
      <c r="B58" s="107">
        <f t="shared" si="3"/>
        <v>38412</v>
      </c>
      <c r="C58" s="108">
        <f>IF(ISNA(VLOOKUP($B58,'[1]MENGENLS1 19-07-2000'!$R$7:$S$71,2,0)),0,VLOOKUP($B58,'[1]MENGENLS1 19-07-2000'!$R$7:$S$71,2,0))</f>
        <v>0</v>
      </c>
      <c r="D58" s="109">
        <f>IF(ISNA(VLOOKUP($B58,'[1]MENGENLS1 19-07-2000'!$U$7:$V$60,2,0)),0,VLOOKUP($B58,'[1]MENGENLS1 19-07-2000'!$U$7:$V$60,2,0))</f>
        <v>0</v>
      </c>
      <c r="E58" s="109">
        <f>IF(ISNA(VLOOKUP($B58,'[1]MENGENLS1 19-07-2000'!$X$7:$Y$27,2,0)),0,VLOOKUP($B58,'[1]MENGENLS1 19-07-2000'!$X$7:$Y$27,2,0))</f>
        <v>0</v>
      </c>
      <c r="F58" s="109">
        <f>IF(ISNA(VLOOKUP($B58,'[1]MENGENLS1 19-07-2000'!$AA$7:$AB$35,2,0)),0,VLOOKUP($B58,'[1]MENGENLS1 19-07-2000'!$AA$7:$AB$35,2,0))</f>
        <v>0</v>
      </c>
      <c r="G58" s="109">
        <f>IF(ISNA(VLOOKUP($B58,'[1]MENGENLS1 19-07-2000'!$AD$7:$AE$38,2,0)),0,VLOOKUP($B58,'[1]MENGENLS1 19-07-2000'!$AD$7:$AE$38,2,0))</f>
        <v>0</v>
      </c>
      <c r="H58" s="109">
        <f>IF(ISNA(VLOOKUP($B58,'[1]MENGENLS1 19-07-2000'!$AG$7:$AH$20,2,0)),0,VLOOKUP($B58,'[1]MENGENLS1 19-07-2000'!$AG$7:$AH$20,2,0))</f>
        <v>0</v>
      </c>
      <c r="I58" s="109">
        <f>IF(ISNA(VLOOKUP($B58,'[1]MENGENLS1 19-07-2000'!$AJ$7:$AK$38,2,0)),0,VLOOKUP($B58,'[1]MENGENLS1 19-07-2000'!$AJ$7:$AK$38,2,0))</f>
        <v>0</v>
      </c>
      <c r="J58" s="109">
        <f>IF(ISNA(VLOOKUP($B58,'[1]MENGENLS1 19-07-2000'!$AM$7:$AN$38,2,0)),0,VLOOKUP($B58,'[1]MENGENLS1 19-07-2000'!$AM$7:$AN$38,2,0))</f>
        <v>0</v>
      </c>
      <c r="K58" s="109">
        <f>IF(ISNA(VLOOKUP($B58,'[1]MENGENLS1 19-07-2000'!$AP$7:$AQ$12,2,0)),0,VLOOKUP($B58,'[1]MENGENLS1 19-07-2000'!$AP$7:$AQ$12,2,0))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">
      <c r="B59" s="107">
        <f t="shared" si="3"/>
        <v>38443</v>
      </c>
      <c r="C59" s="108">
        <f>IF(ISNA(VLOOKUP($B59,'[1]MENGENLS1 19-07-2000'!$R$7:$S$71,2,0)),0,VLOOKUP($B59,'[1]MENGENLS1 19-07-2000'!$R$7:$S$71,2,0))</f>
        <v>-25</v>
      </c>
      <c r="D59" s="109">
        <f>IF(ISNA(VLOOKUP($B59,'[1]MENGENLS1 19-07-2000'!$U$7:$V$60,2,0)),0,VLOOKUP($B59,'[1]MENGENLS1 19-07-2000'!$U$7:$V$60,2,0))</f>
        <v>0</v>
      </c>
      <c r="E59" s="109">
        <f>IF(ISNA(VLOOKUP($B59,'[1]MENGENLS1 19-07-2000'!$X$7:$Y$27,2,0)),0,VLOOKUP($B59,'[1]MENGENLS1 19-07-2000'!$X$7:$Y$27,2,0))</f>
        <v>0</v>
      </c>
      <c r="F59" s="109">
        <f>IF(ISNA(VLOOKUP($B59,'[1]MENGENLS1 19-07-2000'!$AA$7:$AB$35,2,0)),0,VLOOKUP($B59,'[1]MENGENLS1 19-07-2000'!$AA$7:$AB$35,2,0))</f>
        <v>0</v>
      </c>
      <c r="G59" s="109">
        <f>IF(ISNA(VLOOKUP($B59,'[1]MENGENLS1 19-07-2000'!$AD$7:$AE$38,2,0)),0,VLOOKUP($B59,'[1]MENGENLS1 19-07-2000'!$AD$7:$AE$38,2,0))</f>
        <v>0</v>
      </c>
      <c r="H59" s="109">
        <f>IF(ISNA(VLOOKUP($B59,'[1]MENGENLS1 19-07-2000'!$AG$7:$AH$20,2,0)),0,VLOOKUP($B59,'[1]MENGENLS1 19-07-2000'!$AG$7:$AH$20,2,0))</f>
        <v>0</v>
      </c>
      <c r="I59" s="109">
        <f>IF(ISNA(VLOOKUP($B59,'[1]MENGENLS1 19-07-2000'!$AJ$7:$AK$38,2,0)),0,VLOOKUP($B59,'[1]MENGENLS1 19-07-2000'!$AJ$7:$AK$38,2,0))</f>
        <v>0</v>
      </c>
      <c r="J59" s="109">
        <f>IF(ISNA(VLOOKUP($B59,'[1]MENGENLS1 19-07-2000'!$AM$7:$AN$38,2,0)),0,VLOOKUP($B59,'[1]MENGENLS1 19-07-2000'!$AM$7:$AN$38,2,0))</f>
        <v>0</v>
      </c>
      <c r="K59" s="109">
        <f>IF(ISNA(VLOOKUP($B59,'[1]MENGENLS1 19-07-2000'!$AP$7:$AQ$12,2,0)),0,VLOOKUP($B59,'[1]MENGENLS1 19-07-2000'!$AP$7:$AQ$12,2,0))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">
      <c r="B60" s="107">
        <f t="shared" si="3"/>
        <v>38473</v>
      </c>
      <c r="C60" s="108">
        <f>IF(ISNA(VLOOKUP($B60,'[1]MENGENLS1 19-07-2000'!$R$7:$S$71,2,0)),0,VLOOKUP($B60,'[1]MENGENLS1 19-07-2000'!$R$7:$S$71,2,0))</f>
        <v>0</v>
      </c>
      <c r="D60" s="109">
        <f>IF(ISNA(VLOOKUP($B60,'[1]MENGENLS1 19-07-2000'!$U$7:$V$60,2,0)),0,VLOOKUP($B60,'[1]MENGENLS1 19-07-2000'!$U$7:$V$60,2,0))</f>
        <v>0</v>
      </c>
      <c r="E60" s="109">
        <f>IF(ISNA(VLOOKUP($B60,'[1]MENGENLS1 19-07-2000'!$X$7:$Y$27,2,0)),0,VLOOKUP($B60,'[1]MENGENLS1 19-07-2000'!$X$7:$Y$27,2,0))</f>
        <v>0</v>
      </c>
      <c r="F60" s="109">
        <f>IF(ISNA(VLOOKUP($B60,'[1]MENGENLS1 19-07-2000'!$AA$7:$AB$35,2,0)),0,VLOOKUP($B60,'[1]MENGENLS1 19-07-2000'!$AA$7:$AB$35,2,0))</f>
        <v>0</v>
      </c>
      <c r="G60" s="109">
        <f>IF(ISNA(VLOOKUP($B60,'[1]MENGENLS1 19-07-2000'!$AD$7:$AE$38,2,0)),0,VLOOKUP($B60,'[1]MENGENLS1 19-07-2000'!$AD$7:$AE$38,2,0))</f>
        <v>0</v>
      </c>
      <c r="H60" s="109">
        <f>IF(ISNA(VLOOKUP($B60,'[1]MENGENLS1 19-07-2000'!$AG$7:$AH$20,2,0)),0,VLOOKUP($B60,'[1]MENGENLS1 19-07-2000'!$AG$7:$AH$20,2,0))</f>
        <v>0</v>
      </c>
      <c r="I60" s="109">
        <f>IF(ISNA(VLOOKUP($B60,'[1]MENGENLS1 19-07-2000'!$AJ$7:$AK$38,2,0)),0,VLOOKUP($B60,'[1]MENGENLS1 19-07-2000'!$AJ$7:$AK$38,2,0))</f>
        <v>0</v>
      </c>
      <c r="J60" s="109">
        <f>IF(ISNA(VLOOKUP($B60,'[1]MENGENLS1 19-07-2000'!$AM$7:$AN$38,2,0)),0,VLOOKUP($B60,'[1]MENGENLS1 19-07-2000'!$AM$7:$AN$38,2,0))</f>
        <v>0</v>
      </c>
      <c r="K60" s="109">
        <f>IF(ISNA(VLOOKUP($B60,'[1]MENGENLS1 19-07-2000'!$AP$7:$AQ$12,2,0)),0,VLOOKUP($B60,'[1]MENGENLS1 19-07-2000'!$AP$7:$AQ$12,2,0))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">
      <c r="B61" s="107">
        <f t="shared" si="3"/>
        <v>38504</v>
      </c>
      <c r="C61" s="108">
        <f>IF(ISNA(VLOOKUP($B61,'[1]MENGENLS1 19-07-2000'!$R$7:$S$71,2,0)),0,VLOOKUP($B61,'[1]MENGENLS1 19-07-2000'!$R$7:$S$71,2,0))</f>
        <v>-25</v>
      </c>
      <c r="D61" s="109">
        <f>IF(ISNA(VLOOKUP($B61,'[1]MENGENLS1 19-07-2000'!$U$7:$V$60,2,0)),0,VLOOKUP($B61,'[1]MENGENLS1 19-07-2000'!$U$7:$V$60,2,0))</f>
        <v>0</v>
      </c>
      <c r="E61" s="109">
        <f>IF(ISNA(VLOOKUP($B61,'[1]MENGENLS1 19-07-2000'!$X$7:$Y$27,2,0)),0,VLOOKUP($B61,'[1]MENGENLS1 19-07-2000'!$X$7:$Y$27,2,0))</f>
        <v>0</v>
      </c>
      <c r="F61" s="109">
        <f>IF(ISNA(VLOOKUP($B61,'[1]MENGENLS1 19-07-2000'!$AA$7:$AB$35,2,0)),0,VLOOKUP($B61,'[1]MENGENLS1 19-07-2000'!$AA$7:$AB$35,2,0))</f>
        <v>0</v>
      </c>
      <c r="G61" s="109">
        <f>IF(ISNA(VLOOKUP($B61,'[1]MENGENLS1 19-07-2000'!$AD$7:$AE$38,2,0)),0,VLOOKUP($B61,'[1]MENGENLS1 19-07-2000'!$AD$7:$AE$38,2,0))</f>
        <v>0</v>
      </c>
      <c r="H61" s="109">
        <f>IF(ISNA(VLOOKUP($B61,'[1]MENGENLS1 19-07-2000'!$AG$7:$AH$20,2,0)),0,VLOOKUP($B61,'[1]MENGENLS1 19-07-2000'!$AG$7:$AH$20,2,0))</f>
        <v>0</v>
      </c>
      <c r="I61" s="109">
        <f>IF(ISNA(VLOOKUP($B61,'[1]MENGENLS1 19-07-2000'!$AJ$7:$AK$38,2,0)),0,VLOOKUP($B61,'[1]MENGENLS1 19-07-2000'!$AJ$7:$AK$38,2,0))</f>
        <v>0</v>
      </c>
      <c r="J61" s="109">
        <f>IF(ISNA(VLOOKUP($B61,'[1]MENGENLS1 19-07-2000'!$AM$7:$AN$38,2,0)),0,VLOOKUP($B61,'[1]MENGENLS1 19-07-2000'!$AM$7:$AN$38,2,0))</f>
        <v>0</v>
      </c>
      <c r="K61" s="109">
        <f>IF(ISNA(VLOOKUP($B61,'[1]MENGENLS1 19-07-2000'!$AP$7:$AQ$12,2,0)),0,VLOOKUP($B61,'[1]MENGENLS1 19-07-2000'!$AP$7:$AQ$12,2,0))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">
      <c r="B62" s="107">
        <f t="shared" si="3"/>
        <v>38534</v>
      </c>
      <c r="C62" s="108">
        <f>IF(ISNA(VLOOKUP($B62,'[1]MENGENLS1 19-07-2000'!$R$7:$S$71,2,0)),0,VLOOKUP($B62,'[1]MENGENLS1 19-07-2000'!$R$7:$S$71,2,0))</f>
        <v>0</v>
      </c>
      <c r="D62" s="109">
        <f>IF(ISNA(VLOOKUP($B62,'[1]MENGENLS1 19-07-2000'!$U$7:$V$60,2,0)),0,VLOOKUP($B62,'[1]MENGENLS1 19-07-2000'!$U$7:$V$60,2,0))</f>
        <v>0</v>
      </c>
      <c r="E62" s="109">
        <f>IF(ISNA(VLOOKUP($B62,'[1]MENGENLS1 19-07-2000'!$X$7:$Y$27,2,0)),0,VLOOKUP($B62,'[1]MENGENLS1 19-07-2000'!$X$7:$Y$27,2,0))</f>
        <v>0</v>
      </c>
      <c r="F62" s="109">
        <f>IF(ISNA(VLOOKUP($B62,'[1]MENGENLS1 19-07-2000'!$AA$7:$AB$35,2,0)),0,VLOOKUP($B62,'[1]MENGENLS1 19-07-2000'!$AA$7:$AB$35,2,0))</f>
        <v>0</v>
      </c>
      <c r="G62" s="109">
        <f>IF(ISNA(VLOOKUP($B62,'[1]MENGENLS1 19-07-2000'!$AD$7:$AE$38,2,0)),0,VLOOKUP($B62,'[1]MENGENLS1 19-07-2000'!$AD$7:$AE$38,2,0))</f>
        <v>0</v>
      </c>
      <c r="H62" s="109">
        <f>IF(ISNA(VLOOKUP($B62,'[1]MENGENLS1 19-07-2000'!$AG$7:$AH$20,2,0)),0,VLOOKUP($B62,'[1]MENGENLS1 19-07-2000'!$AG$7:$AH$20,2,0))</f>
        <v>0</v>
      </c>
      <c r="I62" s="109">
        <f>IF(ISNA(VLOOKUP($B62,'[1]MENGENLS1 19-07-2000'!$AJ$7:$AK$38,2,0)),0,VLOOKUP($B62,'[1]MENGENLS1 19-07-2000'!$AJ$7:$AK$38,2,0))</f>
        <v>0</v>
      </c>
      <c r="J62" s="109">
        <f>IF(ISNA(VLOOKUP($B62,'[1]MENGENLS1 19-07-2000'!$AM$7:$AN$38,2,0)),0,VLOOKUP($B62,'[1]MENGENLS1 19-07-2000'!$AM$7:$AN$38,2,0))</f>
        <v>0</v>
      </c>
      <c r="K62" s="109">
        <f>IF(ISNA(VLOOKUP($B62,'[1]MENGENLS1 19-07-2000'!$AP$7:$AQ$12,2,0)),0,VLOOKUP($B62,'[1]MENGENLS1 19-07-2000'!$AP$7:$AQ$12,2,0))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">
      <c r="B63" s="107">
        <f t="shared" si="3"/>
        <v>38565</v>
      </c>
      <c r="C63" s="108">
        <f>IF(ISNA(VLOOKUP($B63,'[1]MENGENLS1 19-07-2000'!$R$7:$S$71,2,0)),0,VLOOKUP($B63,'[1]MENGENLS1 19-07-2000'!$R$7:$S$71,2,0))</f>
        <v>-25</v>
      </c>
      <c r="D63" s="109">
        <f>IF(ISNA(VLOOKUP($B63,'[1]MENGENLS1 19-07-2000'!$U$7:$V$60,2,0)),0,VLOOKUP($B63,'[1]MENGENLS1 19-07-2000'!$U$7:$V$60,2,0))</f>
        <v>0</v>
      </c>
      <c r="E63" s="109">
        <f>IF(ISNA(VLOOKUP($B63,'[1]MENGENLS1 19-07-2000'!$X$7:$Y$27,2,0)),0,VLOOKUP($B63,'[1]MENGENLS1 19-07-2000'!$X$7:$Y$27,2,0))</f>
        <v>0</v>
      </c>
      <c r="F63" s="109">
        <f>IF(ISNA(VLOOKUP($B63,'[1]MENGENLS1 19-07-2000'!$AA$7:$AB$35,2,0)),0,VLOOKUP($B63,'[1]MENGENLS1 19-07-2000'!$AA$7:$AB$35,2,0))</f>
        <v>0</v>
      </c>
      <c r="G63" s="109">
        <f>IF(ISNA(VLOOKUP($B63,'[1]MENGENLS1 19-07-2000'!$AD$7:$AE$38,2,0)),0,VLOOKUP($B63,'[1]MENGENLS1 19-07-2000'!$AD$7:$AE$38,2,0))</f>
        <v>0</v>
      </c>
      <c r="H63" s="109">
        <f>IF(ISNA(VLOOKUP($B63,'[1]MENGENLS1 19-07-2000'!$AG$7:$AH$20,2,0)),0,VLOOKUP($B63,'[1]MENGENLS1 19-07-2000'!$AG$7:$AH$20,2,0))</f>
        <v>0</v>
      </c>
      <c r="I63" s="109">
        <f>IF(ISNA(VLOOKUP($B63,'[1]MENGENLS1 19-07-2000'!$AJ$7:$AK$38,2,0)),0,VLOOKUP($B63,'[1]MENGENLS1 19-07-2000'!$AJ$7:$AK$38,2,0))</f>
        <v>0</v>
      </c>
      <c r="J63" s="109">
        <f>IF(ISNA(VLOOKUP($B63,'[1]MENGENLS1 19-07-2000'!$AM$7:$AN$38,2,0)),0,VLOOKUP($B63,'[1]MENGENLS1 19-07-2000'!$AM$7:$AN$38,2,0))</f>
        <v>0</v>
      </c>
      <c r="K63" s="109">
        <f>IF(ISNA(VLOOKUP($B63,'[1]MENGENLS1 19-07-2000'!$AP$7:$AQ$12,2,0)),0,VLOOKUP($B63,'[1]MENGENLS1 19-07-2000'!$AP$7:$AQ$12,2,0))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">
      <c r="B64" s="107">
        <f t="shared" si="3"/>
        <v>38596</v>
      </c>
      <c r="C64" s="108">
        <f>IF(ISNA(VLOOKUP($B64,'[1]MENGENLS1 19-07-2000'!$R$7:$S$71,2,0)),0,VLOOKUP($B64,'[1]MENGENLS1 19-07-2000'!$R$7:$S$71,2,0))</f>
        <v>0</v>
      </c>
      <c r="D64" s="109">
        <f>IF(ISNA(VLOOKUP($B64,'[1]MENGENLS1 19-07-2000'!$U$7:$V$60,2,0)),0,VLOOKUP($B64,'[1]MENGENLS1 19-07-2000'!$U$7:$V$60,2,0))</f>
        <v>0</v>
      </c>
      <c r="E64" s="109">
        <f>IF(ISNA(VLOOKUP($B64,'[1]MENGENLS1 19-07-2000'!$X$7:$Y$27,2,0)),0,VLOOKUP($B64,'[1]MENGENLS1 19-07-2000'!$X$7:$Y$27,2,0))</f>
        <v>0</v>
      </c>
      <c r="F64" s="109">
        <f>IF(ISNA(VLOOKUP($B64,'[1]MENGENLS1 19-07-2000'!$AA$7:$AB$35,2,0)),0,VLOOKUP($B64,'[1]MENGENLS1 19-07-2000'!$AA$7:$AB$35,2,0))</f>
        <v>0</v>
      </c>
      <c r="G64" s="109">
        <f>IF(ISNA(VLOOKUP($B64,'[1]MENGENLS1 19-07-2000'!$AD$7:$AE$38,2,0)),0,VLOOKUP($B64,'[1]MENGENLS1 19-07-2000'!$AD$7:$AE$38,2,0))</f>
        <v>0</v>
      </c>
      <c r="H64" s="109">
        <f>IF(ISNA(VLOOKUP($B64,'[1]MENGENLS1 19-07-2000'!$AG$7:$AH$20,2,0)),0,VLOOKUP($B64,'[1]MENGENLS1 19-07-2000'!$AG$7:$AH$20,2,0))</f>
        <v>0</v>
      </c>
      <c r="I64" s="109">
        <f>IF(ISNA(VLOOKUP($B64,'[1]MENGENLS1 19-07-2000'!$AJ$7:$AK$38,2,0)),0,VLOOKUP($B64,'[1]MENGENLS1 19-07-2000'!$AJ$7:$AK$38,2,0))</f>
        <v>0</v>
      </c>
      <c r="J64" s="109">
        <f>IF(ISNA(VLOOKUP($B64,'[1]MENGENLS1 19-07-2000'!$AM$7:$AN$38,2,0)),0,VLOOKUP($B64,'[1]MENGENLS1 19-07-2000'!$AM$7:$AN$38,2,0))</f>
        <v>0</v>
      </c>
      <c r="K64" s="109">
        <f>IF(ISNA(VLOOKUP($B64,'[1]MENGENLS1 19-07-2000'!$AP$7:$AQ$12,2,0)),0,VLOOKUP($B64,'[1]MENGENLS1 19-07-2000'!$AP$7:$AQ$12,2,0))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">
      <c r="B65" s="107">
        <f t="shared" si="3"/>
        <v>38626</v>
      </c>
      <c r="C65" s="108">
        <f>IF(ISNA(VLOOKUP($B65,'[1]MENGENLS1 19-07-2000'!$R$7:$S$71,2,0)),0,VLOOKUP($B65,'[1]MENGENLS1 19-07-2000'!$R$7:$S$71,2,0))</f>
        <v>-25</v>
      </c>
      <c r="D65" s="109">
        <f>IF(ISNA(VLOOKUP($B65,'[1]MENGENLS1 19-07-2000'!$U$7:$V$60,2,0)),0,VLOOKUP($B65,'[1]MENGENLS1 19-07-2000'!$U$7:$V$60,2,0))</f>
        <v>0</v>
      </c>
      <c r="E65" s="109">
        <f>IF(ISNA(VLOOKUP($B65,'[1]MENGENLS1 19-07-2000'!$X$7:$Y$27,2,0)),0,VLOOKUP($B65,'[1]MENGENLS1 19-07-2000'!$X$7:$Y$27,2,0))</f>
        <v>0</v>
      </c>
      <c r="F65" s="109">
        <f>IF(ISNA(VLOOKUP($B65,'[1]MENGENLS1 19-07-2000'!$AA$7:$AB$35,2,0)),0,VLOOKUP($B65,'[1]MENGENLS1 19-07-2000'!$AA$7:$AB$35,2,0))</f>
        <v>0</v>
      </c>
      <c r="G65" s="109">
        <f>IF(ISNA(VLOOKUP($B65,'[1]MENGENLS1 19-07-2000'!$AD$7:$AE$38,2,0)),0,VLOOKUP($B65,'[1]MENGENLS1 19-07-2000'!$AD$7:$AE$38,2,0))</f>
        <v>0</v>
      </c>
      <c r="H65" s="109">
        <f>IF(ISNA(VLOOKUP($B65,'[1]MENGENLS1 19-07-2000'!$AG$7:$AH$20,2,0)),0,VLOOKUP($B65,'[1]MENGENLS1 19-07-2000'!$AG$7:$AH$20,2,0))</f>
        <v>0</v>
      </c>
      <c r="I65" s="109">
        <f>IF(ISNA(VLOOKUP($B65,'[1]MENGENLS1 19-07-2000'!$AJ$7:$AK$38,2,0)),0,VLOOKUP($B65,'[1]MENGENLS1 19-07-2000'!$AJ$7:$AK$38,2,0))</f>
        <v>0</v>
      </c>
      <c r="J65" s="109">
        <f>IF(ISNA(VLOOKUP($B65,'[1]MENGENLS1 19-07-2000'!$AM$7:$AN$38,2,0)),0,VLOOKUP($B65,'[1]MENGENLS1 19-07-2000'!$AM$7:$AN$38,2,0))</f>
        <v>0</v>
      </c>
      <c r="K65" s="109">
        <f>IF(ISNA(VLOOKUP($B65,'[1]MENGENLS1 19-07-2000'!$AP$7:$AQ$12,2,0)),0,VLOOKUP($B65,'[1]MENGENLS1 19-07-2000'!$AP$7:$AQ$12,2,0))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">
      <c r="B66" s="107">
        <f t="shared" si="3"/>
        <v>38657</v>
      </c>
      <c r="C66" s="108">
        <f>IF(ISNA(VLOOKUP($B66,'[1]MENGENLS1 19-07-2000'!$R$7:$S$71,2,0)),0,VLOOKUP($B66,'[1]MENGENLS1 19-07-2000'!$R$7:$S$71,2,0))</f>
        <v>0</v>
      </c>
      <c r="D66" s="109">
        <f>IF(ISNA(VLOOKUP($B66,'[1]MENGENLS1 19-07-2000'!$U$7:$V$60,2,0)),0,VLOOKUP($B66,'[1]MENGENLS1 19-07-2000'!$U$7:$V$60,2,0))</f>
        <v>0</v>
      </c>
      <c r="E66" s="109">
        <f>IF(ISNA(VLOOKUP($B66,'[1]MENGENLS1 19-07-2000'!$X$7:$Y$27,2,0)),0,VLOOKUP($B66,'[1]MENGENLS1 19-07-2000'!$X$7:$Y$27,2,0))</f>
        <v>0</v>
      </c>
      <c r="F66" s="109">
        <f>IF(ISNA(VLOOKUP($B66,'[1]MENGENLS1 19-07-2000'!$AA$7:$AB$35,2,0)),0,VLOOKUP($B66,'[1]MENGENLS1 19-07-2000'!$AA$7:$AB$35,2,0))</f>
        <v>0</v>
      </c>
      <c r="G66" s="109">
        <f>IF(ISNA(VLOOKUP($B66,'[1]MENGENLS1 19-07-2000'!$AD$7:$AE$38,2,0)),0,VLOOKUP($B66,'[1]MENGENLS1 19-07-2000'!$AD$7:$AE$38,2,0))</f>
        <v>0</v>
      </c>
      <c r="H66" s="109">
        <f>IF(ISNA(VLOOKUP($B66,'[1]MENGENLS1 19-07-2000'!$AG$7:$AH$20,2,0)),0,VLOOKUP($B66,'[1]MENGENLS1 19-07-2000'!$AG$7:$AH$20,2,0))</f>
        <v>0</v>
      </c>
      <c r="I66" s="109">
        <f>IF(ISNA(VLOOKUP($B66,'[1]MENGENLS1 19-07-2000'!$AJ$7:$AK$38,2,0)),0,VLOOKUP($B66,'[1]MENGENLS1 19-07-2000'!$AJ$7:$AK$38,2,0))</f>
        <v>0</v>
      </c>
      <c r="J66" s="109">
        <f>IF(ISNA(VLOOKUP($B66,'[1]MENGENLS1 19-07-2000'!$AM$7:$AN$38,2,0)),0,VLOOKUP($B66,'[1]MENGENLS1 19-07-2000'!$AM$7:$AN$38,2,0))</f>
        <v>0</v>
      </c>
      <c r="K66" s="109">
        <f>IF(ISNA(VLOOKUP($B66,'[1]MENGENLS1 19-07-2000'!$AP$7:$AQ$12,2,0)),0,VLOOKUP($B66,'[1]MENGENLS1 19-07-2000'!$AP$7:$AQ$12,2,0))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">
      <c r="B67" s="107">
        <f t="shared" si="3"/>
        <v>38687</v>
      </c>
      <c r="C67" s="108">
        <f>IF(ISNA(VLOOKUP($B67,'[1]MENGENLS1 19-07-2000'!$R$7:$S$71,2,0)),0,VLOOKUP($B67,'[1]MENGENLS1 19-07-2000'!$R$7:$S$71,2,0))</f>
        <v>-25</v>
      </c>
      <c r="D67" s="109">
        <f>IF(ISNA(VLOOKUP($B67,'[1]MENGENLS1 19-07-2000'!$U$7:$V$60,2,0)),0,VLOOKUP($B67,'[1]MENGENLS1 19-07-2000'!$U$7:$V$60,2,0))</f>
        <v>0</v>
      </c>
      <c r="E67" s="109">
        <f>IF(ISNA(VLOOKUP($B67,'[1]MENGENLS1 19-07-2000'!$X$7:$Y$27,2,0)),0,VLOOKUP($B67,'[1]MENGENLS1 19-07-2000'!$X$7:$Y$27,2,0))</f>
        <v>0</v>
      </c>
      <c r="F67" s="109">
        <f>IF(ISNA(VLOOKUP($B67,'[1]MENGENLS1 19-07-2000'!$AA$7:$AB$35,2,0)),0,VLOOKUP($B67,'[1]MENGENLS1 19-07-2000'!$AA$7:$AB$35,2,0))</f>
        <v>0</v>
      </c>
      <c r="G67" s="109">
        <f>IF(ISNA(VLOOKUP($B67,'[1]MENGENLS1 19-07-2000'!$AD$7:$AE$38,2,0)),0,VLOOKUP($B67,'[1]MENGENLS1 19-07-2000'!$AD$7:$AE$38,2,0))</f>
        <v>0</v>
      </c>
      <c r="H67" s="109">
        <f>IF(ISNA(VLOOKUP($B67,'[1]MENGENLS1 19-07-2000'!$AG$7:$AH$20,2,0)),0,VLOOKUP($B67,'[1]MENGENLS1 19-07-2000'!$AG$7:$AH$20,2,0))</f>
        <v>0</v>
      </c>
      <c r="I67" s="109">
        <f>IF(ISNA(VLOOKUP($B67,'[1]MENGENLS1 19-07-2000'!$AJ$7:$AK$38,2,0)),0,VLOOKUP($B67,'[1]MENGENLS1 19-07-2000'!$AJ$7:$AK$38,2,0))</f>
        <v>0</v>
      </c>
      <c r="J67" s="109">
        <f>IF(ISNA(VLOOKUP($B67,'[1]MENGENLS1 19-07-2000'!$AM$7:$AN$38,2,0)),0,VLOOKUP($B67,'[1]MENGENLS1 19-07-2000'!$AM$7:$AN$38,2,0))</f>
        <v>0</v>
      </c>
      <c r="K67" s="109">
        <f>IF(ISNA(VLOOKUP($B67,'[1]MENGENLS1 19-07-2000'!$AP$7:$AQ$12,2,0)),0,VLOOKUP($B67,'[1]MENGENLS1 19-07-2000'!$AP$7:$AQ$12,2,0))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">
      <c r="B68" s="107">
        <f t="shared" ref="B68:B80" si="4">DATE(YEAR(B67),MONTH(B67)+1,1)</f>
        <v>38718</v>
      </c>
      <c r="C68" s="108">
        <f>IF(ISNA(VLOOKUP($B68,'[1]MENGENLS1 19-07-2000'!$R$7:$S$71,2,0)),0,VLOOKUP($B68,'[1]MENGENLS1 19-07-2000'!$R$7:$S$71,2,0))</f>
        <v>0</v>
      </c>
      <c r="D68" s="109">
        <f>IF(ISNA(VLOOKUP($B68,'[1]MENGENLS1 19-07-2000'!$U$7:$V$60,2,0)),0,VLOOKUP($B68,'[1]MENGENLS1 19-07-2000'!$U$7:$V$60,2,0))</f>
        <v>0</v>
      </c>
      <c r="E68" s="109">
        <f>IF(ISNA(VLOOKUP($B68,'[1]MENGENLS1 19-07-2000'!$X$7:$Y$27,2,0)),0,VLOOKUP($B68,'[1]MENGENLS1 19-07-2000'!$X$7:$Y$27,2,0))</f>
        <v>0</v>
      </c>
      <c r="F68" s="109">
        <f>IF(ISNA(VLOOKUP($B68,'[1]MENGENLS1 19-07-2000'!$AA$7:$AB$35,2,0)),0,VLOOKUP($B68,'[1]MENGENLS1 19-07-2000'!$AA$7:$AB$35,2,0))</f>
        <v>0</v>
      </c>
      <c r="G68" s="109">
        <f>IF(ISNA(VLOOKUP($B68,'[1]MENGENLS1 19-07-2000'!$AD$7:$AE$38,2,0)),0,VLOOKUP($B68,'[1]MENGENLS1 19-07-2000'!$AD$7:$AE$38,2,0))</f>
        <v>0</v>
      </c>
      <c r="H68" s="109">
        <f>IF(ISNA(VLOOKUP($B68,'[1]MENGENLS1 19-07-2000'!$AG$7:$AH$20,2,0)),0,VLOOKUP($B68,'[1]MENGENLS1 19-07-2000'!$AG$7:$AH$20,2,0))</f>
        <v>0</v>
      </c>
      <c r="I68" s="109">
        <f>IF(ISNA(VLOOKUP($B68,'[1]MENGENLS1 19-07-2000'!$AJ$7:$AK$38,2,0)),0,VLOOKUP($B68,'[1]MENGENLS1 19-07-2000'!$AJ$7:$AK$38,2,0))</f>
        <v>0</v>
      </c>
      <c r="J68" s="109">
        <f>IF(ISNA(VLOOKUP($B68,'[1]MENGENLS1 19-07-2000'!$AM$7:$AN$38,2,0)),0,VLOOKUP($B68,'[1]MENGENLS1 19-07-2000'!$AM$7:$AN$38,2,0))</f>
        <v>0</v>
      </c>
      <c r="K68" s="109">
        <f>IF(ISNA(VLOOKUP($B68,'[1]MENGENLS1 19-07-2000'!$AP$7:$AQ$12,2,0)),0,VLOOKUP($B68,'[1]MENGENLS1 19-07-2000'!$AP$7:$AQ$12,2,0))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">
      <c r="B69" s="107">
        <f t="shared" si="4"/>
        <v>38749</v>
      </c>
      <c r="C69" s="108">
        <f>IF(ISNA(VLOOKUP($B69,'[1]MENGENLS1 19-07-2000'!$R$7:$S$71,2,0)),0,VLOOKUP($B69,'[1]MENGENLS1 19-07-2000'!$R$7:$S$71,2,0))</f>
        <v>-25</v>
      </c>
      <c r="D69" s="109">
        <f>IF(ISNA(VLOOKUP($B69,'[1]MENGENLS1 19-07-2000'!$U$7:$V$60,2,0)),0,VLOOKUP($B69,'[1]MENGENLS1 19-07-2000'!$U$7:$V$60,2,0))</f>
        <v>0</v>
      </c>
      <c r="E69" s="109">
        <f>IF(ISNA(VLOOKUP($B69,'[1]MENGENLS1 19-07-2000'!$X$7:$Y$27,2,0)),0,VLOOKUP($B69,'[1]MENGENLS1 19-07-2000'!$X$7:$Y$27,2,0))</f>
        <v>0</v>
      </c>
      <c r="F69" s="109">
        <f>IF(ISNA(VLOOKUP($B69,'[1]MENGENLS1 19-07-2000'!$AA$7:$AB$35,2,0)),0,VLOOKUP($B69,'[1]MENGENLS1 19-07-2000'!$AA$7:$AB$35,2,0))</f>
        <v>0</v>
      </c>
      <c r="G69" s="109">
        <f>IF(ISNA(VLOOKUP($B69,'[1]MENGENLS1 19-07-2000'!$AD$7:$AE$38,2,0)),0,VLOOKUP($B69,'[1]MENGENLS1 19-07-2000'!$AD$7:$AE$38,2,0))</f>
        <v>0</v>
      </c>
      <c r="H69" s="109">
        <f>IF(ISNA(VLOOKUP($B69,'[1]MENGENLS1 19-07-2000'!$AG$7:$AH$20,2,0)),0,VLOOKUP($B69,'[1]MENGENLS1 19-07-2000'!$AG$7:$AH$20,2,0))</f>
        <v>0</v>
      </c>
      <c r="I69" s="109">
        <f>IF(ISNA(VLOOKUP($B69,'[1]MENGENLS1 19-07-2000'!$AJ$7:$AK$38,2,0)),0,VLOOKUP($B69,'[1]MENGENLS1 19-07-2000'!$AJ$7:$AK$38,2,0))</f>
        <v>0</v>
      </c>
      <c r="J69" s="109">
        <f>IF(ISNA(VLOOKUP($B69,'[1]MENGENLS1 19-07-2000'!$AM$7:$AN$38,2,0)),0,VLOOKUP($B69,'[1]MENGENLS1 19-07-2000'!$AM$7:$AN$38,2,0))</f>
        <v>0</v>
      </c>
      <c r="K69" s="109">
        <f>IF(ISNA(VLOOKUP($B69,'[1]MENGENLS1 19-07-2000'!$AP$7:$AQ$12,2,0)),0,VLOOKUP($B69,'[1]MENGENLS1 19-07-2000'!$AP$7:$AQ$12,2,0))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">
      <c r="B70" s="107">
        <f t="shared" si="4"/>
        <v>38777</v>
      </c>
      <c r="C70" s="108">
        <f>IF(ISNA(VLOOKUP($B70,'[1]MENGENLS1 19-07-2000'!$R$7:$S$71,2,0)),0,VLOOKUP($B70,'[1]MENGENLS1 19-07-2000'!$R$7:$S$71,2,0))</f>
        <v>0</v>
      </c>
      <c r="D70" s="109">
        <f>IF(ISNA(VLOOKUP($B70,'[1]MENGENLS1 19-07-2000'!$U$7:$V$60,2,0)),0,VLOOKUP($B70,'[1]MENGENLS1 19-07-2000'!$U$7:$V$60,2,0))</f>
        <v>0</v>
      </c>
      <c r="E70" s="109">
        <f>IF(ISNA(VLOOKUP($B70,'[1]MENGENLS1 19-07-2000'!$X$7:$Y$27,2,0)),0,VLOOKUP($B70,'[1]MENGENLS1 19-07-2000'!$X$7:$Y$27,2,0))</f>
        <v>0</v>
      </c>
      <c r="F70" s="109">
        <f>IF(ISNA(VLOOKUP($B70,'[1]MENGENLS1 19-07-2000'!$AA$7:$AB$35,2,0)),0,VLOOKUP($B70,'[1]MENGENLS1 19-07-2000'!$AA$7:$AB$35,2,0))</f>
        <v>0</v>
      </c>
      <c r="G70" s="109">
        <f>IF(ISNA(VLOOKUP($B70,'[1]MENGENLS1 19-07-2000'!$AD$7:$AE$38,2,0)),0,VLOOKUP($B70,'[1]MENGENLS1 19-07-2000'!$AD$7:$AE$38,2,0))</f>
        <v>0</v>
      </c>
      <c r="H70" s="109">
        <f>IF(ISNA(VLOOKUP($B70,'[1]MENGENLS1 19-07-2000'!$AG$7:$AH$20,2,0)),0,VLOOKUP($B70,'[1]MENGENLS1 19-07-2000'!$AG$7:$AH$20,2,0))</f>
        <v>0</v>
      </c>
      <c r="I70" s="109">
        <f>IF(ISNA(VLOOKUP($B70,'[1]MENGENLS1 19-07-2000'!$AJ$7:$AK$38,2,0)),0,VLOOKUP($B70,'[1]MENGENLS1 19-07-2000'!$AJ$7:$AK$38,2,0))</f>
        <v>0</v>
      </c>
      <c r="J70" s="109">
        <f>IF(ISNA(VLOOKUP($B70,'[1]MENGENLS1 19-07-2000'!$AM$7:$AN$38,2,0)),0,VLOOKUP($B70,'[1]MENGENLS1 19-07-2000'!$AM$7:$AN$38,2,0))</f>
        <v>0</v>
      </c>
      <c r="K70" s="109">
        <f>IF(ISNA(VLOOKUP($B70,'[1]MENGENLS1 19-07-2000'!$AP$7:$AQ$12,2,0)),0,VLOOKUP($B70,'[1]MENGENLS1 19-07-2000'!$AP$7:$AQ$12,2,0))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">
      <c r="B71" s="107">
        <f t="shared" si="4"/>
        <v>38808</v>
      </c>
      <c r="C71" s="108">
        <f>IF(ISNA(VLOOKUP($B71,'[1]MENGENLS1 19-07-2000'!$R$7:$S$71,2,0)),0,VLOOKUP($B71,'[1]MENGENLS1 19-07-2000'!$R$7:$S$71,2,0))</f>
        <v>-25</v>
      </c>
      <c r="D71" s="109">
        <f>IF(ISNA(VLOOKUP($B71,'[1]MENGENLS1 19-07-2000'!$U$7:$V$60,2,0)),0,VLOOKUP($B71,'[1]MENGENLS1 19-07-2000'!$U$7:$V$60,2,0))</f>
        <v>0</v>
      </c>
      <c r="E71" s="109">
        <f>IF(ISNA(VLOOKUP($B71,'[1]MENGENLS1 19-07-2000'!$X$7:$Y$27,2,0)),0,VLOOKUP($B71,'[1]MENGENLS1 19-07-2000'!$X$7:$Y$27,2,0))</f>
        <v>0</v>
      </c>
      <c r="F71" s="109">
        <f>IF(ISNA(VLOOKUP($B71,'[1]MENGENLS1 19-07-2000'!$AA$7:$AB$35,2,0)),0,VLOOKUP($B71,'[1]MENGENLS1 19-07-2000'!$AA$7:$AB$35,2,0))</f>
        <v>0</v>
      </c>
      <c r="G71" s="109">
        <f>IF(ISNA(VLOOKUP($B71,'[1]MENGENLS1 19-07-2000'!$AD$7:$AE$38,2,0)),0,VLOOKUP($B71,'[1]MENGENLS1 19-07-2000'!$AD$7:$AE$38,2,0))</f>
        <v>0</v>
      </c>
      <c r="H71" s="109">
        <f>IF(ISNA(VLOOKUP($B71,'[1]MENGENLS1 19-07-2000'!$AG$7:$AH$20,2,0)),0,VLOOKUP($B71,'[1]MENGENLS1 19-07-2000'!$AG$7:$AH$20,2,0))</f>
        <v>0</v>
      </c>
      <c r="I71" s="109">
        <f>IF(ISNA(VLOOKUP($B71,'[1]MENGENLS1 19-07-2000'!$AJ$7:$AK$38,2,0)),0,VLOOKUP($B71,'[1]MENGENLS1 19-07-2000'!$AJ$7:$AK$38,2,0))</f>
        <v>0</v>
      </c>
      <c r="J71" s="109">
        <f>IF(ISNA(VLOOKUP($B71,'[1]MENGENLS1 19-07-2000'!$AM$7:$AN$38,2,0)),0,VLOOKUP($B71,'[1]MENGENLS1 19-07-2000'!$AM$7:$AN$38,2,0))</f>
        <v>0</v>
      </c>
      <c r="K71" s="109">
        <f>IF(ISNA(VLOOKUP($B71,'[1]MENGENLS1 19-07-2000'!$AP$7:$AQ$12,2,0)),0,VLOOKUP($B71,'[1]MENGENLS1 19-07-2000'!$AP$7:$AQ$12,2,0))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">
      <c r="B72" s="107">
        <f t="shared" si="4"/>
        <v>38838</v>
      </c>
      <c r="C72" s="108">
        <f>IF(ISNA(VLOOKUP($B72,'[1]MENGENLS1 19-07-2000'!$R$7:$S$71,2,0)),0,VLOOKUP($B72,'[1]MENGENLS1 19-07-2000'!$R$7:$S$71,2,0))</f>
        <v>0</v>
      </c>
      <c r="D72" s="109">
        <f>IF(ISNA(VLOOKUP($B72,'[1]MENGENLS1 19-07-2000'!$U$7:$V$60,2,0)),0,VLOOKUP($B72,'[1]MENGENLS1 19-07-2000'!$U$7:$V$60,2,0))</f>
        <v>0</v>
      </c>
      <c r="E72" s="109">
        <f>IF(ISNA(VLOOKUP($B72,'[1]MENGENLS1 19-07-2000'!$X$7:$Y$27,2,0)),0,VLOOKUP($B72,'[1]MENGENLS1 19-07-2000'!$X$7:$Y$27,2,0))</f>
        <v>0</v>
      </c>
      <c r="F72" s="109">
        <f>IF(ISNA(VLOOKUP($B72,'[1]MENGENLS1 19-07-2000'!$AA$7:$AB$35,2,0)),0,VLOOKUP($B72,'[1]MENGENLS1 19-07-2000'!$AA$7:$AB$35,2,0))</f>
        <v>0</v>
      </c>
      <c r="G72" s="109">
        <f>IF(ISNA(VLOOKUP($B72,'[1]MENGENLS1 19-07-2000'!$AD$7:$AE$38,2,0)),0,VLOOKUP($B72,'[1]MENGENLS1 19-07-2000'!$AD$7:$AE$38,2,0))</f>
        <v>0</v>
      </c>
      <c r="H72" s="109">
        <f>IF(ISNA(VLOOKUP($B72,'[1]MENGENLS1 19-07-2000'!$AG$7:$AH$20,2,0)),0,VLOOKUP($B72,'[1]MENGENLS1 19-07-2000'!$AG$7:$AH$20,2,0))</f>
        <v>0</v>
      </c>
      <c r="I72" s="109">
        <f>IF(ISNA(VLOOKUP($B72,'[1]MENGENLS1 19-07-2000'!$AJ$7:$AK$38,2,0)),0,VLOOKUP($B72,'[1]MENGENLS1 19-07-2000'!$AJ$7:$AK$38,2,0))</f>
        <v>0</v>
      </c>
      <c r="J72" s="109">
        <f>IF(ISNA(VLOOKUP($B72,'[1]MENGENLS1 19-07-2000'!$AM$7:$AN$38,2,0)),0,VLOOKUP($B72,'[1]MENGENLS1 19-07-2000'!$AM$7:$AN$38,2,0))</f>
        <v>0</v>
      </c>
      <c r="K72" s="109">
        <f>IF(ISNA(VLOOKUP($B72,'[1]MENGENLS1 19-07-2000'!$AP$7:$AQ$12,2,0)),0,VLOOKUP($B72,'[1]MENGENLS1 19-07-2000'!$AP$7:$AQ$12,2,0))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">
      <c r="B73" s="107">
        <f t="shared" si="4"/>
        <v>38869</v>
      </c>
      <c r="C73" s="108">
        <f>IF(ISNA(VLOOKUP($B73,'[1]MENGENLS1 19-07-2000'!$R$7:$S$71,2,0)),0,VLOOKUP($B73,'[1]MENGENLS1 19-07-2000'!$R$7:$S$71,2,0))</f>
        <v>-25</v>
      </c>
      <c r="D73" s="109">
        <f>IF(ISNA(VLOOKUP($B73,'[1]MENGENLS1 19-07-2000'!$U$7:$V$60,2,0)),0,VLOOKUP($B73,'[1]MENGENLS1 19-07-2000'!$U$7:$V$60,2,0))</f>
        <v>0</v>
      </c>
      <c r="E73" s="109">
        <f>IF(ISNA(VLOOKUP($B73,'[1]MENGENLS1 19-07-2000'!$X$7:$Y$27,2,0)),0,VLOOKUP($B73,'[1]MENGENLS1 19-07-2000'!$X$7:$Y$27,2,0))</f>
        <v>0</v>
      </c>
      <c r="F73" s="109">
        <f>IF(ISNA(VLOOKUP($B73,'[1]MENGENLS1 19-07-2000'!$AA$7:$AB$35,2,0)),0,VLOOKUP($B73,'[1]MENGENLS1 19-07-2000'!$AA$7:$AB$35,2,0))</f>
        <v>0</v>
      </c>
      <c r="G73" s="109">
        <f>IF(ISNA(VLOOKUP($B73,'[1]MENGENLS1 19-07-2000'!$AD$7:$AE$38,2,0)),0,VLOOKUP($B73,'[1]MENGENLS1 19-07-2000'!$AD$7:$AE$38,2,0))</f>
        <v>0</v>
      </c>
      <c r="H73" s="109">
        <f>IF(ISNA(VLOOKUP($B73,'[1]MENGENLS1 19-07-2000'!$AG$7:$AH$20,2,0)),0,VLOOKUP($B73,'[1]MENGENLS1 19-07-2000'!$AG$7:$AH$20,2,0))</f>
        <v>0</v>
      </c>
      <c r="I73" s="109">
        <f>IF(ISNA(VLOOKUP($B73,'[1]MENGENLS1 19-07-2000'!$AJ$7:$AK$38,2,0)),0,VLOOKUP($B73,'[1]MENGENLS1 19-07-2000'!$AJ$7:$AK$38,2,0))</f>
        <v>0</v>
      </c>
      <c r="J73" s="109">
        <f>IF(ISNA(VLOOKUP($B73,'[1]MENGENLS1 19-07-2000'!$AM$7:$AN$38,2,0)),0,VLOOKUP($B73,'[1]MENGENLS1 19-07-2000'!$AM$7:$AN$38,2,0))</f>
        <v>0</v>
      </c>
      <c r="K73" s="109">
        <f>IF(ISNA(VLOOKUP($B73,'[1]MENGENLS1 19-07-2000'!$AP$7:$AQ$12,2,0)),0,VLOOKUP($B73,'[1]MENGENLS1 19-07-2000'!$AP$7:$AQ$12,2,0))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">
      <c r="B74" s="107">
        <f t="shared" si="4"/>
        <v>38899</v>
      </c>
      <c r="C74" s="108">
        <f>IF(ISNA(VLOOKUP($B74,'[1]MENGENLS1 19-07-2000'!$R$7:$S$71,2,0)),0,VLOOKUP($B74,'[1]MENGENLS1 19-07-2000'!$R$7:$S$71,2,0))</f>
        <v>0</v>
      </c>
      <c r="D74" s="109">
        <f>IF(ISNA(VLOOKUP($B74,'[1]MENGENLS1 19-07-2000'!$U$7:$V$60,2,0)),0,VLOOKUP($B74,'[1]MENGENLS1 19-07-2000'!$U$7:$V$60,2,0))</f>
        <v>0</v>
      </c>
      <c r="E74" s="109">
        <f>IF(ISNA(VLOOKUP($B74,'[1]MENGENLS1 19-07-2000'!$X$7:$Y$27,2,0)),0,VLOOKUP($B74,'[1]MENGENLS1 19-07-2000'!$X$7:$Y$27,2,0))</f>
        <v>0</v>
      </c>
      <c r="F74" s="109">
        <f>IF(ISNA(VLOOKUP($B74,'[1]MENGENLS1 19-07-2000'!$AA$7:$AB$35,2,0)),0,VLOOKUP($B74,'[1]MENGENLS1 19-07-2000'!$AA$7:$AB$35,2,0))</f>
        <v>0</v>
      </c>
      <c r="G74" s="109">
        <f>IF(ISNA(VLOOKUP($B74,'[1]MENGENLS1 19-07-2000'!$AD$7:$AE$38,2,0)),0,VLOOKUP($B74,'[1]MENGENLS1 19-07-2000'!$AD$7:$AE$38,2,0))</f>
        <v>0</v>
      </c>
      <c r="H74" s="109">
        <f>IF(ISNA(VLOOKUP($B74,'[1]MENGENLS1 19-07-2000'!$AG$7:$AH$20,2,0)),0,VLOOKUP($B74,'[1]MENGENLS1 19-07-2000'!$AG$7:$AH$20,2,0))</f>
        <v>0</v>
      </c>
      <c r="I74" s="109">
        <f>IF(ISNA(VLOOKUP($B74,'[1]MENGENLS1 19-07-2000'!$AJ$7:$AK$38,2,0)),0,VLOOKUP($B74,'[1]MENGENLS1 19-07-2000'!$AJ$7:$AK$38,2,0))</f>
        <v>0</v>
      </c>
      <c r="J74" s="109">
        <f>IF(ISNA(VLOOKUP($B74,'[1]MENGENLS1 19-07-2000'!$AM$7:$AN$38,2,0)),0,VLOOKUP($B74,'[1]MENGENLS1 19-07-2000'!$AM$7:$AN$38,2,0))</f>
        <v>0</v>
      </c>
      <c r="K74" s="109">
        <f>IF(ISNA(VLOOKUP($B74,'[1]MENGENLS1 19-07-2000'!$AP$7:$AQ$12,2,0)),0,VLOOKUP($B74,'[1]MENGENLS1 19-07-2000'!$AP$7:$AQ$12,2,0))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">
      <c r="B75" s="107">
        <f t="shared" si="4"/>
        <v>38930</v>
      </c>
      <c r="C75" s="108">
        <f>IF(ISNA(VLOOKUP($B75,'[1]MENGENLS1 19-07-2000'!$R$7:$S$71,2,0)),0,VLOOKUP($B75,'[1]MENGENLS1 19-07-2000'!$R$7:$S$71,2,0))</f>
        <v>0</v>
      </c>
      <c r="D75" s="109">
        <f>IF(ISNA(VLOOKUP($B75,'[1]MENGENLS1 19-07-2000'!$U$7:$V$60,2,0)),0,VLOOKUP($B75,'[1]MENGENLS1 19-07-2000'!$U$7:$V$60,2,0))</f>
        <v>0</v>
      </c>
      <c r="E75" s="109">
        <f>IF(ISNA(VLOOKUP($B75,'[1]MENGENLS1 19-07-2000'!$X$7:$Y$27,2,0)),0,VLOOKUP($B75,'[1]MENGENLS1 19-07-2000'!$X$7:$Y$27,2,0))</f>
        <v>0</v>
      </c>
      <c r="F75" s="109">
        <f>IF(ISNA(VLOOKUP($B75,'[1]MENGENLS1 19-07-2000'!$AA$7:$AB$35,2,0)),0,VLOOKUP($B75,'[1]MENGENLS1 19-07-2000'!$AA$7:$AB$35,2,0))</f>
        <v>0</v>
      </c>
      <c r="G75" s="109">
        <f>IF(ISNA(VLOOKUP($B75,'[1]MENGENLS1 19-07-2000'!$AD$7:$AE$38,2,0)),0,VLOOKUP($B75,'[1]MENGENLS1 19-07-2000'!$AD$7:$AE$38,2,0))</f>
        <v>0</v>
      </c>
      <c r="H75" s="109">
        <f>IF(ISNA(VLOOKUP($B75,'[1]MENGENLS1 19-07-2000'!$AG$7:$AH$20,2,0)),0,VLOOKUP($B75,'[1]MENGENLS1 19-07-2000'!$AG$7:$AH$20,2,0))</f>
        <v>0</v>
      </c>
      <c r="I75" s="109">
        <f>IF(ISNA(VLOOKUP($B75,'[1]MENGENLS1 19-07-2000'!$AJ$7:$AK$38,2,0)),0,VLOOKUP($B75,'[1]MENGENLS1 19-07-2000'!$AJ$7:$AK$38,2,0))</f>
        <v>0</v>
      </c>
      <c r="J75" s="109">
        <f>IF(ISNA(VLOOKUP($B75,'[1]MENGENLS1 19-07-2000'!$AM$7:$AN$38,2,0)),0,VLOOKUP($B75,'[1]MENGENLS1 19-07-2000'!$AM$7:$AN$38,2,0))</f>
        <v>0</v>
      </c>
      <c r="K75" s="109">
        <f>IF(ISNA(VLOOKUP($B75,'[1]MENGENLS1 19-07-2000'!$AP$7:$AQ$12,2,0)),0,VLOOKUP($B75,'[1]MENGENLS1 19-07-2000'!$AP$7:$AQ$12,2,0))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">
      <c r="B76" s="107">
        <f t="shared" si="4"/>
        <v>38961</v>
      </c>
      <c r="C76" s="108">
        <f>IF(ISNA(VLOOKUP($B76,'[1]MENGENLS1 19-07-2000'!$R$7:$S$71,2,0)),0,VLOOKUP($B76,'[1]MENGENLS1 19-07-2000'!$R$7:$S$71,2,0))</f>
        <v>0</v>
      </c>
      <c r="D76" s="109">
        <f>IF(ISNA(VLOOKUP($B76,'[1]MENGENLS1 19-07-2000'!$U$7:$V$60,2,0)),0,VLOOKUP($B76,'[1]MENGENLS1 19-07-2000'!$U$7:$V$60,2,0))</f>
        <v>0</v>
      </c>
      <c r="E76" s="109">
        <f>IF(ISNA(VLOOKUP($B76,'[1]MENGENLS1 19-07-2000'!$X$7:$Y$27,2,0)),0,VLOOKUP($B76,'[1]MENGENLS1 19-07-2000'!$X$7:$Y$27,2,0))</f>
        <v>0</v>
      </c>
      <c r="F76" s="109">
        <f>IF(ISNA(VLOOKUP($B76,'[1]MENGENLS1 19-07-2000'!$AA$7:$AB$35,2,0)),0,VLOOKUP($B76,'[1]MENGENLS1 19-07-2000'!$AA$7:$AB$35,2,0))</f>
        <v>0</v>
      </c>
      <c r="G76" s="109">
        <f>IF(ISNA(VLOOKUP($B76,'[1]MENGENLS1 19-07-2000'!$AD$7:$AE$38,2,0)),0,VLOOKUP($B76,'[1]MENGENLS1 19-07-2000'!$AD$7:$AE$38,2,0))</f>
        <v>0</v>
      </c>
      <c r="H76" s="109">
        <f>IF(ISNA(VLOOKUP($B76,'[1]MENGENLS1 19-07-2000'!$AG$7:$AH$20,2,0)),0,VLOOKUP($B76,'[1]MENGENLS1 19-07-2000'!$AG$7:$AH$20,2,0))</f>
        <v>0</v>
      </c>
      <c r="I76" s="109">
        <f>IF(ISNA(VLOOKUP($B76,'[1]MENGENLS1 19-07-2000'!$AJ$7:$AK$38,2,0)),0,VLOOKUP($B76,'[1]MENGENLS1 19-07-2000'!$AJ$7:$AK$38,2,0))</f>
        <v>0</v>
      </c>
      <c r="J76" s="109">
        <f>IF(ISNA(VLOOKUP($B76,'[1]MENGENLS1 19-07-2000'!$AM$7:$AN$38,2,0)),0,VLOOKUP($B76,'[1]MENGENLS1 19-07-2000'!$AM$7:$AN$38,2,0))</f>
        <v>0</v>
      </c>
      <c r="K76" s="109">
        <f>IF(ISNA(VLOOKUP($B76,'[1]MENGENLS1 19-07-2000'!$AP$7:$AQ$12,2,0)),0,VLOOKUP($B76,'[1]MENGENLS1 19-07-2000'!$AP$7:$AQ$12,2,0))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">
      <c r="B77" s="107">
        <f t="shared" si="4"/>
        <v>38991</v>
      </c>
      <c r="C77" s="108">
        <f>IF(ISNA(VLOOKUP($B77,'[1]MENGENLS1 19-07-2000'!$R$7:$S$71,2,0)),0,VLOOKUP($B77,'[1]MENGENLS1 19-07-2000'!$R$7:$S$71,2,0))</f>
        <v>-25</v>
      </c>
      <c r="D77" s="109">
        <f>IF(ISNA(VLOOKUP($B77,'[1]MENGENLS1 19-07-2000'!$U$7:$V$60,2,0)),0,VLOOKUP($B77,'[1]MENGENLS1 19-07-2000'!$U$7:$V$60,2,0))</f>
        <v>0</v>
      </c>
      <c r="E77" s="109">
        <f>IF(ISNA(VLOOKUP($B77,'[1]MENGENLS1 19-07-2000'!$X$7:$Y$27,2,0)),0,VLOOKUP($B77,'[1]MENGENLS1 19-07-2000'!$X$7:$Y$27,2,0))</f>
        <v>0</v>
      </c>
      <c r="F77" s="109">
        <f>IF(ISNA(VLOOKUP($B77,'[1]MENGENLS1 19-07-2000'!$AA$7:$AB$35,2,0)),0,VLOOKUP($B77,'[1]MENGENLS1 19-07-2000'!$AA$7:$AB$35,2,0))</f>
        <v>0</v>
      </c>
      <c r="G77" s="109">
        <f>IF(ISNA(VLOOKUP($B77,'[1]MENGENLS1 19-07-2000'!$AD$7:$AE$38,2,0)),0,VLOOKUP($B77,'[1]MENGENLS1 19-07-2000'!$AD$7:$AE$38,2,0))</f>
        <v>0</v>
      </c>
      <c r="H77" s="109">
        <f>IF(ISNA(VLOOKUP($B77,'[1]MENGENLS1 19-07-2000'!$AG$7:$AH$20,2,0)),0,VLOOKUP($B77,'[1]MENGENLS1 19-07-2000'!$AG$7:$AH$20,2,0))</f>
        <v>0</v>
      </c>
      <c r="I77" s="109">
        <f>IF(ISNA(VLOOKUP($B77,'[1]MENGENLS1 19-07-2000'!$AJ$7:$AK$38,2,0)),0,VLOOKUP($B77,'[1]MENGENLS1 19-07-2000'!$AJ$7:$AK$38,2,0))</f>
        <v>0</v>
      </c>
      <c r="J77" s="109">
        <f>IF(ISNA(VLOOKUP($B77,'[1]MENGENLS1 19-07-2000'!$AM$7:$AN$38,2,0)),0,VLOOKUP($B77,'[1]MENGENLS1 19-07-2000'!$AM$7:$AN$38,2,0))</f>
        <v>0</v>
      </c>
      <c r="K77" s="109">
        <f>IF(ISNA(VLOOKUP($B77,'[1]MENGENLS1 19-07-2000'!$AP$7:$AQ$12,2,0)),0,VLOOKUP($B77,'[1]MENGENLS1 19-07-2000'!$AP$7:$AQ$12,2,0))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">
      <c r="B78" s="107">
        <f t="shared" si="4"/>
        <v>39022</v>
      </c>
      <c r="C78" s="108">
        <f>IF(ISNA(VLOOKUP($B78,'[1]MENGENLS1 19-07-2000'!$R$7:$S$71,2,0)),0,VLOOKUP($B78,'[1]MENGENLS1 19-07-2000'!$R$7:$S$71,2,0))</f>
        <v>0</v>
      </c>
      <c r="D78" s="109">
        <f>IF(ISNA(VLOOKUP($B78,'[1]MENGENLS1 19-07-2000'!$U$7:$V$60,2,0)),0,VLOOKUP($B78,'[1]MENGENLS1 19-07-2000'!$U$7:$V$60,2,0))</f>
        <v>0</v>
      </c>
      <c r="E78" s="109">
        <f>IF(ISNA(VLOOKUP($B78,'[1]MENGENLS1 19-07-2000'!$X$7:$Y$27,2,0)),0,VLOOKUP($B78,'[1]MENGENLS1 19-07-2000'!$X$7:$Y$27,2,0))</f>
        <v>0</v>
      </c>
      <c r="F78" s="109">
        <f>IF(ISNA(VLOOKUP($B78,'[1]MENGENLS1 19-07-2000'!$AA$7:$AB$35,2,0)),0,VLOOKUP($B78,'[1]MENGENLS1 19-07-2000'!$AA$7:$AB$35,2,0))</f>
        <v>0</v>
      </c>
      <c r="G78" s="109">
        <f>IF(ISNA(VLOOKUP($B78,'[1]MENGENLS1 19-07-2000'!$AD$7:$AE$38,2,0)),0,VLOOKUP($B78,'[1]MENGENLS1 19-07-2000'!$AD$7:$AE$38,2,0))</f>
        <v>0</v>
      </c>
      <c r="H78" s="109">
        <f>IF(ISNA(VLOOKUP($B78,'[1]MENGENLS1 19-07-2000'!$AG$7:$AH$20,2,0)),0,VLOOKUP($B78,'[1]MENGENLS1 19-07-2000'!$AG$7:$AH$20,2,0))</f>
        <v>0</v>
      </c>
      <c r="I78" s="109">
        <f>IF(ISNA(VLOOKUP($B78,'[1]MENGENLS1 19-07-2000'!$AJ$7:$AK$38,2,0)),0,VLOOKUP($B78,'[1]MENGENLS1 19-07-2000'!$AJ$7:$AK$38,2,0))</f>
        <v>0</v>
      </c>
      <c r="J78" s="109">
        <f>IF(ISNA(VLOOKUP($B78,'[1]MENGENLS1 19-07-2000'!$AM$7:$AN$38,2,0)),0,VLOOKUP($B78,'[1]MENGENLS1 19-07-2000'!$AM$7:$AN$38,2,0))</f>
        <v>0</v>
      </c>
      <c r="K78" s="109">
        <f>IF(ISNA(VLOOKUP($B78,'[1]MENGENLS1 19-07-2000'!$AP$7:$AQ$12,2,0)),0,VLOOKUP($B78,'[1]MENGENLS1 19-07-2000'!$AP$7:$AQ$12,2,0))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">
      <c r="B79" s="107">
        <f t="shared" si="4"/>
        <v>39052</v>
      </c>
      <c r="C79" s="108">
        <f>IF(ISNA(VLOOKUP($B79,'[1]MENGENLS1 19-07-2000'!$R$7:$S$71,2,0)),0,VLOOKUP($B79,'[1]MENGENLS1 19-07-2000'!$R$7:$S$71,2,0))</f>
        <v>-25</v>
      </c>
      <c r="D79" s="109">
        <f>IF(ISNA(VLOOKUP($B79,'[1]MENGENLS1 19-07-2000'!$U$7:$V$60,2,0)),0,VLOOKUP($B79,'[1]MENGENLS1 19-07-2000'!$U$7:$V$60,2,0))</f>
        <v>0</v>
      </c>
      <c r="E79" s="109">
        <f>IF(ISNA(VLOOKUP($B79,'[1]MENGENLS1 19-07-2000'!$X$7:$Y$27,2,0)),0,VLOOKUP($B79,'[1]MENGENLS1 19-07-2000'!$X$7:$Y$27,2,0))</f>
        <v>0</v>
      </c>
      <c r="F79" s="109">
        <f>IF(ISNA(VLOOKUP($B79,'[1]MENGENLS1 19-07-2000'!$AA$7:$AB$35,2,0)),0,VLOOKUP($B79,'[1]MENGENLS1 19-07-2000'!$AA$7:$AB$35,2,0))</f>
        <v>0</v>
      </c>
      <c r="G79" s="109">
        <f>IF(ISNA(VLOOKUP($B79,'[1]MENGENLS1 19-07-2000'!$AD$7:$AE$38,2,0)),0,VLOOKUP($B79,'[1]MENGENLS1 19-07-2000'!$AD$7:$AE$38,2,0))</f>
        <v>0</v>
      </c>
      <c r="H79" s="109">
        <f>IF(ISNA(VLOOKUP($B79,'[1]MENGENLS1 19-07-2000'!$AG$7:$AH$20,2,0)),0,VLOOKUP($B79,'[1]MENGENLS1 19-07-2000'!$AG$7:$AH$20,2,0))</f>
        <v>0</v>
      </c>
      <c r="I79" s="109">
        <f>IF(ISNA(VLOOKUP($B79,'[1]MENGENLS1 19-07-2000'!$AJ$7:$AK$38,2,0)),0,VLOOKUP($B79,'[1]MENGENLS1 19-07-2000'!$AJ$7:$AK$38,2,0))</f>
        <v>0</v>
      </c>
      <c r="J79" s="109">
        <f>IF(ISNA(VLOOKUP($B79,'[1]MENGENLS1 19-07-2000'!$AM$7:$AN$38,2,0)),0,VLOOKUP($B79,'[1]MENGENLS1 19-07-2000'!$AM$7:$AN$38,2,0))</f>
        <v>0</v>
      </c>
      <c r="K79" s="109">
        <f>IF(ISNA(VLOOKUP($B79,'[1]MENGENLS1 19-07-2000'!$AP$7:$AQ$12,2,0)),0,VLOOKUP($B79,'[1]MENGENLS1 19-07-2000'!$AP$7:$AQ$12,2,0))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">
      <c r="B80" s="107">
        <f t="shared" si="4"/>
        <v>39083</v>
      </c>
      <c r="C80" s="108">
        <f>IF(ISNA(VLOOKUP($B80,'[1]MENGENLS1 19-07-2000'!$R$7:$S$71,2,0)),0,VLOOKUP($B80,'[1]MENGENLS1 19-07-2000'!$R$7:$S$71,2,0))</f>
        <v>0</v>
      </c>
      <c r="D80" s="109">
        <f>IF(ISNA(VLOOKUP($B80,'[1]MENGENLS1 19-07-2000'!$U$7:$V$60,2,0)),0,VLOOKUP($B80,'[1]MENGENLS1 19-07-2000'!$U$7:$V$60,2,0))</f>
        <v>0</v>
      </c>
      <c r="E80" s="109">
        <f>IF(ISNA(VLOOKUP($B80,'[1]MENGENLS1 19-07-2000'!$X$7:$Y$27,2,0)),0,VLOOKUP($B80,'[1]MENGENLS1 19-07-2000'!$X$7:$Y$27,2,0))</f>
        <v>0</v>
      </c>
      <c r="F80" s="109">
        <f>IF(ISNA(VLOOKUP($B80,'[1]MENGENLS1 19-07-2000'!$AA$7:$AB$35,2,0)),0,VLOOKUP($B80,'[1]MENGENLS1 19-07-2000'!$AA$7:$AB$35,2,0))</f>
        <v>0</v>
      </c>
      <c r="G80" s="109">
        <f>IF(ISNA(VLOOKUP($B80,'[1]MENGENLS1 19-07-2000'!$AD$7:$AE$38,2,0)),0,VLOOKUP($B80,'[1]MENGENLS1 19-07-2000'!$AD$7:$AE$38,2,0))</f>
        <v>0</v>
      </c>
      <c r="H80" s="109">
        <f>IF(ISNA(VLOOKUP($B80,'[1]MENGENLS1 19-07-2000'!$AG$7:$AH$20,2,0)),0,VLOOKUP($B80,'[1]MENGENLS1 19-07-2000'!$AG$7:$AH$20,2,0))</f>
        <v>0</v>
      </c>
      <c r="I80" s="109">
        <f>IF(ISNA(VLOOKUP($B80,'[1]MENGENLS1 19-07-2000'!$AJ$7:$AK$38,2,0)),0,VLOOKUP($B80,'[1]MENGENLS1 19-07-2000'!$AJ$7:$AK$38,2,0))</f>
        <v>0</v>
      </c>
      <c r="J80" s="109">
        <f>IF(ISNA(VLOOKUP($B80,'[1]MENGENLS1 19-07-2000'!$AM$7:$AN$38,2,0)),0,VLOOKUP($B80,'[1]MENGENLS1 19-07-2000'!$AM$7:$AN$38,2,0))</f>
        <v>0</v>
      </c>
      <c r="K80" s="109">
        <f>IF(ISNA(VLOOKUP($B80,'[1]MENGENLS1 19-07-2000'!$AP$7:$AQ$12,2,0)),0,VLOOKUP($B80,'[1]MENGENLS1 19-07-2000'!$AP$7:$AQ$12,2,0))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">
      <c r="B82" s="107" t="s">
        <v>42</v>
      </c>
      <c r="C82" s="116">
        <f t="shared" ref="C82:N82" si="5">SUM(C2:C80)</f>
        <v>17360</v>
      </c>
      <c r="D82" s="116">
        <f t="shared" si="5"/>
        <v>63765</v>
      </c>
      <c r="E82" s="116">
        <f t="shared" si="5"/>
        <v>25038</v>
      </c>
      <c r="F82" s="116">
        <f t="shared" si="5"/>
        <v>2456</v>
      </c>
      <c r="G82" s="116">
        <f t="shared" si="5"/>
        <v>149758</v>
      </c>
      <c r="H82" s="116">
        <f t="shared" si="5"/>
        <v>1297</v>
      </c>
      <c r="I82" s="116">
        <f t="shared" si="5"/>
        <v>11114</v>
      </c>
      <c r="J82" s="116">
        <f t="shared" si="5"/>
        <v>-15369</v>
      </c>
      <c r="K82" s="116">
        <f t="shared" si="5"/>
        <v>1870</v>
      </c>
      <c r="L82" s="100">
        <f t="shared" si="5"/>
        <v>-595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/>
  </sheetViews>
  <sheetFormatPr defaultRowHeight="14.25" x14ac:dyDescent="0.2"/>
  <cols>
    <col min="1" max="1" width="14" style="161" customWidth="1"/>
    <col min="2" max="2" width="13.28515625" style="161" customWidth="1"/>
    <col min="3" max="9" width="9.140625" style="161"/>
    <col min="10" max="10" width="14.42578125" style="161" bestFit="1" customWidth="1"/>
    <col min="11" max="16384" width="9.140625" style="161"/>
  </cols>
  <sheetData>
    <row r="1" spans="1:11" ht="15" x14ac:dyDescent="0.25">
      <c r="A1" s="157"/>
      <c r="B1" s="158" t="str">
        <f t="array" ref="B1:K1">TRANSPOSE(A2:A11)</f>
        <v>Aluminium</v>
      </c>
      <c r="C1" s="159" t="str">
        <v>Copper</v>
      </c>
      <c r="D1" s="159" t="str">
        <v>Lead</v>
      </c>
      <c r="E1" s="159" t="str">
        <v>Nickel</v>
      </c>
      <c r="F1" s="159" t="str">
        <v>Silver</v>
      </c>
      <c r="G1" s="159" t="str">
        <v>Tin</v>
      </c>
      <c r="H1" s="159" t="str">
        <v>Zinc</v>
      </c>
      <c r="I1" s="159" t="str">
        <v>Gold</v>
      </c>
      <c r="J1" s="159" t="str">
        <v>Cocoa Beans</v>
      </c>
      <c r="K1" s="160" t="str">
        <v>TC</v>
      </c>
    </row>
    <row r="2" spans="1:11" ht="15" x14ac:dyDescent="0.25">
      <c r="A2" s="134" t="s">
        <v>30</v>
      </c>
      <c r="B2" s="162">
        <v>1</v>
      </c>
      <c r="C2" s="163">
        <v>0.6711109953270743</v>
      </c>
      <c r="D2" s="163">
        <v>0.28655806016148383</v>
      </c>
      <c r="E2" s="247">
        <v>0.40379903930465227</v>
      </c>
      <c r="F2" s="254">
        <v>0</v>
      </c>
      <c r="G2" s="163">
        <v>0.19879753780598511</v>
      </c>
      <c r="H2" s="163">
        <v>0.47104556383663637</v>
      </c>
      <c r="I2" s="254">
        <v>0</v>
      </c>
      <c r="J2" s="163">
        <v>-4.2270721098616043E-2</v>
      </c>
      <c r="K2" s="164">
        <v>0</v>
      </c>
    </row>
    <row r="3" spans="1:11" ht="15" x14ac:dyDescent="0.25">
      <c r="A3" s="135" t="s">
        <v>31</v>
      </c>
      <c r="B3" s="165">
        <v>0.6711109953270743</v>
      </c>
      <c r="C3" s="166">
        <v>1</v>
      </c>
      <c r="D3" s="166">
        <v>0.41996929882546907</v>
      </c>
      <c r="E3" s="172">
        <v>0.51904223514856596</v>
      </c>
      <c r="F3" s="252">
        <v>0</v>
      </c>
      <c r="G3" s="166">
        <v>0.19658829232684996</v>
      </c>
      <c r="H3" s="166">
        <v>0.64119953092836424</v>
      </c>
      <c r="I3" s="252">
        <v>0</v>
      </c>
      <c r="J3" s="166">
        <v>9.617321633616685E-2</v>
      </c>
      <c r="K3" s="167">
        <v>0</v>
      </c>
    </row>
    <row r="4" spans="1:11" ht="15" x14ac:dyDescent="0.25">
      <c r="A4" s="135" t="s">
        <v>32</v>
      </c>
      <c r="B4" s="165">
        <v>0.28655806016148383</v>
      </c>
      <c r="C4" s="166">
        <v>0.41996929882546907</v>
      </c>
      <c r="D4" s="166">
        <v>1</v>
      </c>
      <c r="E4" s="172">
        <v>0.21699068102191291</v>
      </c>
      <c r="F4" s="252">
        <v>0</v>
      </c>
      <c r="G4" s="166">
        <v>0.13015278062652874</v>
      </c>
      <c r="H4" s="166">
        <v>0.38808344562275271</v>
      </c>
      <c r="I4" s="252">
        <v>0</v>
      </c>
      <c r="J4" s="166">
        <v>8.7647285781055073E-2</v>
      </c>
      <c r="K4" s="167">
        <v>0</v>
      </c>
    </row>
    <row r="5" spans="1:11" ht="15" x14ac:dyDescent="0.25">
      <c r="A5" s="136" t="s">
        <v>33</v>
      </c>
      <c r="B5" s="245">
        <v>0.40379903930465227</v>
      </c>
      <c r="C5" s="172">
        <v>0.51904223514856596</v>
      </c>
      <c r="D5" s="172">
        <v>0.21699068102191291</v>
      </c>
      <c r="E5" s="172">
        <v>1</v>
      </c>
      <c r="F5" s="252">
        <v>0</v>
      </c>
      <c r="G5" s="172">
        <v>7.9376725776002771E-2</v>
      </c>
      <c r="H5" s="172">
        <v>0.45980277107964018</v>
      </c>
      <c r="I5" s="252">
        <v>0</v>
      </c>
      <c r="J5" s="172">
        <v>0.12243156886072581</v>
      </c>
      <c r="K5" s="246">
        <v>0</v>
      </c>
    </row>
    <row r="6" spans="1:11" ht="15" x14ac:dyDescent="0.25">
      <c r="A6" s="136" t="s">
        <v>34</v>
      </c>
      <c r="B6" s="251">
        <v>0</v>
      </c>
      <c r="C6" s="252">
        <v>0</v>
      </c>
      <c r="D6" s="252">
        <v>0</v>
      </c>
      <c r="E6" s="252">
        <v>0</v>
      </c>
      <c r="F6" s="252">
        <v>1</v>
      </c>
      <c r="G6" s="252">
        <v>0</v>
      </c>
      <c r="H6" s="252">
        <v>0</v>
      </c>
      <c r="I6" s="252">
        <v>0</v>
      </c>
      <c r="J6" s="252">
        <v>0</v>
      </c>
      <c r="K6" s="253">
        <v>0</v>
      </c>
    </row>
    <row r="7" spans="1:11" ht="15" x14ac:dyDescent="0.25">
      <c r="A7" s="136" t="s">
        <v>35</v>
      </c>
      <c r="B7" s="165">
        <v>0.19879753780598511</v>
      </c>
      <c r="C7" s="166">
        <v>0.19658829232684996</v>
      </c>
      <c r="D7" s="166">
        <v>0.13015278062652874</v>
      </c>
      <c r="E7" s="172">
        <v>7.9376725776002771E-2</v>
      </c>
      <c r="F7" s="252">
        <v>0</v>
      </c>
      <c r="G7" s="166">
        <v>1</v>
      </c>
      <c r="H7" s="166">
        <v>0.30200707050755526</v>
      </c>
      <c r="I7" s="252">
        <v>0</v>
      </c>
      <c r="J7" s="166">
        <v>0.18188519810930046</v>
      </c>
      <c r="K7" s="167">
        <v>0</v>
      </c>
    </row>
    <row r="8" spans="1:11" ht="15" x14ac:dyDescent="0.25">
      <c r="A8" s="136" t="s">
        <v>36</v>
      </c>
      <c r="B8" s="165">
        <v>0.47104556383663637</v>
      </c>
      <c r="C8" s="166">
        <v>0.64119953092836424</v>
      </c>
      <c r="D8" s="166">
        <v>0.38808344562275271</v>
      </c>
      <c r="E8" s="172">
        <v>0.45980277107964018</v>
      </c>
      <c r="F8" s="252">
        <v>0</v>
      </c>
      <c r="G8" s="166">
        <v>0.30200707050755526</v>
      </c>
      <c r="H8" s="166">
        <v>1</v>
      </c>
      <c r="I8" s="252">
        <v>0</v>
      </c>
      <c r="J8" s="166">
        <v>0.15507220448160922</v>
      </c>
      <c r="K8" s="167">
        <v>0</v>
      </c>
    </row>
    <row r="9" spans="1:11" ht="15" x14ac:dyDescent="0.25">
      <c r="A9" s="136" t="s">
        <v>37</v>
      </c>
      <c r="B9" s="251">
        <v>0</v>
      </c>
      <c r="C9" s="252">
        <v>0</v>
      </c>
      <c r="D9" s="252">
        <v>0</v>
      </c>
      <c r="E9" s="252">
        <v>0</v>
      </c>
      <c r="F9" s="252">
        <v>0</v>
      </c>
      <c r="G9" s="252">
        <v>0</v>
      </c>
      <c r="H9" s="252">
        <v>0</v>
      </c>
      <c r="I9" s="252">
        <v>1</v>
      </c>
      <c r="J9" s="252">
        <v>0</v>
      </c>
      <c r="K9" s="253">
        <v>0</v>
      </c>
    </row>
    <row r="10" spans="1:11" ht="15" x14ac:dyDescent="0.25">
      <c r="A10" s="136" t="s">
        <v>38</v>
      </c>
      <c r="B10" s="165">
        <v>-4.2270721098616043E-2</v>
      </c>
      <c r="C10" s="166">
        <v>9.6360298905930952E-2</v>
      </c>
      <c r="D10" s="166">
        <v>8.7647285781055073E-2</v>
      </c>
      <c r="E10" s="172">
        <v>0.12243156886072581</v>
      </c>
      <c r="F10" s="252">
        <v>0</v>
      </c>
      <c r="G10" s="166">
        <v>0.18188519810930046</v>
      </c>
      <c r="H10" s="166">
        <v>0.15507220448160922</v>
      </c>
      <c r="I10" s="252">
        <v>0</v>
      </c>
      <c r="J10" s="166">
        <v>1</v>
      </c>
      <c r="K10" s="167">
        <v>0</v>
      </c>
    </row>
    <row r="11" spans="1:11" ht="15" x14ac:dyDescent="0.25">
      <c r="A11" s="137" t="s">
        <v>39</v>
      </c>
      <c r="B11" s="168">
        <v>0</v>
      </c>
      <c r="C11" s="169">
        <v>0</v>
      </c>
      <c r="D11" s="169">
        <v>0</v>
      </c>
      <c r="E11" s="248">
        <v>0</v>
      </c>
      <c r="F11" s="255">
        <v>0</v>
      </c>
      <c r="G11" s="169">
        <v>0</v>
      </c>
      <c r="H11" s="169">
        <v>0</v>
      </c>
      <c r="I11" s="255">
        <v>0</v>
      </c>
      <c r="J11" s="169">
        <v>0</v>
      </c>
      <c r="K11" s="170">
        <v>1</v>
      </c>
    </row>
    <row r="12" spans="1:11" x14ac:dyDescent="0.2">
      <c r="A12" s="171"/>
    </row>
    <row r="13" spans="1:11" ht="15" x14ac:dyDescent="0.2">
      <c r="A13" s="257" t="s">
        <v>49</v>
      </c>
      <c r="B13" s="256"/>
      <c r="C13" s="252"/>
      <c r="D13" s="172"/>
      <c r="E13" s="172"/>
      <c r="F13" s="172"/>
      <c r="G13" s="172"/>
      <c r="H13" s="172"/>
      <c r="I13" s="172"/>
      <c r="J13" s="172"/>
      <c r="K13" s="172"/>
    </row>
    <row r="14" spans="1:11" x14ac:dyDescent="0.2">
      <c r="C14" s="172"/>
      <c r="D14" s="172"/>
      <c r="E14" s="172"/>
      <c r="F14" s="172"/>
      <c r="G14" s="172"/>
      <c r="H14" s="172"/>
      <c r="I14" s="172"/>
      <c r="J14" s="172"/>
      <c r="K14" s="172"/>
    </row>
    <row r="15" spans="1:11" x14ac:dyDescent="0.2">
      <c r="C15" s="172"/>
      <c r="D15" s="172"/>
      <c r="E15" s="172"/>
      <c r="F15" s="172"/>
      <c r="G15" s="172"/>
      <c r="H15" s="172"/>
      <c r="I15" s="172"/>
      <c r="J15" s="172"/>
      <c r="K15" s="172"/>
    </row>
    <row r="16" spans="1:11" x14ac:dyDescent="0.2">
      <c r="C16" s="172"/>
      <c r="D16" s="172"/>
      <c r="E16" s="172"/>
      <c r="F16" s="172"/>
      <c r="G16" s="172"/>
      <c r="H16" s="172"/>
      <c r="I16" s="172"/>
      <c r="J16" s="172"/>
      <c r="K16" s="172"/>
    </row>
    <row r="17" spans="3:11" x14ac:dyDescent="0.2">
      <c r="C17" s="172"/>
      <c r="D17" s="172"/>
      <c r="E17" s="172"/>
      <c r="F17" s="172"/>
      <c r="G17" s="172"/>
      <c r="H17" s="172"/>
      <c r="I17" s="172"/>
      <c r="J17" s="172"/>
      <c r="K17" s="172"/>
    </row>
    <row r="18" spans="3:11" x14ac:dyDescent="0.2">
      <c r="C18" s="172"/>
      <c r="D18" s="172"/>
      <c r="E18" s="172"/>
      <c r="F18" s="172"/>
      <c r="G18" s="172"/>
      <c r="H18" s="172"/>
      <c r="I18" s="172"/>
      <c r="J18" s="172"/>
      <c r="K18" s="172"/>
    </row>
    <row r="19" spans="3:11" x14ac:dyDescent="0.2">
      <c r="C19" s="172"/>
      <c r="D19" s="172"/>
      <c r="E19" s="172"/>
      <c r="F19" s="172"/>
      <c r="G19" s="172"/>
      <c r="H19" s="172"/>
      <c r="I19" s="172"/>
      <c r="J19" s="172"/>
      <c r="K19" s="172"/>
    </row>
    <row r="20" spans="3:11" x14ac:dyDescent="0.2">
      <c r="C20" s="172"/>
      <c r="D20" s="172"/>
      <c r="E20" s="172"/>
      <c r="F20" s="172"/>
      <c r="G20" s="172"/>
      <c r="H20" s="172"/>
      <c r="I20" s="172"/>
      <c r="J20" s="172"/>
      <c r="K20" s="172"/>
    </row>
    <row r="21" spans="3:11" x14ac:dyDescent="0.2">
      <c r="C21" s="172"/>
      <c r="D21" s="172"/>
      <c r="E21" s="172"/>
      <c r="F21" s="172"/>
      <c r="G21" s="172"/>
      <c r="H21" s="172"/>
      <c r="I21" s="172"/>
      <c r="J21" s="172"/>
      <c r="K21" s="172"/>
    </row>
    <row r="22" spans="3:11" x14ac:dyDescent="0.2">
      <c r="C22" s="172"/>
      <c r="D22" s="172"/>
      <c r="E22" s="172"/>
      <c r="F22" s="172"/>
      <c r="G22" s="172"/>
      <c r="H22" s="172"/>
      <c r="I22" s="172"/>
      <c r="J22" s="172"/>
      <c r="K22" s="172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L14" sqref="L14"/>
    </sheetView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</v>
      </c>
      <c r="V3" s="129">
        <v>0</v>
      </c>
      <c r="W3" s="129">
        <v>0</v>
      </c>
      <c r="X3" s="129">
        <v>0</v>
      </c>
      <c r="Y3" s="129">
        <v>0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</v>
      </c>
      <c r="V4" s="129">
        <v>0</v>
      </c>
      <c r="W4" s="129">
        <v>0</v>
      </c>
      <c r="X4" s="129">
        <v>0</v>
      </c>
      <c r="Y4" s="129">
        <v>0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</v>
      </c>
      <c r="V5" s="129">
        <v>0</v>
      </c>
      <c r="W5" s="129">
        <v>0</v>
      </c>
      <c r="X5" s="129">
        <v>0</v>
      </c>
      <c r="Y5" s="129">
        <v>0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</v>
      </c>
      <c r="V6" s="129">
        <v>0</v>
      </c>
      <c r="W6" s="129">
        <v>0</v>
      </c>
      <c r="X6" s="129">
        <v>0</v>
      </c>
      <c r="Y6" s="129">
        <v>0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</v>
      </c>
      <c r="V7" s="129">
        <v>0</v>
      </c>
      <c r="W7" s="129">
        <v>0</v>
      </c>
      <c r="X7" s="129">
        <v>0</v>
      </c>
      <c r="Y7" s="129">
        <v>0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</v>
      </c>
      <c r="V8" s="129">
        <v>0</v>
      </c>
      <c r="W8" s="129">
        <v>0</v>
      </c>
      <c r="X8" s="129">
        <v>0</v>
      </c>
      <c r="Y8" s="129">
        <v>0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</v>
      </c>
      <c r="V9" s="129">
        <v>0</v>
      </c>
      <c r="W9" s="129">
        <v>0</v>
      </c>
      <c r="X9" s="129">
        <v>0</v>
      </c>
      <c r="Y9" s="129">
        <v>0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</v>
      </c>
      <c r="V10" s="129">
        <v>0</v>
      </c>
      <c r="W10" s="129">
        <v>0</v>
      </c>
      <c r="X10" s="129">
        <v>0</v>
      </c>
      <c r="Y10" s="129">
        <v>0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</v>
      </c>
      <c r="V11" s="129">
        <v>0</v>
      </c>
      <c r="W11" s="129">
        <v>0</v>
      </c>
      <c r="X11" s="129">
        <v>0</v>
      </c>
      <c r="Y11" s="129">
        <v>0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</v>
      </c>
      <c r="V12" s="129">
        <v>0</v>
      </c>
      <c r="W12" s="129">
        <v>0</v>
      </c>
      <c r="X12" s="129">
        <v>0</v>
      </c>
      <c r="Y12" s="129">
        <v>0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</v>
      </c>
      <c r="V13" s="129">
        <v>0</v>
      </c>
      <c r="W13" s="129">
        <v>0</v>
      </c>
      <c r="X13" s="129">
        <v>0</v>
      </c>
      <c r="Y13" s="129">
        <v>0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</v>
      </c>
      <c r="V14" s="129">
        <v>0</v>
      </c>
      <c r="W14" s="129">
        <v>0</v>
      </c>
      <c r="X14" s="129">
        <v>0</v>
      </c>
      <c r="Y14" s="129">
        <v>0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</v>
      </c>
      <c r="V15" s="129">
        <v>0</v>
      </c>
      <c r="W15" s="129">
        <v>0</v>
      </c>
      <c r="X15" s="129">
        <v>0</v>
      </c>
      <c r="Y15" s="129">
        <v>0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</v>
      </c>
      <c r="V16" s="129">
        <v>0</v>
      </c>
      <c r="W16" s="129">
        <v>0</v>
      </c>
      <c r="X16" s="129">
        <v>0</v>
      </c>
      <c r="Y16" s="129">
        <v>0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</v>
      </c>
      <c r="V17" s="129">
        <v>0</v>
      </c>
      <c r="W17" s="129">
        <v>0</v>
      </c>
      <c r="X17" s="129">
        <v>0</v>
      </c>
      <c r="Y17" s="129">
        <v>0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</v>
      </c>
      <c r="V18" s="129">
        <v>0</v>
      </c>
      <c r="W18" s="129">
        <v>0</v>
      </c>
      <c r="X18" s="129">
        <v>0</v>
      </c>
      <c r="Y18" s="129">
        <v>0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</v>
      </c>
      <c r="V19" s="129">
        <v>0</v>
      </c>
      <c r="W19" s="129">
        <v>0</v>
      </c>
      <c r="X19" s="129">
        <v>0</v>
      </c>
      <c r="Y19" s="129">
        <v>0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</v>
      </c>
      <c r="V20" s="129">
        <v>0</v>
      </c>
      <c r="W20" s="129">
        <v>0</v>
      </c>
      <c r="X20" s="129">
        <v>0</v>
      </c>
      <c r="Y20" s="129">
        <v>0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</v>
      </c>
      <c r="V21" s="129">
        <v>0</v>
      </c>
      <c r="W21" s="129">
        <v>0</v>
      </c>
      <c r="X21" s="129">
        <v>0</v>
      </c>
      <c r="Y21" s="129">
        <v>0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</v>
      </c>
      <c r="V22" s="129">
        <v>0</v>
      </c>
      <c r="W22" s="129">
        <v>0</v>
      </c>
      <c r="X22" s="129">
        <v>0</v>
      </c>
      <c r="Y22" s="129">
        <v>0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</v>
      </c>
      <c r="V23" s="129">
        <v>0</v>
      </c>
      <c r="W23" s="129">
        <v>0</v>
      </c>
      <c r="X23" s="129">
        <v>0</v>
      </c>
      <c r="Y23" s="129">
        <v>0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</v>
      </c>
      <c r="V24" s="129">
        <v>0</v>
      </c>
      <c r="W24" s="129">
        <v>0</v>
      </c>
      <c r="X24" s="129">
        <v>0</v>
      </c>
      <c r="Y24" s="129">
        <v>0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</v>
      </c>
      <c r="V25" s="129">
        <v>0</v>
      </c>
      <c r="W25" s="129">
        <v>0</v>
      </c>
      <c r="X25" s="129">
        <v>0</v>
      </c>
      <c r="Y25" s="129">
        <v>0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</v>
      </c>
      <c r="V26" s="129">
        <v>0</v>
      </c>
      <c r="W26" s="129">
        <v>0</v>
      </c>
      <c r="X26" s="129">
        <v>0</v>
      </c>
      <c r="Y26" s="129">
        <v>0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</v>
      </c>
      <c r="V27" s="129">
        <v>0</v>
      </c>
      <c r="W27" s="129">
        <v>0</v>
      </c>
      <c r="X27" s="129">
        <v>0</v>
      </c>
      <c r="Y27" s="129">
        <v>0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</v>
      </c>
      <c r="V28" s="129">
        <v>0</v>
      </c>
      <c r="W28" s="129">
        <v>0</v>
      </c>
      <c r="X28" s="129">
        <v>0</v>
      </c>
      <c r="Y28" s="129">
        <v>0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</v>
      </c>
      <c r="V29" s="129">
        <v>0</v>
      </c>
      <c r="W29" s="129">
        <v>0</v>
      </c>
      <c r="X29" s="129">
        <v>0</v>
      </c>
      <c r="Y29" s="129">
        <v>0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</v>
      </c>
      <c r="V30" s="129">
        <v>0</v>
      </c>
      <c r="W30" s="129">
        <v>0</v>
      </c>
      <c r="X30" s="129">
        <v>0</v>
      </c>
      <c r="Y30" s="129">
        <v>0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</v>
      </c>
      <c r="V31" s="129">
        <v>0</v>
      </c>
      <c r="W31" s="129">
        <v>0</v>
      </c>
      <c r="X31" s="129">
        <v>0</v>
      </c>
      <c r="Y31" s="129">
        <v>0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</v>
      </c>
      <c r="V32" s="129">
        <v>0</v>
      </c>
      <c r="W32" s="129">
        <v>0</v>
      </c>
      <c r="X32" s="129">
        <v>0</v>
      </c>
      <c r="Y32" s="129">
        <v>0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</v>
      </c>
      <c r="V33" s="129">
        <v>0</v>
      </c>
      <c r="W33" s="129">
        <v>0</v>
      </c>
      <c r="X33" s="129">
        <v>0</v>
      </c>
      <c r="Y33" s="129">
        <v>0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</v>
      </c>
      <c r="V34" s="129">
        <v>0</v>
      </c>
      <c r="W34" s="129">
        <v>0</v>
      </c>
      <c r="X34" s="129">
        <v>0</v>
      </c>
      <c r="Y34" s="129">
        <v>0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</v>
      </c>
      <c r="V35" s="129">
        <v>0</v>
      </c>
      <c r="W35" s="129">
        <v>0</v>
      </c>
      <c r="X35" s="129">
        <v>0</v>
      </c>
      <c r="Y35" s="129">
        <v>0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</v>
      </c>
      <c r="V36" s="129">
        <v>0</v>
      </c>
      <c r="W36" s="129">
        <v>0</v>
      </c>
      <c r="X36" s="129">
        <v>0</v>
      </c>
      <c r="Y36" s="129">
        <v>0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</v>
      </c>
      <c r="V37" s="129">
        <v>0</v>
      </c>
      <c r="W37" s="129">
        <v>0</v>
      </c>
      <c r="X37" s="129">
        <v>0</v>
      </c>
      <c r="Y37" s="129">
        <v>0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</v>
      </c>
      <c r="V38" s="129">
        <v>0</v>
      </c>
      <c r="W38" s="129">
        <v>0</v>
      </c>
      <c r="X38" s="129">
        <v>0</v>
      </c>
      <c r="Y38" s="129">
        <v>0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</v>
      </c>
      <c r="V39" s="129">
        <v>0</v>
      </c>
      <c r="W39" s="129">
        <v>0</v>
      </c>
      <c r="X39" s="129">
        <v>0</v>
      </c>
      <c r="Y39" s="129">
        <v>0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</v>
      </c>
      <c r="V40" s="129">
        <v>0</v>
      </c>
      <c r="W40" s="129">
        <v>0</v>
      </c>
      <c r="X40" s="129">
        <v>0</v>
      </c>
      <c r="Y40" s="129">
        <v>0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</v>
      </c>
      <c r="V41" s="129">
        <v>0</v>
      </c>
      <c r="W41" s="129">
        <v>0</v>
      </c>
      <c r="X41" s="129">
        <v>0</v>
      </c>
      <c r="Y41" s="129">
        <v>0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</v>
      </c>
      <c r="V42" s="129">
        <v>0</v>
      </c>
      <c r="W42" s="129">
        <v>0</v>
      </c>
      <c r="X42" s="129">
        <v>0</v>
      </c>
      <c r="Y42" s="129">
        <v>0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</v>
      </c>
      <c r="V43" s="129">
        <v>0</v>
      </c>
      <c r="W43" s="129">
        <v>0</v>
      </c>
      <c r="X43" s="129">
        <v>0</v>
      </c>
      <c r="Y43" s="129">
        <v>0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</v>
      </c>
      <c r="V44" s="129">
        <v>0</v>
      </c>
      <c r="W44" s="129">
        <v>0</v>
      </c>
      <c r="X44" s="129">
        <v>0</v>
      </c>
      <c r="Y44" s="129">
        <v>0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</v>
      </c>
      <c r="V45" s="129">
        <v>0</v>
      </c>
      <c r="W45" s="129">
        <v>0</v>
      </c>
      <c r="X45" s="129">
        <v>0</v>
      </c>
      <c r="Y45" s="129">
        <v>0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</v>
      </c>
      <c r="V46" s="129">
        <v>0</v>
      </c>
      <c r="W46" s="129">
        <v>0</v>
      </c>
      <c r="X46" s="129">
        <v>0</v>
      </c>
      <c r="Y46" s="129">
        <v>0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</v>
      </c>
      <c r="V47" s="129">
        <v>0</v>
      </c>
      <c r="W47" s="129">
        <v>0</v>
      </c>
      <c r="X47" s="129">
        <v>0</v>
      </c>
      <c r="Y47" s="129">
        <v>0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</v>
      </c>
      <c r="V48" s="129">
        <v>0</v>
      </c>
      <c r="W48" s="129">
        <v>0</v>
      </c>
      <c r="X48" s="129">
        <v>0</v>
      </c>
      <c r="Y48" s="129">
        <v>0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</v>
      </c>
      <c r="V49" s="129">
        <v>0</v>
      </c>
      <c r="W49" s="129">
        <v>0</v>
      </c>
      <c r="X49" s="129">
        <v>0</v>
      </c>
      <c r="Y49" s="129">
        <v>0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</v>
      </c>
      <c r="V50" s="129">
        <v>0</v>
      </c>
      <c r="W50" s="129">
        <v>0</v>
      </c>
      <c r="X50" s="129">
        <v>0</v>
      </c>
      <c r="Y50" s="129">
        <v>0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</v>
      </c>
      <c r="V51" s="129">
        <v>0</v>
      </c>
      <c r="W51" s="129">
        <v>0</v>
      </c>
      <c r="X51" s="129">
        <v>0</v>
      </c>
      <c r="Y51" s="129">
        <v>0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</v>
      </c>
      <c r="V52" s="129">
        <v>0</v>
      </c>
      <c r="W52" s="129">
        <v>0</v>
      </c>
      <c r="X52" s="129">
        <v>0</v>
      </c>
      <c r="Y52" s="129">
        <v>0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</v>
      </c>
      <c r="V53" s="129">
        <v>0</v>
      </c>
      <c r="W53" s="129">
        <v>0</v>
      </c>
      <c r="X53" s="129">
        <v>0</v>
      </c>
      <c r="Y53" s="129">
        <v>0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</v>
      </c>
      <c r="V54" s="129">
        <v>0</v>
      </c>
      <c r="W54" s="129">
        <v>0</v>
      </c>
      <c r="X54" s="129">
        <v>0</v>
      </c>
      <c r="Y54" s="129">
        <v>0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</v>
      </c>
      <c r="V55" s="129">
        <v>0</v>
      </c>
      <c r="W55" s="129">
        <v>0</v>
      </c>
      <c r="X55" s="129">
        <v>0</v>
      </c>
      <c r="Y55" s="129">
        <v>0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</v>
      </c>
      <c r="V56" s="129">
        <v>0</v>
      </c>
      <c r="W56" s="129">
        <v>0</v>
      </c>
      <c r="X56" s="129">
        <v>0</v>
      </c>
      <c r="Y56" s="129">
        <v>0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</v>
      </c>
      <c r="V57" s="129">
        <v>0</v>
      </c>
      <c r="W57" s="129">
        <v>0</v>
      </c>
      <c r="X57" s="129">
        <v>0</v>
      </c>
      <c r="Y57" s="129">
        <v>0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</v>
      </c>
      <c r="V58" s="129">
        <v>0</v>
      </c>
      <c r="W58" s="129">
        <v>0</v>
      </c>
      <c r="X58" s="129">
        <v>0</v>
      </c>
      <c r="Y58" s="129">
        <v>0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</v>
      </c>
      <c r="V59" s="129">
        <v>0</v>
      </c>
      <c r="W59" s="129">
        <v>0</v>
      </c>
      <c r="X59" s="129">
        <v>0</v>
      </c>
      <c r="Y59" s="129">
        <v>0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</v>
      </c>
      <c r="V60" s="129">
        <v>0</v>
      </c>
      <c r="W60" s="129">
        <v>0</v>
      </c>
      <c r="X60" s="129">
        <v>0</v>
      </c>
      <c r="Y60" s="129">
        <v>0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</v>
      </c>
      <c r="V61" s="129">
        <v>0</v>
      </c>
      <c r="W61" s="129">
        <v>0</v>
      </c>
      <c r="X61" s="129">
        <v>0</v>
      </c>
      <c r="Y61" s="129">
        <v>0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</v>
      </c>
      <c r="V62" s="129">
        <v>0</v>
      </c>
      <c r="W62" s="129">
        <v>0</v>
      </c>
      <c r="X62" s="129">
        <v>0</v>
      </c>
      <c r="Y62" s="129">
        <v>0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</v>
      </c>
      <c r="V63" s="129">
        <v>0</v>
      </c>
      <c r="W63" s="129">
        <v>0</v>
      </c>
      <c r="X63" s="129">
        <v>0</v>
      </c>
      <c r="Y63" s="129">
        <v>0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</v>
      </c>
      <c r="V64" s="129">
        <v>0</v>
      </c>
      <c r="W64" s="129">
        <v>0</v>
      </c>
      <c r="X64" s="129">
        <v>0</v>
      </c>
      <c r="Y64" s="129">
        <v>0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</v>
      </c>
      <c r="V65" s="129">
        <v>0</v>
      </c>
      <c r="W65" s="129">
        <v>0</v>
      </c>
      <c r="X65" s="129">
        <v>0</v>
      </c>
      <c r="Y65" s="129">
        <v>0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</v>
      </c>
      <c r="V66" s="129">
        <v>0</v>
      </c>
      <c r="W66" s="129">
        <v>0</v>
      </c>
      <c r="X66" s="129">
        <v>0</v>
      </c>
      <c r="Y66" s="129">
        <v>0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</v>
      </c>
      <c r="V67" s="129">
        <v>0</v>
      </c>
      <c r="W67" s="129">
        <v>0</v>
      </c>
      <c r="X67" s="129">
        <v>0</v>
      </c>
      <c r="Y67" s="129">
        <v>0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</v>
      </c>
      <c r="V68" s="129">
        <v>0</v>
      </c>
      <c r="W68" s="129">
        <v>0</v>
      </c>
      <c r="X68" s="129">
        <v>0</v>
      </c>
      <c r="Y68" s="129">
        <v>0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</v>
      </c>
      <c r="V69" s="129">
        <v>0</v>
      </c>
      <c r="W69" s="129">
        <v>0</v>
      </c>
      <c r="X69" s="129">
        <v>0</v>
      </c>
      <c r="Y69" s="129">
        <v>0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</v>
      </c>
      <c r="V70" s="129">
        <v>0</v>
      </c>
      <c r="W70" s="129">
        <v>0</v>
      </c>
      <c r="X70" s="129">
        <v>0</v>
      </c>
      <c r="Y70" s="129">
        <v>0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</v>
      </c>
      <c r="V71" s="129">
        <v>0</v>
      </c>
      <c r="W71" s="129">
        <v>0</v>
      </c>
      <c r="X71" s="129">
        <v>0</v>
      </c>
      <c r="Y71" s="129">
        <v>0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</v>
      </c>
      <c r="V72" s="129">
        <v>0</v>
      </c>
      <c r="W72" s="129">
        <v>0</v>
      </c>
      <c r="X72" s="129">
        <v>0</v>
      </c>
      <c r="Y72" s="129">
        <v>0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</v>
      </c>
      <c r="V73" s="129">
        <v>0</v>
      </c>
      <c r="W73" s="129">
        <v>0</v>
      </c>
      <c r="X73" s="129">
        <v>0</v>
      </c>
      <c r="Y73" s="129">
        <v>0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</v>
      </c>
      <c r="V74" s="129">
        <v>0</v>
      </c>
      <c r="W74" s="129">
        <v>0</v>
      </c>
      <c r="X74" s="129">
        <v>0</v>
      </c>
      <c r="Y74" s="129">
        <v>0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</v>
      </c>
      <c r="V75" s="129">
        <v>0</v>
      </c>
      <c r="W75" s="129">
        <v>0</v>
      </c>
      <c r="X75" s="129">
        <v>0</v>
      </c>
      <c r="Y75" s="129">
        <v>0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</v>
      </c>
      <c r="V76" s="129">
        <v>0</v>
      </c>
      <c r="W76" s="129">
        <v>0</v>
      </c>
      <c r="X76" s="129">
        <v>0</v>
      </c>
      <c r="Y76" s="129">
        <v>0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</v>
      </c>
      <c r="V77" s="129">
        <v>0</v>
      </c>
      <c r="W77" s="129">
        <v>0</v>
      </c>
      <c r="X77" s="129">
        <v>0</v>
      </c>
      <c r="Y77" s="129">
        <v>0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</v>
      </c>
      <c r="V78" s="129">
        <v>0</v>
      </c>
      <c r="W78" s="129">
        <v>0</v>
      </c>
      <c r="X78" s="129">
        <v>0</v>
      </c>
      <c r="Y78" s="129">
        <v>0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</v>
      </c>
      <c r="V79" s="129">
        <v>0</v>
      </c>
      <c r="W79" s="129">
        <v>0</v>
      </c>
      <c r="X79" s="129">
        <v>0</v>
      </c>
      <c r="Y79" s="129">
        <v>0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</v>
      </c>
      <c r="V80" s="129">
        <v>0</v>
      </c>
      <c r="W80" s="129">
        <v>0</v>
      </c>
      <c r="X80" s="129">
        <v>0</v>
      </c>
      <c r="Y80" s="129">
        <v>0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</v>
      </c>
      <c r="V81" s="129">
        <v>0</v>
      </c>
      <c r="W81" s="129">
        <v>0</v>
      </c>
      <c r="X81" s="129">
        <v>0</v>
      </c>
      <c r="Y81" s="129">
        <v>0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</v>
      </c>
      <c r="V82" s="129">
        <v>0</v>
      </c>
      <c r="W82" s="129">
        <v>0</v>
      </c>
      <c r="X82" s="129">
        <v>0</v>
      </c>
      <c r="Y82" s="129">
        <v>0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</v>
      </c>
      <c r="V83" s="129">
        <v>0</v>
      </c>
      <c r="W83" s="129">
        <v>0</v>
      </c>
      <c r="X83" s="129">
        <v>0</v>
      </c>
      <c r="Y83" s="129">
        <v>0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</v>
      </c>
      <c r="V84" s="129">
        <v>0</v>
      </c>
      <c r="W84" s="129">
        <v>0</v>
      </c>
      <c r="X84" s="129">
        <v>0</v>
      </c>
      <c r="Y84" s="129">
        <v>0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</v>
      </c>
      <c r="V85" s="129">
        <v>0</v>
      </c>
      <c r="W85" s="129">
        <v>0</v>
      </c>
      <c r="X85" s="129">
        <v>0</v>
      </c>
      <c r="Y85" s="129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</v>
      </c>
      <c r="V86" s="129">
        <v>0</v>
      </c>
      <c r="W86" s="129">
        <v>0</v>
      </c>
      <c r="X86" s="129">
        <v>0</v>
      </c>
      <c r="Y86" s="129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</v>
      </c>
      <c r="V87" s="129">
        <v>0</v>
      </c>
      <c r="W87" s="129">
        <v>0</v>
      </c>
      <c r="X87" s="129">
        <v>0</v>
      </c>
      <c r="Y87" s="129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</v>
      </c>
      <c r="V88" s="129">
        <v>0</v>
      </c>
      <c r="W88" s="129">
        <v>0</v>
      </c>
      <c r="X88" s="129">
        <v>0</v>
      </c>
      <c r="Y88" s="129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</v>
      </c>
      <c r="V89" s="129">
        <v>0</v>
      </c>
      <c r="W89" s="129">
        <v>0</v>
      </c>
      <c r="X89" s="129">
        <v>0</v>
      </c>
      <c r="Y89" s="129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</v>
      </c>
      <c r="V90" s="129">
        <v>0</v>
      </c>
      <c r="W90" s="129">
        <v>0</v>
      </c>
      <c r="X90" s="129">
        <v>0</v>
      </c>
      <c r="Y90" s="129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</v>
      </c>
      <c r="V91" s="129">
        <v>0</v>
      </c>
      <c r="W91" s="129">
        <v>0</v>
      </c>
      <c r="X91" s="129">
        <v>0</v>
      </c>
      <c r="Y91" s="129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</v>
      </c>
      <c r="V92" s="129">
        <v>0</v>
      </c>
      <c r="W92" s="129">
        <v>0</v>
      </c>
      <c r="X92" s="129">
        <v>0</v>
      </c>
      <c r="Y92" s="129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</v>
      </c>
      <c r="V93" s="129">
        <v>0</v>
      </c>
      <c r="W93" s="129">
        <v>0</v>
      </c>
      <c r="X93" s="129">
        <v>0</v>
      </c>
      <c r="Y93" s="129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</v>
      </c>
      <c r="V94" s="129">
        <v>0</v>
      </c>
      <c r="W94" s="129">
        <v>0</v>
      </c>
      <c r="X94" s="129">
        <v>0</v>
      </c>
      <c r="Y94" s="129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</v>
      </c>
      <c r="V95" s="129">
        <v>0</v>
      </c>
      <c r="W95" s="129">
        <v>0</v>
      </c>
      <c r="X95" s="129">
        <v>0</v>
      </c>
      <c r="Y95" s="129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</v>
      </c>
      <c r="V96" s="129">
        <v>0</v>
      </c>
      <c r="W96" s="129">
        <v>0</v>
      </c>
      <c r="X96" s="129">
        <v>0</v>
      </c>
      <c r="Y96" s="129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</v>
      </c>
      <c r="V97" s="129">
        <v>0</v>
      </c>
      <c r="W97" s="129">
        <v>0</v>
      </c>
      <c r="X97" s="129">
        <v>0</v>
      </c>
      <c r="Y97" s="129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</v>
      </c>
      <c r="V98" s="129">
        <v>0</v>
      </c>
      <c r="W98" s="129">
        <v>0</v>
      </c>
      <c r="X98" s="129">
        <v>0</v>
      </c>
      <c r="Y98" s="129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</v>
      </c>
      <c r="V99" s="129">
        <v>0</v>
      </c>
      <c r="W99" s="129">
        <v>0</v>
      </c>
      <c r="X99" s="129">
        <v>0</v>
      </c>
      <c r="Y99" s="129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</v>
      </c>
      <c r="V100" s="129">
        <v>0</v>
      </c>
      <c r="W100" s="129">
        <v>0</v>
      </c>
      <c r="X100" s="129">
        <v>0</v>
      </c>
      <c r="Y100" s="129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</v>
      </c>
      <c r="V101" s="129">
        <v>0</v>
      </c>
      <c r="W101" s="129">
        <v>0</v>
      </c>
      <c r="X101" s="129">
        <v>0</v>
      </c>
      <c r="Y101" s="129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</v>
      </c>
      <c r="V102" s="129">
        <v>0</v>
      </c>
      <c r="W102" s="129">
        <v>0</v>
      </c>
      <c r="X102" s="129">
        <v>0</v>
      </c>
      <c r="Y102" s="129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</v>
      </c>
      <c r="V103" s="129">
        <v>0</v>
      </c>
      <c r="W103" s="129">
        <v>0</v>
      </c>
      <c r="X103" s="129">
        <v>0</v>
      </c>
      <c r="Y103" s="129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</v>
      </c>
      <c r="V104" s="129">
        <v>0</v>
      </c>
      <c r="W104" s="129">
        <v>0</v>
      </c>
      <c r="X104" s="129">
        <v>0</v>
      </c>
      <c r="Y104" s="129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</v>
      </c>
      <c r="V105" s="129">
        <v>0</v>
      </c>
      <c r="W105" s="129">
        <v>0</v>
      </c>
      <c r="X105" s="129">
        <v>0</v>
      </c>
      <c r="Y105" s="129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</v>
      </c>
      <c r="V106" s="129">
        <v>0</v>
      </c>
      <c r="W106" s="129">
        <v>0</v>
      </c>
      <c r="X106" s="129">
        <v>0</v>
      </c>
      <c r="Y106" s="129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</v>
      </c>
      <c r="V107" s="129">
        <v>0</v>
      </c>
      <c r="W107" s="129">
        <v>0</v>
      </c>
      <c r="X107" s="129">
        <v>0</v>
      </c>
      <c r="Y107" s="129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</v>
      </c>
      <c r="V108" s="129">
        <v>0</v>
      </c>
      <c r="W108" s="129">
        <v>0</v>
      </c>
      <c r="X108" s="129">
        <v>0</v>
      </c>
      <c r="Y108" s="129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</v>
      </c>
      <c r="V109" s="129">
        <v>0</v>
      </c>
      <c r="W109" s="129">
        <v>0</v>
      </c>
      <c r="X109" s="129">
        <v>0</v>
      </c>
      <c r="Y109" s="129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</v>
      </c>
      <c r="V110" s="129">
        <v>0</v>
      </c>
      <c r="W110" s="129">
        <v>0</v>
      </c>
      <c r="X110" s="129">
        <v>0</v>
      </c>
      <c r="Y110" s="129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</v>
      </c>
      <c r="V111" s="129">
        <v>0</v>
      </c>
      <c r="W111" s="129">
        <v>0</v>
      </c>
      <c r="X111" s="129">
        <v>0</v>
      </c>
      <c r="Y111" s="129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</v>
      </c>
      <c r="V112" s="129">
        <v>0</v>
      </c>
      <c r="W112" s="129">
        <v>0</v>
      </c>
      <c r="X112" s="129">
        <v>0</v>
      </c>
      <c r="Y112" s="129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</v>
      </c>
      <c r="V113" s="129">
        <v>0</v>
      </c>
      <c r="W113" s="129">
        <v>0</v>
      </c>
      <c r="X113" s="129">
        <v>0</v>
      </c>
      <c r="Y113" s="129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</v>
      </c>
      <c r="V114" s="129">
        <v>0</v>
      </c>
      <c r="W114" s="129">
        <v>0</v>
      </c>
      <c r="X114" s="129">
        <v>0</v>
      </c>
      <c r="Y114" s="129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</v>
      </c>
      <c r="V115" s="129">
        <v>0</v>
      </c>
      <c r="W115" s="129">
        <v>0</v>
      </c>
      <c r="X115" s="129">
        <v>0</v>
      </c>
      <c r="Y115" s="129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</v>
      </c>
      <c r="V116" s="129">
        <v>0</v>
      </c>
      <c r="W116" s="129">
        <v>0</v>
      </c>
      <c r="X116" s="129">
        <v>0</v>
      </c>
      <c r="Y116" s="129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</v>
      </c>
      <c r="V117" s="129">
        <v>0</v>
      </c>
      <c r="W117" s="129">
        <v>0</v>
      </c>
      <c r="X117" s="129">
        <v>0</v>
      </c>
      <c r="Y117" s="129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</v>
      </c>
      <c r="V118" s="129">
        <v>0</v>
      </c>
      <c r="W118" s="129">
        <v>0</v>
      </c>
      <c r="X118" s="129">
        <v>0</v>
      </c>
      <c r="Y118" s="129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</v>
      </c>
      <c r="V119" s="129">
        <v>0</v>
      </c>
      <c r="W119" s="129">
        <v>0</v>
      </c>
      <c r="X119" s="129">
        <v>0</v>
      </c>
      <c r="Y119" s="129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</v>
      </c>
      <c r="V120" s="129">
        <v>0</v>
      </c>
      <c r="W120" s="129">
        <v>0</v>
      </c>
      <c r="X120" s="129">
        <v>0</v>
      </c>
      <c r="Y120" s="129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</v>
      </c>
      <c r="V121" s="129">
        <v>0</v>
      </c>
      <c r="W121" s="129">
        <v>0</v>
      </c>
      <c r="X121" s="129">
        <v>0</v>
      </c>
      <c r="Y121" s="129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</v>
      </c>
      <c r="V122" s="129">
        <v>0</v>
      </c>
      <c r="W122" s="129">
        <v>0</v>
      </c>
      <c r="X122" s="129">
        <v>0</v>
      </c>
      <c r="Y122" s="129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</v>
      </c>
      <c r="V123" s="129">
        <v>0</v>
      </c>
      <c r="W123" s="129">
        <v>0</v>
      </c>
      <c r="X123" s="129">
        <v>0</v>
      </c>
      <c r="Y123" s="129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</v>
      </c>
      <c r="V124" s="129">
        <v>0</v>
      </c>
      <c r="W124" s="129">
        <v>0</v>
      </c>
      <c r="X124" s="129">
        <v>0</v>
      </c>
      <c r="Y124" s="129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</v>
      </c>
      <c r="V125" s="129">
        <v>0</v>
      </c>
      <c r="W125" s="129">
        <v>0</v>
      </c>
      <c r="X125" s="129">
        <v>0</v>
      </c>
      <c r="Y125" s="129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</v>
      </c>
      <c r="V126" s="129">
        <v>0</v>
      </c>
      <c r="W126" s="129">
        <v>0</v>
      </c>
      <c r="X126" s="129">
        <v>0</v>
      </c>
      <c r="Y126" s="129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</v>
      </c>
      <c r="V127" s="129">
        <v>0</v>
      </c>
      <c r="W127" s="129">
        <v>0</v>
      </c>
      <c r="X127" s="129">
        <v>0</v>
      </c>
      <c r="Y127" s="129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</v>
      </c>
      <c r="V128" s="129">
        <v>0</v>
      </c>
      <c r="W128" s="129">
        <v>0</v>
      </c>
      <c r="X128" s="129">
        <v>0</v>
      </c>
      <c r="Y128" s="129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</v>
      </c>
      <c r="V129" s="129">
        <v>0</v>
      </c>
      <c r="W129" s="129">
        <v>0</v>
      </c>
      <c r="X129" s="129">
        <v>0</v>
      </c>
      <c r="Y129" s="129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</v>
      </c>
      <c r="V130" s="129">
        <v>0</v>
      </c>
      <c r="W130" s="129">
        <v>0</v>
      </c>
      <c r="X130" s="129">
        <v>0</v>
      </c>
      <c r="Y130" s="129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</v>
      </c>
      <c r="V131" s="129">
        <v>0</v>
      </c>
      <c r="W131" s="129">
        <v>0</v>
      </c>
      <c r="X131" s="129">
        <v>0</v>
      </c>
      <c r="Y131" s="129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</v>
      </c>
      <c r="V132" s="129">
        <v>0</v>
      </c>
      <c r="W132" s="129">
        <v>0</v>
      </c>
      <c r="X132" s="129">
        <v>0</v>
      </c>
      <c r="Y132" s="129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</v>
      </c>
      <c r="V133" s="129">
        <v>0</v>
      </c>
      <c r="W133" s="129">
        <v>0</v>
      </c>
      <c r="X133" s="129">
        <v>0</v>
      </c>
      <c r="Y133" s="129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</v>
      </c>
      <c r="V134" s="129">
        <v>0</v>
      </c>
      <c r="W134" s="129">
        <v>0</v>
      </c>
      <c r="X134" s="129">
        <v>0</v>
      </c>
      <c r="Y134" s="129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</v>
      </c>
      <c r="V135" s="129">
        <v>0</v>
      </c>
      <c r="W135" s="129">
        <v>0</v>
      </c>
      <c r="X135" s="129">
        <v>0</v>
      </c>
      <c r="Y135" s="129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</v>
      </c>
      <c r="V136" s="129">
        <v>0</v>
      </c>
      <c r="W136" s="129">
        <v>0</v>
      </c>
      <c r="X136" s="129">
        <v>0</v>
      </c>
      <c r="Y136" s="129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</v>
      </c>
      <c r="V137" s="129">
        <v>0</v>
      </c>
      <c r="W137" s="129">
        <v>0</v>
      </c>
      <c r="X137" s="129">
        <v>0</v>
      </c>
      <c r="Y137" s="129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</v>
      </c>
      <c r="V138" s="129">
        <v>0</v>
      </c>
      <c r="W138" s="129">
        <v>0</v>
      </c>
      <c r="X138" s="129">
        <v>0</v>
      </c>
      <c r="Y138" s="129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</v>
      </c>
      <c r="V139" s="129">
        <v>0</v>
      </c>
      <c r="W139" s="129">
        <v>0</v>
      </c>
      <c r="X139" s="129">
        <v>0</v>
      </c>
      <c r="Y139" s="129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</v>
      </c>
      <c r="V140" s="129">
        <v>0</v>
      </c>
      <c r="W140" s="129">
        <v>0</v>
      </c>
      <c r="X140" s="129">
        <v>0</v>
      </c>
      <c r="Y140" s="129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</v>
      </c>
      <c r="V141" s="129">
        <v>0</v>
      </c>
      <c r="W141" s="129">
        <v>0</v>
      </c>
      <c r="X141" s="129">
        <v>0</v>
      </c>
      <c r="Y141" s="129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</v>
      </c>
      <c r="V142" s="129">
        <v>0</v>
      </c>
      <c r="W142" s="129">
        <v>0</v>
      </c>
      <c r="X142" s="129">
        <v>0</v>
      </c>
      <c r="Y142" s="129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</v>
      </c>
      <c r="V143" s="129">
        <v>0</v>
      </c>
      <c r="W143" s="129">
        <v>0</v>
      </c>
      <c r="X143" s="129">
        <v>0</v>
      </c>
      <c r="Y143" s="129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</v>
      </c>
      <c r="V144" s="129">
        <v>0</v>
      </c>
      <c r="W144" s="129">
        <v>0</v>
      </c>
      <c r="X144" s="129">
        <v>0</v>
      </c>
      <c r="Y144" s="129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</v>
      </c>
      <c r="V145" s="129">
        <v>0</v>
      </c>
      <c r="W145" s="129">
        <v>0</v>
      </c>
      <c r="X145" s="129">
        <v>0</v>
      </c>
      <c r="Y145" s="129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</v>
      </c>
      <c r="V146" s="129">
        <v>0</v>
      </c>
      <c r="W146" s="129">
        <v>0</v>
      </c>
      <c r="X146" s="129">
        <v>0</v>
      </c>
      <c r="Y146" s="129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</v>
      </c>
      <c r="V147" s="129">
        <v>0</v>
      </c>
      <c r="W147" s="129">
        <v>0</v>
      </c>
      <c r="X147" s="129">
        <v>0</v>
      </c>
      <c r="Y147" s="129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</v>
      </c>
      <c r="V148" s="129">
        <v>0</v>
      </c>
      <c r="W148" s="129">
        <v>0</v>
      </c>
      <c r="X148" s="129">
        <v>0</v>
      </c>
      <c r="Y148" s="129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</v>
      </c>
      <c r="V149" s="129">
        <v>0</v>
      </c>
      <c r="W149" s="129">
        <v>0</v>
      </c>
      <c r="X149" s="129">
        <v>0</v>
      </c>
      <c r="Y149" s="129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</v>
      </c>
      <c r="V150" s="129">
        <v>0</v>
      </c>
      <c r="W150" s="129">
        <v>0</v>
      </c>
      <c r="X150" s="129">
        <v>0</v>
      </c>
      <c r="Y150" s="129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</v>
      </c>
      <c r="V151" s="129">
        <v>0</v>
      </c>
      <c r="W151" s="129">
        <v>0</v>
      </c>
      <c r="X151" s="129">
        <v>0</v>
      </c>
      <c r="Y151" s="129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</v>
      </c>
      <c r="V152" s="129">
        <v>0</v>
      </c>
      <c r="W152" s="129">
        <v>0</v>
      </c>
      <c r="X152" s="129">
        <v>0</v>
      </c>
      <c r="Y152" s="129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</v>
      </c>
      <c r="V153" s="129">
        <v>0</v>
      </c>
      <c r="W153" s="129">
        <v>0</v>
      </c>
      <c r="X153" s="129">
        <v>0</v>
      </c>
      <c r="Y153" s="129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</v>
      </c>
      <c r="V154" s="129">
        <v>0</v>
      </c>
      <c r="W154" s="129">
        <v>0</v>
      </c>
      <c r="X154" s="129">
        <v>0</v>
      </c>
      <c r="Y154" s="129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</v>
      </c>
      <c r="V155" s="129">
        <v>0</v>
      </c>
      <c r="W155" s="129">
        <v>0</v>
      </c>
      <c r="X155" s="129">
        <v>0</v>
      </c>
      <c r="Y155" s="129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</v>
      </c>
      <c r="V156" s="129">
        <v>0</v>
      </c>
      <c r="W156" s="129">
        <v>0</v>
      </c>
      <c r="X156" s="129">
        <v>0</v>
      </c>
      <c r="Y156" s="129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</v>
      </c>
      <c r="V157" s="129">
        <v>0</v>
      </c>
      <c r="W157" s="129">
        <v>0</v>
      </c>
      <c r="X157" s="129">
        <v>0</v>
      </c>
      <c r="Y157" s="129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</v>
      </c>
      <c r="V158" s="129">
        <v>0</v>
      </c>
      <c r="W158" s="129">
        <v>0</v>
      </c>
      <c r="X158" s="129">
        <v>0</v>
      </c>
      <c r="Y158" s="129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</v>
      </c>
      <c r="V159" s="129">
        <v>0</v>
      </c>
      <c r="W159" s="129">
        <v>0</v>
      </c>
      <c r="X159" s="129">
        <v>0</v>
      </c>
      <c r="Y159" s="129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</v>
      </c>
      <c r="V160" s="129">
        <v>0</v>
      </c>
      <c r="W160" s="129">
        <v>0</v>
      </c>
      <c r="X160" s="129">
        <v>0</v>
      </c>
      <c r="Y160" s="129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</v>
      </c>
      <c r="V161" s="129">
        <v>0</v>
      </c>
      <c r="W161" s="129">
        <v>0</v>
      </c>
      <c r="X161" s="129">
        <v>0</v>
      </c>
      <c r="Y161" s="129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</v>
      </c>
      <c r="V162" s="129">
        <v>0</v>
      </c>
      <c r="W162" s="129">
        <v>0</v>
      </c>
      <c r="X162" s="129">
        <v>0</v>
      </c>
      <c r="Y162" s="129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</v>
      </c>
      <c r="V163" s="129">
        <v>0</v>
      </c>
      <c r="W163" s="129">
        <v>0</v>
      </c>
      <c r="X163" s="129">
        <v>0</v>
      </c>
      <c r="Y163" s="129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</v>
      </c>
      <c r="V164" s="129">
        <v>0</v>
      </c>
      <c r="W164" s="129">
        <v>0</v>
      </c>
      <c r="X164" s="129">
        <v>0</v>
      </c>
      <c r="Y164" s="129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</v>
      </c>
      <c r="V165" s="129">
        <v>0</v>
      </c>
      <c r="W165" s="129">
        <v>0</v>
      </c>
      <c r="X165" s="129">
        <v>0</v>
      </c>
      <c r="Y165" s="129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</v>
      </c>
      <c r="V166" s="129">
        <v>0</v>
      </c>
      <c r="W166" s="129">
        <v>0</v>
      </c>
      <c r="X166" s="129">
        <v>0</v>
      </c>
      <c r="Y166" s="129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</v>
      </c>
      <c r="V167" s="129">
        <v>0</v>
      </c>
      <c r="W167" s="129">
        <v>0</v>
      </c>
      <c r="X167" s="129">
        <v>0</v>
      </c>
      <c r="Y167" s="129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</v>
      </c>
      <c r="V168" s="129">
        <v>0</v>
      </c>
      <c r="W168" s="129">
        <v>0</v>
      </c>
      <c r="X168" s="129">
        <v>0</v>
      </c>
      <c r="Y168" s="129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</v>
      </c>
      <c r="V169" s="129">
        <v>0</v>
      </c>
      <c r="W169" s="129">
        <v>0</v>
      </c>
      <c r="X169" s="129">
        <v>0</v>
      </c>
      <c r="Y169" s="129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</v>
      </c>
      <c r="V170" s="129">
        <v>0</v>
      </c>
      <c r="W170" s="129">
        <v>0</v>
      </c>
      <c r="X170" s="129">
        <v>0</v>
      </c>
      <c r="Y170" s="129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</v>
      </c>
      <c r="V171" s="129">
        <v>0</v>
      </c>
      <c r="W171" s="129">
        <v>0</v>
      </c>
      <c r="X171" s="129">
        <v>0</v>
      </c>
      <c r="Y171" s="129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</v>
      </c>
      <c r="V172" s="129">
        <v>0</v>
      </c>
      <c r="W172" s="129">
        <v>0</v>
      </c>
      <c r="X172" s="129">
        <v>0</v>
      </c>
      <c r="Y172" s="129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</v>
      </c>
      <c r="V173" s="129">
        <v>0</v>
      </c>
      <c r="W173" s="129">
        <v>0</v>
      </c>
      <c r="X173" s="129">
        <v>0</v>
      </c>
      <c r="Y173" s="129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</v>
      </c>
      <c r="V174" s="129">
        <v>0</v>
      </c>
      <c r="W174" s="129">
        <v>0</v>
      </c>
      <c r="X174" s="129">
        <v>0</v>
      </c>
      <c r="Y174" s="129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</v>
      </c>
      <c r="V175" s="129">
        <v>0</v>
      </c>
      <c r="W175" s="129">
        <v>0</v>
      </c>
      <c r="X175" s="129">
        <v>0</v>
      </c>
      <c r="Y175" s="129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</v>
      </c>
      <c r="V176" s="129">
        <v>0</v>
      </c>
      <c r="W176" s="129">
        <v>0</v>
      </c>
      <c r="X176" s="129">
        <v>0</v>
      </c>
      <c r="Y176" s="129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</v>
      </c>
      <c r="V177" s="129">
        <v>0</v>
      </c>
      <c r="W177" s="129">
        <v>0</v>
      </c>
      <c r="X177" s="129">
        <v>0</v>
      </c>
      <c r="Y177" s="129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</v>
      </c>
      <c r="V178" s="129">
        <v>0</v>
      </c>
      <c r="W178" s="129">
        <v>0</v>
      </c>
      <c r="X178" s="129">
        <v>0</v>
      </c>
      <c r="Y178" s="129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</v>
      </c>
      <c r="V179" s="129">
        <v>0</v>
      </c>
      <c r="W179" s="129">
        <v>0</v>
      </c>
      <c r="X179" s="129">
        <v>0</v>
      </c>
      <c r="Y179" s="129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</v>
      </c>
      <c r="V180" s="129">
        <v>0</v>
      </c>
      <c r="W180" s="129">
        <v>0</v>
      </c>
      <c r="X180" s="129">
        <v>0</v>
      </c>
      <c r="Y180" s="129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</v>
      </c>
      <c r="V181" s="129">
        <v>0</v>
      </c>
      <c r="W181" s="129">
        <v>0</v>
      </c>
      <c r="X181" s="129">
        <v>0</v>
      </c>
      <c r="Y181" s="129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</v>
      </c>
      <c r="V182" s="129">
        <v>0</v>
      </c>
      <c r="W182" s="129">
        <v>0</v>
      </c>
      <c r="X182" s="129">
        <v>0</v>
      </c>
      <c r="Y182" s="129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</v>
      </c>
      <c r="V183" s="129">
        <v>0</v>
      </c>
      <c r="W183" s="129">
        <v>0</v>
      </c>
      <c r="X183" s="129">
        <v>0</v>
      </c>
      <c r="Y183" s="129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</v>
      </c>
      <c r="V184" s="129">
        <v>0</v>
      </c>
      <c r="W184" s="129">
        <v>0</v>
      </c>
      <c r="X184" s="129">
        <v>0</v>
      </c>
      <c r="Y184" s="129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</v>
      </c>
      <c r="V185" s="129">
        <v>0</v>
      </c>
      <c r="W185" s="129">
        <v>0</v>
      </c>
      <c r="X185" s="129">
        <v>0</v>
      </c>
      <c r="Y185" s="129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</v>
      </c>
      <c r="V186" s="129">
        <v>0</v>
      </c>
      <c r="W186" s="129">
        <v>0</v>
      </c>
      <c r="X186" s="129">
        <v>0</v>
      </c>
      <c r="Y186" s="129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</v>
      </c>
      <c r="V187" s="129">
        <v>0</v>
      </c>
      <c r="W187" s="129">
        <v>0</v>
      </c>
      <c r="X187" s="129">
        <v>0</v>
      </c>
      <c r="Y187" s="129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</v>
      </c>
      <c r="V188" s="129">
        <v>0</v>
      </c>
      <c r="W188" s="129">
        <v>0</v>
      </c>
      <c r="X188" s="129">
        <v>0</v>
      </c>
      <c r="Y188" s="129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</v>
      </c>
      <c r="V189" s="129">
        <v>0</v>
      </c>
      <c r="W189" s="129">
        <v>0</v>
      </c>
      <c r="X189" s="129">
        <v>0</v>
      </c>
      <c r="Y189" s="129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</v>
      </c>
      <c r="V190" s="129">
        <v>0</v>
      </c>
      <c r="W190" s="129">
        <v>0</v>
      </c>
      <c r="X190" s="129">
        <v>0</v>
      </c>
      <c r="Y190" s="129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</v>
      </c>
      <c r="V191" s="129">
        <v>0</v>
      </c>
      <c r="W191" s="129">
        <v>0</v>
      </c>
      <c r="X191" s="129">
        <v>0</v>
      </c>
      <c r="Y191" s="129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</v>
      </c>
      <c r="V192" s="129">
        <v>0</v>
      </c>
      <c r="W192" s="129">
        <v>0</v>
      </c>
      <c r="X192" s="129">
        <v>0</v>
      </c>
      <c r="Y192" s="129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</v>
      </c>
      <c r="V193" s="129">
        <v>0</v>
      </c>
      <c r="W193" s="129">
        <v>0</v>
      </c>
      <c r="X193" s="129">
        <v>0</v>
      </c>
      <c r="Y193" s="129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</v>
      </c>
      <c r="V194" s="129">
        <v>0</v>
      </c>
      <c r="W194" s="129">
        <v>0</v>
      </c>
      <c r="X194" s="129">
        <v>0</v>
      </c>
      <c r="Y194" s="129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</v>
      </c>
      <c r="V195" s="129">
        <v>0</v>
      </c>
      <c r="W195" s="129">
        <v>0</v>
      </c>
      <c r="X195" s="129">
        <v>0</v>
      </c>
      <c r="Y195" s="129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</v>
      </c>
      <c r="V196" s="129">
        <v>0</v>
      </c>
      <c r="W196" s="129">
        <v>0</v>
      </c>
      <c r="X196" s="129">
        <v>0</v>
      </c>
      <c r="Y196" s="129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</v>
      </c>
      <c r="V197" s="129">
        <v>0</v>
      </c>
      <c r="W197" s="129">
        <v>0</v>
      </c>
      <c r="X197" s="129">
        <v>0</v>
      </c>
      <c r="Y197" s="129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</v>
      </c>
      <c r="V198" s="129">
        <v>0</v>
      </c>
      <c r="W198" s="129">
        <v>0</v>
      </c>
      <c r="X198" s="129">
        <v>0</v>
      </c>
      <c r="Y198" s="129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</v>
      </c>
      <c r="V199" s="129">
        <v>0</v>
      </c>
      <c r="W199" s="129">
        <v>0</v>
      </c>
      <c r="X199" s="129">
        <v>0</v>
      </c>
      <c r="Y199" s="129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</v>
      </c>
      <c r="V200" s="129">
        <v>0</v>
      </c>
      <c r="W200" s="129">
        <v>0</v>
      </c>
      <c r="X200" s="129">
        <v>0</v>
      </c>
      <c r="Y200" s="129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</v>
      </c>
      <c r="V201" s="129">
        <v>0</v>
      </c>
      <c r="W201" s="129">
        <v>0</v>
      </c>
      <c r="X201" s="129">
        <v>0</v>
      </c>
      <c r="Y201" s="129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</v>
      </c>
      <c r="V202" s="129">
        <v>0</v>
      </c>
      <c r="W202" s="129">
        <v>0</v>
      </c>
      <c r="X202" s="129">
        <v>0</v>
      </c>
      <c r="Y202" s="129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</v>
      </c>
      <c r="V203" s="129">
        <v>0</v>
      </c>
      <c r="W203" s="129">
        <v>0</v>
      </c>
      <c r="X203" s="129">
        <v>0</v>
      </c>
      <c r="Y203" s="129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</v>
      </c>
      <c r="V204" s="129">
        <v>0</v>
      </c>
      <c r="W204" s="129">
        <v>0</v>
      </c>
      <c r="X204" s="129">
        <v>0</v>
      </c>
      <c r="Y204" s="129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</v>
      </c>
      <c r="V205" s="129">
        <v>0</v>
      </c>
      <c r="W205" s="129">
        <v>0</v>
      </c>
      <c r="X205" s="129">
        <v>0</v>
      </c>
      <c r="Y205" s="129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</v>
      </c>
      <c r="V206" s="129">
        <v>0</v>
      </c>
      <c r="W206" s="129">
        <v>0</v>
      </c>
      <c r="X206" s="129">
        <v>0</v>
      </c>
      <c r="Y206" s="129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</v>
      </c>
      <c r="V207" s="129">
        <v>0</v>
      </c>
      <c r="W207" s="129">
        <v>0</v>
      </c>
      <c r="X207" s="129">
        <v>0</v>
      </c>
      <c r="Y207" s="129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</v>
      </c>
      <c r="V208" s="129">
        <v>0</v>
      </c>
      <c r="W208" s="129">
        <v>0</v>
      </c>
      <c r="X208" s="129">
        <v>0</v>
      </c>
      <c r="Y208" s="129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</v>
      </c>
      <c r="V209" s="129">
        <v>0</v>
      </c>
      <c r="W209" s="129">
        <v>0</v>
      </c>
      <c r="X209" s="129">
        <v>0</v>
      </c>
      <c r="Y209" s="129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</v>
      </c>
      <c r="V210" s="129">
        <v>0</v>
      </c>
      <c r="W210" s="129">
        <v>0</v>
      </c>
      <c r="X210" s="129">
        <v>0</v>
      </c>
      <c r="Y210" s="129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</v>
      </c>
      <c r="V211" s="129">
        <v>0</v>
      </c>
      <c r="W211" s="129">
        <v>0</v>
      </c>
      <c r="X211" s="129">
        <v>0</v>
      </c>
      <c r="Y211" s="129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</v>
      </c>
      <c r="V212" s="129">
        <v>0</v>
      </c>
      <c r="W212" s="129">
        <v>0</v>
      </c>
      <c r="X212" s="129">
        <v>0</v>
      </c>
      <c r="Y212" s="129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</v>
      </c>
      <c r="V213" s="129">
        <v>0</v>
      </c>
      <c r="W213" s="129">
        <v>0</v>
      </c>
      <c r="X213" s="129">
        <v>0</v>
      </c>
      <c r="Y213" s="129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</v>
      </c>
      <c r="V214" s="129">
        <v>0</v>
      </c>
      <c r="W214" s="129">
        <v>0</v>
      </c>
      <c r="X214" s="129">
        <v>0</v>
      </c>
      <c r="Y214" s="129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</v>
      </c>
      <c r="V215" s="129">
        <v>0</v>
      </c>
      <c r="W215" s="129">
        <v>0</v>
      </c>
      <c r="X215" s="129">
        <v>0</v>
      </c>
      <c r="Y215" s="129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</v>
      </c>
      <c r="V216" s="129">
        <v>0</v>
      </c>
      <c r="W216" s="129">
        <v>0</v>
      </c>
      <c r="X216" s="129">
        <v>0</v>
      </c>
      <c r="Y216" s="129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</v>
      </c>
      <c r="V217" s="129">
        <v>0</v>
      </c>
      <c r="W217" s="129">
        <v>0</v>
      </c>
      <c r="X217" s="129">
        <v>0</v>
      </c>
      <c r="Y217" s="129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</v>
      </c>
      <c r="V218" s="129">
        <v>0</v>
      </c>
      <c r="W218" s="129">
        <v>0</v>
      </c>
      <c r="X218" s="129">
        <v>0</v>
      </c>
      <c r="Y218" s="129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</v>
      </c>
      <c r="V219" s="129">
        <v>0</v>
      </c>
      <c r="W219" s="129">
        <v>0</v>
      </c>
      <c r="X219" s="129">
        <v>0</v>
      </c>
      <c r="Y219" s="129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</v>
      </c>
      <c r="V220" s="129">
        <v>0</v>
      </c>
      <c r="W220" s="129">
        <v>0</v>
      </c>
      <c r="X220" s="129">
        <v>0</v>
      </c>
      <c r="Y220" s="129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</v>
      </c>
      <c r="V221" s="129">
        <v>0</v>
      </c>
      <c r="W221" s="129">
        <v>0</v>
      </c>
      <c r="X221" s="129">
        <v>0</v>
      </c>
      <c r="Y221" s="129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</v>
      </c>
      <c r="V222" s="129">
        <v>0</v>
      </c>
      <c r="W222" s="129">
        <v>0</v>
      </c>
      <c r="X222" s="129">
        <v>0</v>
      </c>
      <c r="Y222" s="129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</v>
      </c>
      <c r="V223" s="129">
        <v>0</v>
      </c>
      <c r="W223" s="129">
        <v>0</v>
      </c>
      <c r="X223" s="129">
        <v>0</v>
      </c>
      <c r="Y223" s="129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</v>
      </c>
      <c r="V224" s="129">
        <v>0</v>
      </c>
      <c r="W224" s="129">
        <v>0</v>
      </c>
      <c r="X224" s="129">
        <v>0</v>
      </c>
      <c r="Y224" s="129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</v>
      </c>
      <c r="V225" s="129">
        <v>0</v>
      </c>
      <c r="W225" s="129">
        <v>0</v>
      </c>
      <c r="X225" s="129">
        <v>0</v>
      </c>
      <c r="Y225" s="129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</v>
      </c>
      <c r="V226" s="129">
        <v>0</v>
      </c>
      <c r="W226" s="129">
        <v>0</v>
      </c>
      <c r="X226" s="129">
        <v>0</v>
      </c>
      <c r="Y226" s="129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</v>
      </c>
      <c r="V227" s="129">
        <v>0</v>
      </c>
      <c r="W227" s="129">
        <v>0</v>
      </c>
      <c r="X227" s="129">
        <v>0</v>
      </c>
      <c r="Y227" s="129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</v>
      </c>
      <c r="V228" s="129">
        <v>0</v>
      </c>
      <c r="W228" s="129">
        <v>0</v>
      </c>
      <c r="X228" s="129">
        <v>0</v>
      </c>
      <c r="Y228" s="129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</v>
      </c>
      <c r="V229" s="129">
        <v>0</v>
      </c>
      <c r="W229" s="129">
        <v>0</v>
      </c>
      <c r="X229" s="129">
        <v>0</v>
      </c>
      <c r="Y229" s="129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</v>
      </c>
      <c r="V230" s="129">
        <v>0</v>
      </c>
      <c r="W230" s="129">
        <v>0</v>
      </c>
      <c r="X230" s="129">
        <v>0</v>
      </c>
      <c r="Y230" s="129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</v>
      </c>
      <c r="V231" s="129">
        <v>0</v>
      </c>
      <c r="W231" s="129">
        <v>0</v>
      </c>
      <c r="X231" s="129">
        <v>0</v>
      </c>
      <c r="Y231" s="129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</v>
      </c>
      <c r="V232" s="129">
        <v>0</v>
      </c>
      <c r="W232" s="129">
        <v>0</v>
      </c>
      <c r="X232" s="129">
        <v>0</v>
      </c>
      <c r="Y232" s="129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</v>
      </c>
      <c r="V233" s="129">
        <v>0</v>
      </c>
      <c r="W233" s="129">
        <v>0</v>
      </c>
      <c r="X233" s="129">
        <v>0</v>
      </c>
      <c r="Y233" s="129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</v>
      </c>
      <c r="V234" s="129">
        <v>0</v>
      </c>
      <c r="W234" s="129">
        <v>0</v>
      </c>
      <c r="X234" s="129">
        <v>0</v>
      </c>
      <c r="Y234" s="129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</v>
      </c>
      <c r="V235" s="129">
        <v>0</v>
      </c>
      <c r="W235" s="129">
        <v>0</v>
      </c>
      <c r="X235" s="129">
        <v>0</v>
      </c>
      <c r="Y235" s="129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</v>
      </c>
      <c r="V236" s="129">
        <v>0</v>
      </c>
      <c r="W236" s="129">
        <v>0</v>
      </c>
      <c r="X236" s="129">
        <v>0</v>
      </c>
      <c r="Y236" s="129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</v>
      </c>
      <c r="V237" s="129">
        <v>0</v>
      </c>
      <c r="W237" s="129">
        <v>0</v>
      </c>
      <c r="X237" s="129">
        <v>0</v>
      </c>
      <c r="Y237" s="129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</v>
      </c>
      <c r="V238" s="129">
        <v>0</v>
      </c>
      <c r="W238" s="129">
        <v>0</v>
      </c>
      <c r="X238" s="129">
        <v>0</v>
      </c>
      <c r="Y238" s="129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</v>
      </c>
      <c r="V239" s="129">
        <v>0</v>
      </c>
      <c r="W239" s="129">
        <v>0</v>
      </c>
      <c r="X239" s="129">
        <v>0</v>
      </c>
      <c r="Y239" s="129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</v>
      </c>
      <c r="V240" s="129">
        <v>0</v>
      </c>
      <c r="W240" s="129">
        <v>0</v>
      </c>
      <c r="X240" s="129">
        <v>0</v>
      </c>
      <c r="Y240" s="129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</v>
      </c>
      <c r="V241" s="129">
        <v>0</v>
      </c>
      <c r="W241" s="129">
        <v>0</v>
      </c>
      <c r="X241" s="129">
        <v>0</v>
      </c>
      <c r="Y241" s="129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</v>
      </c>
      <c r="V242" s="129">
        <v>0</v>
      </c>
      <c r="W242" s="129">
        <v>0</v>
      </c>
      <c r="X242" s="129">
        <v>0</v>
      </c>
      <c r="Y242" s="129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</v>
      </c>
      <c r="V243" s="129">
        <v>0</v>
      </c>
      <c r="W243" s="129">
        <v>0</v>
      </c>
      <c r="X243" s="129">
        <v>0</v>
      </c>
      <c r="Y243" s="129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</v>
      </c>
      <c r="V244" s="129">
        <v>0</v>
      </c>
      <c r="W244" s="129">
        <v>0</v>
      </c>
      <c r="X244" s="129">
        <v>0</v>
      </c>
      <c r="Y244" s="129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</v>
      </c>
      <c r="V245" s="129">
        <v>0</v>
      </c>
      <c r="W245" s="129">
        <v>0</v>
      </c>
      <c r="X245" s="129">
        <v>0</v>
      </c>
      <c r="Y245" s="129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</v>
      </c>
      <c r="V246" s="129">
        <v>0</v>
      </c>
      <c r="W246" s="129">
        <v>0</v>
      </c>
      <c r="X246" s="129">
        <v>0</v>
      </c>
      <c r="Y246" s="129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</v>
      </c>
      <c r="V247" s="129">
        <v>0</v>
      </c>
      <c r="W247" s="129">
        <v>0</v>
      </c>
      <c r="X247" s="129">
        <v>0</v>
      </c>
      <c r="Y247" s="129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</v>
      </c>
      <c r="V248" s="129">
        <v>0</v>
      </c>
      <c r="W248" s="129">
        <v>0</v>
      </c>
      <c r="X248" s="129">
        <v>0</v>
      </c>
      <c r="Y248" s="129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</v>
      </c>
      <c r="V249" s="129">
        <v>0</v>
      </c>
      <c r="W249" s="129">
        <v>0</v>
      </c>
      <c r="X249" s="129">
        <v>0</v>
      </c>
      <c r="Y249" s="129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</v>
      </c>
      <c r="V250" s="129">
        <v>0</v>
      </c>
      <c r="W250" s="129">
        <v>0</v>
      </c>
      <c r="X250" s="129">
        <v>0</v>
      </c>
      <c r="Y250" s="129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</v>
      </c>
      <c r="V251" s="129">
        <v>0</v>
      </c>
      <c r="W251" s="129">
        <v>0</v>
      </c>
      <c r="X251" s="129">
        <v>0</v>
      </c>
      <c r="Y251" s="129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</v>
      </c>
      <c r="V252" s="129">
        <v>0</v>
      </c>
      <c r="W252" s="129">
        <v>0</v>
      </c>
      <c r="X252" s="129">
        <v>0</v>
      </c>
      <c r="Y252" s="129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</v>
      </c>
      <c r="V253" s="129">
        <v>0</v>
      </c>
      <c r="W253" s="129">
        <v>0</v>
      </c>
      <c r="X253" s="129">
        <v>0</v>
      </c>
      <c r="Y253" s="129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</v>
      </c>
      <c r="V254" s="129">
        <v>0</v>
      </c>
      <c r="W254" s="129">
        <v>0</v>
      </c>
      <c r="X254" s="129">
        <v>0</v>
      </c>
      <c r="Y254" s="129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</v>
      </c>
      <c r="V255" s="129">
        <v>0</v>
      </c>
      <c r="W255" s="129">
        <v>0</v>
      </c>
      <c r="X255" s="129">
        <v>0</v>
      </c>
      <c r="Y255" s="129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</v>
      </c>
      <c r="V256" s="129">
        <v>0</v>
      </c>
      <c r="W256" s="129">
        <v>0</v>
      </c>
      <c r="X256" s="129">
        <v>0</v>
      </c>
      <c r="Y256" s="129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</v>
      </c>
      <c r="V257" s="129">
        <v>0</v>
      </c>
      <c r="W257" s="129">
        <v>0</v>
      </c>
      <c r="X257" s="129">
        <v>0</v>
      </c>
      <c r="Y257" s="129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</v>
      </c>
      <c r="V258" s="129">
        <v>0</v>
      </c>
      <c r="W258" s="129">
        <v>0</v>
      </c>
      <c r="X258" s="129">
        <v>0</v>
      </c>
      <c r="Y258" s="129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</v>
      </c>
      <c r="V259" s="129">
        <v>0</v>
      </c>
      <c r="W259" s="129">
        <v>0</v>
      </c>
      <c r="X259" s="129">
        <v>0</v>
      </c>
      <c r="Y259" s="129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</v>
      </c>
      <c r="V260" s="129">
        <v>0</v>
      </c>
      <c r="W260" s="129">
        <v>0</v>
      </c>
      <c r="X260" s="129">
        <v>0</v>
      </c>
      <c r="Y260" s="129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</v>
      </c>
      <c r="V261" s="129">
        <v>0</v>
      </c>
      <c r="W261" s="129">
        <v>0</v>
      </c>
      <c r="X261" s="129">
        <v>0</v>
      </c>
      <c r="Y261" s="129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</v>
      </c>
      <c r="V262" s="129">
        <v>0</v>
      </c>
      <c r="W262" s="129">
        <v>0</v>
      </c>
      <c r="X262" s="129">
        <v>0</v>
      </c>
      <c r="Y262" s="129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Inputs!Print_Area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1997-10-31T14:49:36Z</dcterms:created>
  <dcterms:modified xsi:type="dcterms:W3CDTF">2023-09-13T16:04:43Z</dcterms:modified>
</cp:coreProperties>
</file>