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28EC0D-B1A2-41F5-AE8C-D8E2A28FB6EA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3" r:id="rId1"/>
  </sheets>
  <definedNames>
    <definedName name="_xlnm.Print_Area" localSheetId="0">Report!$A$9:$AO$365</definedName>
    <definedName name="_xlnm.Print_Titles" localSheetId="0">Report!$1:$7</definedName>
  </definedNames>
  <calcPr calcId="0" fullCalcOnLoad="1"/>
</workbook>
</file>

<file path=xl/calcChain.xml><?xml version="1.0" encoding="utf-8"?>
<calcChain xmlns="http://schemas.openxmlformats.org/spreadsheetml/2006/main">
  <c r="AA10" i="3" l="1"/>
  <c r="AQ10" i="3"/>
  <c r="AR10" i="3"/>
  <c r="AT10" i="3"/>
  <c r="AV10" i="3"/>
  <c r="AW10" i="3"/>
  <c r="AX10" i="3"/>
  <c r="AY10" i="3"/>
  <c r="AQ11" i="3"/>
  <c r="AR11" i="3"/>
  <c r="AT11" i="3"/>
  <c r="AV11" i="3"/>
  <c r="AW11" i="3"/>
  <c r="AX11" i="3"/>
  <c r="AY11" i="3"/>
  <c r="AQ12" i="3"/>
  <c r="AR12" i="3"/>
  <c r="AT12" i="3"/>
  <c r="AV12" i="3"/>
  <c r="AW12" i="3"/>
  <c r="AX12" i="3"/>
  <c r="AY12" i="3"/>
  <c r="S13" i="3"/>
  <c r="AQ13" i="3"/>
  <c r="AR13" i="3"/>
  <c r="AT13" i="3"/>
  <c r="AV13" i="3"/>
  <c r="AW13" i="3"/>
  <c r="AX13" i="3"/>
  <c r="AY13" i="3"/>
  <c r="S14" i="3"/>
  <c r="AQ14" i="3"/>
  <c r="AR14" i="3"/>
  <c r="AT14" i="3"/>
  <c r="AV14" i="3"/>
  <c r="AW14" i="3"/>
  <c r="AX14" i="3"/>
  <c r="AY14" i="3"/>
  <c r="U18" i="3"/>
  <c r="AQ18" i="3"/>
  <c r="AR18" i="3"/>
  <c r="AT18" i="3"/>
  <c r="AV18" i="3"/>
  <c r="AW18" i="3"/>
  <c r="AX18" i="3"/>
  <c r="AY18" i="3"/>
  <c r="U19" i="3"/>
  <c r="AX19" i="3"/>
  <c r="AY19" i="3"/>
  <c r="U20" i="3"/>
  <c r="AX20" i="3"/>
  <c r="AY20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X22" i="3"/>
  <c r="AY22" i="3"/>
  <c r="AA25" i="3"/>
  <c r="AQ25" i="3"/>
  <c r="AR25" i="3"/>
  <c r="AT25" i="3"/>
  <c r="AV25" i="3"/>
  <c r="AW25" i="3"/>
  <c r="AX25" i="3"/>
  <c r="AY25" i="3"/>
  <c r="AM26" i="3"/>
  <c r="AQ26" i="3"/>
  <c r="AR26" i="3"/>
  <c r="AT26" i="3"/>
  <c r="AV26" i="3"/>
  <c r="AW26" i="3"/>
  <c r="AX26" i="3"/>
  <c r="AY26" i="3"/>
  <c r="W27" i="3"/>
  <c r="AQ27" i="3"/>
  <c r="AR27" i="3"/>
  <c r="AT27" i="3"/>
  <c r="AV27" i="3"/>
  <c r="AW27" i="3"/>
  <c r="AX27" i="3"/>
  <c r="AY27" i="3"/>
  <c r="M29" i="3"/>
  <c r="O29" i="3"/>
  <c r="Q29" i="3"/>
  <c r="S29" i="3"/>
  <c r="U29" i="3"/>
  <c r="W29" i="3"/>
  <c r="Y29" i="3"/>
  <c r="AA29" i="3"/>
  <c r="AC29" i="3"/>
  <c r="AE29" i="3"/>
  <c r="AG29" i="3"/>
  <c r="AI29" i="3"/>
  <c r="AK29" i="3"/>
  <c r="AM29" i="3"/>
  <c r="AO29" i="3"/>
  <c r="AX29" i="3"/>
  <c r="AY29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R32" i="3"/>
  <c r="AT32" i="3"/>
  <c r="AV32" i="3"/>
  <c r="AW32" i="3"/>
  <c r="AX32" i="3"/>
  <c r="AY32" i="3"/>
  <c r="O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R33" i="3"/>
  <c r="AT33" i="3"/>
  <c r="AV33" i="3"/>
  <c r="AW33" i="3"/>
  <c r="AX33" i="3"/>
  <c r="AY33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R34" i="3"/>
  <c r="AT34" i="3"/>
  <c r="AV34" i="3"/>
  <c r="AW34" i="3"/>
  <c r="AX34" i="3"/>
  <c r="AY34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R35" i="3"/>
  <c r="AT35" i="3"/>
  <c r="AV35" i="3"/>
  <c r="AW35" i="3"/>
  <c r="AX35" i="3"/>
  <c r="AY35" i="3"/>
  <c r="O36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R36" i="3"/>
  <c r="AT36" i="3"/>
  <c r="AV36" i="3"/>
  <c r="AW36" i="3"/>
  <c r="AX36" i="3"/>
  <c r="AY36" i="3"/>
  <c r="S37" i="3"/>
  <c r="AX37" i="3"/>
  <c r="AY37" i="3"/>
  <c r="S38" i="3"/>
  <c r="AQ38" i="3"/>
  <c r="AR38" i="3"/>
  <c r="AT38" i="3"/>
  <c r="AV38" i="3"/>
  <c r="AW38" i="3"/>
  <c r="AX38" i="3"/>
  <c r="AY38" i="3"/>
  <c r="S39" i="3"/>
  <c r="AQ39" i="3"/>
  <c r="AR39" i="3"/>
  <c r="AT39" i="3"/>
  <c r="AV39" i="3"/>
  <c r="AW39" i="3"/>
  <c r="AX39" i="3"/>
  <c r="AY39" i="3"/>
  <c r="S40" i="3"/>
  <c r="AQ40" i="3"/>
  <c r="AR40" i="3"/>
  <c r="AT40" i="3"/>
  <c r="AV40" i="3"/>
  <c r="AW40" i="3"/>
  <c r="AX40" i="3"/>
  <c r="AY40" i="3"/>
  <c r="U41" i="3"/>
  <c r="AQ41" i="3"/>
  <c r="AR41" i="3"/>
  <c r="AT41" i="3"/>
  <c r="AV41" i="3"/>
  <c r="AW41" i="3"/>
  <c r="AX41" i="3"/>
  <c r="AY41" i="3"/>
  <c r="W42" i="3"/>
  <c r="AQ42" i="3"/>
  <c r="AR42" i="3"/>
  <c r="AT42" i="3"/>
  <c r="AV42" i="3"/>
  <c r="AW42" i="3"/>
  <c r="AX42" i="3"/>
  <c r="AY42" i="3"/>
  <c r="W43" i="3"/>
  <c r="AQ43" i="3"/>
  <c r="AR43" i="3"/>
  <c r="AT43" i="3"/>
  <c r="AV43" i="3"/>
  <c r="AW43" i="3"/>
  <c r="AX43" i="3"/>
  <c r="AY43" i="3"/>
  <c r="W44" i="3"/>
  <c r="AQ44" i="3"/>
  <c r="AR44" i="3"/>
  <c r="AT44" i="3"/>
  <c r="AV44" i="3"/>
  <c r="AW44" i="3"/>
  <c r="AX44" i="3"/>
  <c r="AY44" i="3"/>
  <c r="AQ45" i="3"/>
  <c r="AR45" i="3"/>
  <c r="AT45" i="3"/>
  <c r="AV45" i="3"/>
  <c r="AW45" i="3"/>
  <c r="AX45" i="3"/>
  <c r="AY45" i="3"/>
  <c r="Y46" i="3"/>
  <c r="AQ46" i="3"/>
  <c r="AR46" i="3"/>
  <c r="AT46" i="3"/>
  <c r="AV46" i="3"/>
  <c r="AW46" i="3"/>
  <c r="AX46" i="3"/>
  <c r="AY46" i="3"/>
  <c r="Y47" i="3"/>
  <c r="AQ47" i="3"/>
  <c r="AR47" i="3"/>
  <c r="AT47" i="3"/>
  <c r="AV47" i="3"/>
  <c r="AW47" i="3"/>
  <c r="AX47" i="3"/>
  <c r="AY47" i="3"/>
  <c r="Y48" i="3"/>
  <c r="AQ48" i="3"/>
  <c r="AR48" i="3"/>
  <c r="AT48" i="3"/>
  <c r="AV48" i="3"/>
  <c r="AW48" i="3"/>
  <c r="AX48" i="3"/>
  <c r="AY48" i="3"/>
  <c r="Y49" i="3"/>
  <c r="AQ49" i="3"/>
  <c r="AR49" i="3"/>
  <c r="AT49" i="3"/>
  <c r="AV49" i="3"/>
  <c r="AW49" i="3"/>
  <c r="AX49" i="3"/>
  <c r="AY49" i="3"/>
  <c r="AA50" i="3"/>
  <c r="AQ50" i="3"/>
  <c r="AR50" i="3"/>
  <c r="AT50" i="3"/>
  <c r="AV50" i="3"/>
  <c r="AW50" i="3"/>
  <c r="AX50" i="3"/>
  <c r="AY50" i="3"/>
  <c r="AC51" i="3"/>
  <c r="AQ51" i="3"/>
  <c r="AR51" i="3"/>
  <c r="AT51" i="3"/>
  <c r="AV51" i="3"/>
  <c r="AW51" i="3"/>
  <c r="AX51" i="3"/>
  <c r="AY51" i="3"/>
  <c r="AC52" i="3"/>
  <c r="AQ52" i="3"/>
  <c r="AR52" i="3"/>
  <c r="AT52" i="3"/>
  <c r="AV52" i="3"/>
  <c r="AW52" i="3"/>
  <c r="AX52" i="3"/>
  <c r="AY52" i="3"/>
  <c r="AE53" i="3"/>
  <c r="AQ53" i="3"/>
  <c r="AR53" i="3"/>
  <c r="AT53" i="3"/>
  <c r="AV53" i="3"/>
  <c r="AW53" i="3"/>
  <c r="AX53" i="3"/>
  <c r="AY53" i="3"/>
  <c r="AE54" i="3"/>
  <c r="AQ54" i="3"/>
  <c r="AR54" i="3"/>
  <c r="AT54" i="3"/>
  <c r="AV54" i="3"/>
  <c r="AW54" i="3"/>
  <c r="AX54" i="3"/>
  <c r="AY54" i="3"/>
  <c r="AG55" i="3"/>
  <c r="AQ55" i="3"/>
  <c r="AR55" i="3"/>
  <c r="AT55" i="3"/>
  <c r="AV55" i="3"/>
  <c r="AW55" i="3"/>
  <c r="AX55" i="3"/>
  <c r="AY55" i="3"/>
  <c r="AI56" i="3"/>
  <c r="AQ56" i="3"/>
  <c r="AR56" i="3"/>
  <c r="AT56" i="3"/>
  <c r="AV56" i="3"/>
  <c r="AW56" i="3"/>
  <c r="AX56" i="3"/>
  <c r="AY56" i="3"/>
  <c r="AM57" i="3"/>
  <c r="AQ57" i="3"/>
  <c r="AR57" i="3"/>
  <c r="AT57" i="3"/>
  <c r="AV57" i="3"/>
  <c r="AW57" i="3"/>
  <c r="AX57" i="3"/>
  <c r="AY57" i="3"/>
  <c r="AM58" i="3"/>
  <c r="AQ58" i="3"/>
  <c r="AR58" i="3"/>
  <c r="AT58" i="3"/>
  <c r="AV58" i="3"/>
  <c r="AW58" i="3"/>
  <c r="AX58" i="3"/>
  <c r="AY58" i="3"/>
  <c r="AM59" i="3"/>
  <c r="AQ59" i="3"/>
  <c r="AR59" i="3"/>
  <c r="AT59" i="3"/>
  <c r="AV59" i="3"/>
  <c r="AW59" i="3"/>
  <c r="AX59" i="3"/>
  <c r="AY59" i="3"/>
  <c r="AM60" i="3"/>
  <c r="AQ60" i="3"/>
  <c r="AR60" i="3"/>
  <c r="AT60" i="3"/>
  <c r="AV60" i="3"/>
  <c r="AW60" i="3"/>
  <c r="AX60" i="3"/>
  <c r="AY60" i="3"/>
  <c r="AA61" i="3"/>
  <c r="AQ61" i="3"/>
  <c r="AR61" i="3"/>
  <c r="AT61" i="3"/>
  <c r="AV61" i="3"/>
  <c r="AW61" i="3"/>
  <c r="AX61" i="3"/>
  <c r="AY61" i="3"/>
  <c r="AA62" i="3"/>
  <c r="AX62" i="3"/>
  <c r="AY62" i="3"/>
  <c r="AA63" i="3"/>
  <c r="AX63" i="3"/>
  <c r="AY63" i="3"/>
  <c r="AA64" i="3"/>
  <c r="AX64" i="3"/>
  <c r="AY64" i="3"/>
  <c r="AA65" i="3"/>
  <c r="AX65" i="3"/>
  <c r="AY65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X67" i="3"/>
  <c r="AY67" i="3"/>
  <c r="AQ70" i="3"/>
  <c r="AR70" i="3"/>
  <c r="AT70" i="3"/>
  <c r="AW70" i="3"/>
  <c r="AX70" i="3"/>
  <c r="AY70" i="3"/>
  <c r="Q71" i="3"/>
  <c r="AQ71" i="3"/>
  <c r="AR71" i="3"/>
  <c r="AT71" i="3"/>
  <c r="AV71" i="3"/>
  <c r="AW71" i="3"/>
  <c r="AX71" i="3"/>
  <c r="AY71" i="3"/>
  <c r="W72" i="3"/>
  <c r="AQ72" i="3"/>
  <c r="AR72" i="3"/>
  <c r="AT72" i="3"/>
  <c r="AV72" i="3"/>
  <c r="AW72" i="3"/>
  <c r="AX72" i="3"/>
  <c r="AY72" i="3"/>
  <c r="S73" i="3"/>
  <c r="AQ73" i="3"/>
  <c r="AR73" i="3"/>
  <c r="AT73" i="3"/>
  <c r="AV73" i="3"/>
  <c r="AW73" i="3"/>
  <c r="AX73" i="3"/>
  <c r="AY73" i="3"/>
  <c r="Y74" i="3"/>
  <c r="AQ74" i="3"/>
  <c r="AR74" i="3"/>
  <c r="AT74" i="3"/>
  <c r="AV74" i="3"/>
  <c r="AW74" i="3"/>
  <c r="AX74" i="3"/>
  <c r="AY74" i="3"/>
  <c r="AQ75" i="3"/>
  <c r="AR75" i="3"/>
  <c r="AT75" i="3"/>
  <c r="AV75" i="3"/>
  <c r="AW75" i="3"/>
  <c r="AX75" i="3"/>
  <c r="AY75" i="3"/>
  <c r="W76" i="3"/>
  <c r="AQ76" i="3"/>
  <c r="AR76" i="3"/>
  <c r="AT76" i="3"/>
  <c r="AV76" i="3"/>
  <c r="AW76" i="3"/>
  <c r="AX76" i="3"/>
  <c r="AY76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X78" i="3"/>
  <c r="AY78" i="3"/>
  <c r="AQ81" i="3"/>
  <c r="AR81" i="3"/>
  <c r="AT81" i="3"/>
  <c r="AV81" i="3"/>
  <c r="AW81" i="3"/>
  <c r="AX81" i="3"/>
  <c r="AY81" i="3"/>
  <c r="AM82" i="3"/>
  <c r="AQ82" i="3"/>
  <c r="AR82" i="3"/>
  <c r="AT82" i="3"/>
  <c r="AV82" i="3"/>
  <c r="AW82" i="3"/>
  <c r="AX82" i="3"/>
  <c r="AY82" i="3"/>
  <c r="S83" i="3"/>
  <c r="U83" i="3"/>
  <c r="W83" i="3"/>
  <c r="Y83" i="3"/>
  <c r="AA83" i="3"/>
  <c r="AC83" i="3"/>
  <c r="AE83" i="3"/>
  <c r="AG83" i="3"/>
  <c r="AI83" i="3"/>
  <c r="AM83" i="3"/>
  <c r="AQ83" i="3"/>
  <c r="AR83" i="3"/>
  <c r="AT83" i="3"/>
  <c r="AW83" i="3"/>
  <c r="AX83" i="3"/>
  <c r="AY83" i="3"/>
  <c r="AM84" i="3"/>
  <c r="AX84" i="3"/>
  <c r="AY84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X86" i="3"/>
  <c r="AY86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R89" i="3"/>
  <c r="AT89" i="3"/>
  <c r="AX89" i="3"/>
  <c r="AY89" i="3"/>
  <c r="AO90" i="3"/>
  <c r="AX90" i="3"/>
  <c r="AY90" i="3"/>
  <c r="M91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X93" i="3"/>
  <c r="AY93" i="3"/>
  <c r="AQ94" i="3"/>
  <c r="AR94" i="3"/>
  <c r="AT96" i="3"/>
  <c r="AV96" i="3"/>
  <c r="AW96" i="3"/>
  <c r="AX96" i="3"/>
  <c r="AY96" i="3"/>
  <c r="AQ97" i="3"/>
  <c r="AR97" i="3"/>
  <c r="AT97" i="3"/>
  <c r="AV97" i="3"/>
  <c r="AW97" i="3"/>
  <c r="AX97" i="3"/>
  <c r="AY97" i="3"/>
  <c r="AM98" i="3"/>
  <c r="AQ98" i="3"/>
  <c r="AR98" i="3"/>
  <c r="AT98" i="3"/>
  <c r="AV98" i="3"/>
  <c r="AW98" i="3"/>
  <c r="AX98" i="3"/>
  <c r="AY98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R100" i="3"/>
  <c r="AT100" i="3"/>
  <c r="AX100" i="3"/>
  <c r="AY100" i="3"/>
  <c r="AO101" i="3"/>
  <c r="AQ101" i="3"/>
  <c r="AR101" i="3"/>
  <c r="AX101" i="3"/>
  <c r="AY101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R103" i="3"/>
  <c r="AX103" i="3"/>
  <c r="AY103" i="3"/>
  <c r="AQ104" i="3"/>
  <c r="AR104" i="3"/>
  <c r="AQ106" i="3"/>
  <c r="AR106" i="3"/>
  <c r="AT106" i="3"/>
  <c r="AV106" i="3"/>
  <c r="AW106" i="3"/>
  <c r="AX106" i="3"/>
  <c r="AY106" i="3"/>
  <c r="AQ107" i="3"/>
  <c r="AR107" i="3"/>
  <c r="AT107" i="3"/>
  <c r="AV107" i="3"/>
  <c r="AW107" i="3"/>
  <c r="AX107" i="3"/>
  <c r="AY107" i="3"/>
  <c r="AQ108" i="3"/>
  <c r="AR108" i="3"/>
  <c r="AT108" i="3"/>
  <c r="AV108" i="3"/>
  <c r="AW108" i="3"/>
  <c r="AX108" i="3"/>
  <c r="AY108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R110" i="3"/>
  <c r="AT110" i="3"/>
  <c r="AX110" i="3"/>
  <c r="AY110" i="3"/>
  <c r="AQ111" i="3"/>
  <c r="AR111" i="3"/>
  <c r="AX113" i="3"/>
  <c r="AY113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R115" i="3"/>
  <c r="AT115" i="3"/>
  <c r="AX115" i="3"/>
  <c r="AY115" i="3"/>
  <c r="S118" i="3"/>
  <c r="U118" i="3"/>
  <c r="W118" i="3"/>
  <c r="Y118" i="3"/>
  <c r="AQ118" i="3"/>
  <c r="AR118" i="3"/>
  <c r="AT118" i="3"/>
  <c r="AV118" i="3"/>
  <c r="AW118" i="3"/>
  <c r="AX118" i="3"/>
  <c r="AY118" i="3"/>
  <c r="K119" i="3"/>
  <c r="S119" i="3"/>
  <c r="U119" i="3"/>
  <c r="W119" i="3"/>
  <c r="Y119" i="3"/>
  <c r="AQ119" i="3"/>
  <c r="AR119" i="3"/>
  <c r="AT119" i="3"/>
  <c r="AV119" i="3"/>
  <c r="AW119" i="3"/>
  <c r="AX119" i="3"/>
  <c r="AY119" i="3"/>
  <c r="K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R122" i="3"/>
  <c r="AT122" i="3"/>
  <c r="AV122" i="3"/>
  <c r="AW122" i="3"/>
  <c r="AX122" i="3"/>
  <c r="AY122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R123" i="3"/>
  <c r="AT123" i="3"/>
  <c r="AV123" i="3"/>
  <c r="AW123" i="3"/>
  <c r="AX123" i="3"/>
  <c r="AY123" i="3"/>
  <c r="AM125" i="3"/>
  <c r="AX125" i="3"/>
  <c r="AY125" i="3"/>
  <c r="AM126" i="3"/>
  <c r="AX126" i="3"/>
  <c r="AY126" i="3"/>
  <c r="AM127" i="3"/>
  <c r="AX127" i="3"/>
  <c r="AY127" i="3"/>
  <c r="AK128" i="3"/>
  <c r="AM128" i="3"/>
  <c r="AX128" i="3"/>
  <c r="AY128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R130" i="3"/>
  <c r="AT130" i="3"/>
  <c r="AX130" i="3"/>
  <c r="AY130" i="3"/>
  <c r="AO131" i="3"/>
  <c r="AX131" i="3"/>
  <c r="AY131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X133" i="3"/>
  <c r="AY133" i="3"/>
  <c r="AQ134" i="3"/>
  <c r="AR134" i="3"/>
  <c r="AX137" i="3"/>
  <c r="AY137" i="3"/>
  <c r="AX138" i="3"/>
  <c r="AY138" i="3"/>
  <c r="AX139" i="3"/>
  <c r="AY139" i="3"/>
  <c r="Q140" i="3"/>
  <c r="AX140" i="3"/>
  <c r="AY140" i="3"/>
  <c r="S141" i="3"/>
  <c r="AX141" i="3"/>
  <c r="AY141" i="3"/>
  <c r="U142" i="3"/>
  <c r="AX142" i="3"/>
  <c r="AY142" i="3"/>
  <c r="W143" i="3"/>
  <c r="AX143" i="3"/>
  <c r="AY143" i="3"/>
  <c r="Y144" i="3"/>
  <c r="AX144" i="3"/>
  <c r="AY144" i="3"/>
  <c r="Y145" i="3"/>
  <c r="AX145" i="3"/>
  <c r="AY145" i="3"/>
  <c r="Y146" i="3"/>
  <c r="AX146" i="3"/>
  <c r="AY146" i="3"/>
  <c r="AA147" i="3"/>
  <c r="AX147" i="3"/>
  <c r="AY147" i="3"/>
  <c r="AE148" i="3"/>
  <c r="AX148" i="3"/>
  <c r="AY148" i="3"/>
  <c r="AM149" i="3"/>
  <c r="AX149" i="3"/>
  <c r="AY149" i="3"/>
  <c r="AM150" i="3"/>
  <c r="AX150" i="3"/>
  <c r="AY150" i="3"/>
  <c r="AM151" i="3"/>
  <c r="AX151" i="3"/>
  <c r="AY151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X153" i="3"/>
  <c r="AY153" i="3"/>
  <c r="AK156" i="3"/>
  <c r="AM156" i="3"/>
  <c r="AX156" i="3"/>
  <c r="AY156" i="3"/>
  <c r="AK157" i="3"/>
  <c r="AM157" i="3"/>
  <c r="AX157" i="3"/>
  <c r="AY157" i="3"/>
  <c r="AM158" i="3"/>
  <c r="AX158" i="3"/>
  <c r="AY158" i="3"/>
  <c r="AM159" i="3"/>
  <c r="AX159" i="3"/>
  <c r="AY159" i="3"/>
  <c r="AM160" i="3"/>
  <c r="AX160" i="3"/>
  <c r="AY160" i="3"/>
  <c r="AM161" i="3"/>
  <c r="AX161" i="3"/>
  <c r="AY161" i="3"/>
  <c r="AM162" i="3"/>
  <c r="AX162" i="3"/>
  <c r="AY162" i="3"/>
  <c r="AM163" i="3"/>
  <c r="AX163" i="3"/>
  <c r="AY163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X165" i="3"/>
  <c r="AY165" i="3"/>
  <c r="Q168" i="3"/>
  <c r="AX168" i="3"/>
  <c r="AY168" i="3"/>
  <c r="AM169" i="3"/>
  <c r="AX169" i="3"/>
  <c r="AY169" i="3"/>
  <c r="AK170" i="3"/>
  <c r="AX170" i="3"/>
  <c r="AY170" i="3"/>
  <c r="AX171" i="3"/>
  <c r="AY171" i="3"/>
  <c r="Q172" i="3"/>
  <c r="AX172" i="3"/>
  <c r="AY172" i="3"/>
  <c r="AM173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X174" i="3"/>
  <c r="AY174" i="3"/>
  <c r="AO175" i="3"/>
  <c r="AX175" i="3"/>
  <c r="AY175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X177" i="3"/>
  <c r="AY177" i="3"/>
  <c r="AQ180" i="3"/>
  <c r="AR180" i="3"/>
  <c r="AT180" i="3"/>
  <c r="AV180" i="3"/>
  <c r="AW180" i="3"/>
  <c r="AX180" i="3"/>
  <c r="AY180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R182" i="3"/>
  <c r="AT182" i="3"/>
  <c r="AX182" i="3"/>
  <c r="AY182" i="3"/>
  <c r="AX185" i="3"/>
  <c r="AY185" i="3"/>
  <c r="AX186" i="3"/>
  <c r="AY186" i="3"/>
  <c r="AX187" i="3"/>
  <c r="AY187" i="3"/>
  <c r="AX188" i="3"/>
  <c r="AY188" i="3"/>
  <c r="Y189" i="3"/>
  <c r="AX189" i="3"/>
  <c r="AY189" i="3"/>
  <c r="AX190" i="3"/>
  <c r="AY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X192" i="3"/>
  <c r="AY192" i="3"/>
  <c r="Q195" i="3"/>
  <c r="AQ195" i="3"/>
  <c r="AR195" i="3"/>
  <c r="AT195" i="3"/>
  <c r="AV195" i="3"/>
  <c r="AW195" i="3"/>
  <c r="AX195" i="3"/>
  <c r="AY195" i="3"/>
  <c r="AQ196" i="3"/>
  <c r="AR196" i="3"/>
  <c r="AT196" i="3"/>
  <c r="AV196" i="3"/>
  <c r="AW196" i="3"/>
  <c r="AX196" i="3"/>
  <c r="AY196" i="3"/>
  <c r="AQ197" i="3"/>
  <c r="AR197" i="3"/>
  <c r="AT197" i="3"/>
  <c r="AV197" i="3"/>
  <c r="AW197" i="3"/>
  <c r="AX197" i="3"/>
  <c r="AY197" i="3"/>
  <c r="Q198" i="3"/>
  <c r="AQ198" i="3"/>
  <c r="AR198" i="3"/>
  <c r="AT198" i="3"/>
  <c r="AV198" i="3"/>
  <c r="AW198" i="3"/>
  <c r="AX198" i="3"/>
  <c r="AY198" i="3"/>
  <c r="AQ199" i="3"/>
  <c r="AR199" i="3"/>
  <c r="AT199" i="3"/>
  <c r="AV199" i="3"/>
  <c r="AW199" i="3"/>
  <c r="AX199" i="3"/>
  <c r="AY199" i="3"/>
  <c r="AQ200" i="3"/>
  <c r="AR200" i="3"/>
  <c r="AT200" i="3"/>
  <c r="AV200" i="3"/>
  <c r="AW200" i="3"/>
  <c r="AX200" i="3"/>
  <c r="AY200" i="3"/>
  <c r="AQ201" i="3"/>
  <c r="AR201" i="3"/>
  <c r="AT201" i="3"/>
  <c r="AV201" i="3"/>
  <c r="AW201" i="3"/>
  <c r="AX201" i="3"/>
  <c r="AY201" i="3"/>
  <c r="AQ202" i="3"/>
  <c r="AR202" i="3"/>
  <c r="AT202" i="3"/>
  <c r="AV202" i="3"/>
  <c r="AW202" i="3"/>
  <c r="AX202" i="3"/>
  <c r="AY202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R204" i="3"/>
  <c r="AT204" i="3"/>
  <c r="AX204" i="3"/>
  <c r="AY204" i="3"/>
  <c r="AQ207" i="3"/>
  <c r="AR207" i="3"/>
  <c r="AT207" i="3"/>
  <c r="AV207" i="3"/>
  <c r="AW207" i="3"/>
  <c r="AX207" i="3"/>
  <c r="AY207" i="3"/>
  <c r="AQ208" i="3"/>
  <c r="AR208" i="3"/>
  <c r="AT208" i="3"/>
  <c r="AV208" i="3"/>
  <c r="AW208" i="3"/>
  <c r="AX208" i="3"/>
  <c r="AY208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R210" i="3"/>
  <c r="AT210" i="3"/>
  <c r="AX210" i="3"/>
  <c r="AY210" i="3"/>
  <c r="AA214" i="3"/>
  <c r="AX214" i="3"/>
  <c r="AY214" i="3"/>
  <c r="K215" i="3"/>
  <c r="AM215" i="3"/>
  <c r="AX215" i="3"/>
  <c r="AY215" i="3"/>
  <c r="K216" i="3"/>
  <c r="AM216" i="3"/>
  <c r="AX216" i="3"/>
  <c r="AY216" i="3"/>
  <c r="K217" i="3"/>
  <c r="W217" i="3"/>
  <c r="AX217" i="3"/>
  <c r="AY217" i="3"/>
  <c r="K218" i="3"/>
  <c r="W218" i="3"/>
  <c r="AX218" i="3"/>
  <c r="AY218" i="3"/>
  <c r="K219" i="3"/>
  <c r="Y219" i="3"/>
  <c r="K220" i="3"/>
  <c r="Y220" i="3"/>
  <c r="AX220" i="3"/>
  <c r="AY220" i="3"/>
  <c r="K221" i="3"/>
  <c r="M221" i="3"/>
  <c r="Y221" i="3"/>
  <c r="AX221" i="3"/>
  <c r="AY221" i="3"/>
  <c r="K222" i="3"/>
  <c r="AA222" i="3"/>
  <c r="AX222" i="3"/>
  <c r="AY222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X224" i="3"/>
  <c r="AY224" i="3"/>
  <c r="Q226" i="3"/>
  <c r="AX226" i="3"/>
  <c r="AY226" i="3"/>
  <c r="O230" i="3"/>
  <c r="AA230" i="3"/>
  <c r="AQ230" i="3"/>
  <c r="AR230" i="3"/>
  <c r="AT230" i="3"/>
  <c r="AV230" i="3"/>
  <c r="AW230" i="3"/>
  <c r="AX230" i="3"/>
  <c r="AY230" i="3"/>
  <c r="O231" i="3"/>
  <c r="AM231" i="3"/>
  <c r="AQ231" i="3"/>
  <c r="AR231" i="3"/>
  <c r="AT231" i="3"/>
  <c r="AV231" i="3"/>
  <c r="AW231" i="3"/>
  <c r="AX231" i="3"/>
  <c r="AY231" i="3"/>
  <c r="O232" i="3"/>
  <c r="AM232" i="3"/>
  <c r="AQ232" i="3"/>
  <c r="AR232" i="3"/>
  <c r="AT232" i="3"/>
  <c r="AV232" i="3"/>
  <c r="AW232" i="3"/>
  <c r="AX232" i="3"/>
  <c r="AY232" i="3"/>
  <c r="O233" i="3"/>
  <c r="W233" i="3"/>
  <c r="AX233" i="3"/>
  <c r="AY233" i="3"/>
  <c r="O234" i="3"/>
  <c r="W234" i="3"/>
  <c r="AX234" i="3"/>
  <c r="AY234" i="3"/>
  <c r="O235" i="3"/>
  <c r="W235" i="3"/>
  <c r="AX235" i="3"/>
  <c r="AY235" i="3"/>
  <c r="O236" i="3"/>
  <c r="Y236" i="3"/>
  <c r="AX236" i="3"/>
  <c r="AY236" i="3"/>
  <c r="O237" i="3"/>
  <c r="AM237" i="3"/>
  <c r="AX237" i="3"/>
  <c r="AY237" i="3"/>
  <c r="O238" i="3"/>
  <c r="Y238" i="3"/>
  <c r="AX238" i="3"/>
  <c r="AY238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X240" i="3"/>
  <c r="AY240" i="3"/>
  <c r="AK241" i="3"/>
  <c r="AM241" i="3"/>
  <c r="AX241" i="3"/>
  <c r="AY241" i="3"/>
  <c r="AM242" i="3"/>
  <c r="AX242" i="3"/>
  <c r="AY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X244" i="3"/>
  <c r="AY244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X245" i="3"/>
  <c r="AY245" i="3"/>
  <c r="AX246" i="3"/>
  <c r="AY246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X248" i="3"/>
  <c r="AY248" i="3"/>
  <c r="Q251" i="3"/>
  <c r="AX251" i="3"/>
  <c r="AY251" i="3"/>
  <c r="K252" i="3"/>
  <c r="Q252" i="3"/>
  <c r="AX252" i="3"/>
  <c r="AY252" i="3"/>
  <c r="K253" i="3"/>
  <c r="Q253" i="3"/>
  <c r="AX253" i="3"/>
  <c r="AY253" i="3"/>
  <c r="K254" i="3"/>
  <c r="Q254" i="3"/>
  <c r="AX254" i="3"/>
  <c r="AY254" i="3"/>
  <c r="K255" i="3"/>
  <c r="Q255" i="3"/>
  <c r="AX255" i="3"/>
  <c r="AY255" i="3"/>
  <c r="K256" i="3"/>
  <c r="Q256" i="3"/>
  <c r="AX256" i="3"/>
  <c r="AY256" i="3"/>
  <c r="K257" i="3"/>
  <c r="Q257" i="3"/>
  <c r="AX257" i="3"/>
  <c r="AY257" i="3"/>
  <c r="K258" i="3"/>
  <c r="Q258" i="3"/>
  <c r="AX258" i="3"/>
  <c r="AY258" i="3"/>
  <c r="K259" i="3"/>
  <c r="Q259" i="3"/>
  <c r="AX259" i="3"/>
  <c r="AY259" i="3"/>
  <c r="K260" i="3"/>
  <c r="Q260" i="3"/>
  <c r="AX260" i="3"/>
  <c r="AY260" i="3"/>
  <c r="K261" i="3"/>
  <c r="Q261" i="3"/>
  <c r="AX261" i="3"/>
  <c r="AY261" i="3"/>
  <c r="K262" i="3"/>
  <c r="Q262" i="3"/>
  <c r="AX262" i="3"/>
  <c r="AY262" i="3"/>
  <c r="K263" i="3"/>
  <c r="Q263" i="3"/>
  <c r="AX263" i="3"/>
  <c r="AY263" i="3"/>
  <c r="K264" i="3"/>
  <c r="Q264" i="3"/>
  <c r="AX264" i="3"/>
  <c r="AY264" i="3"/>
  <c r="K265" i="3"/>
  <c r="Q265" i="3"/>
  <c r="AX265" i="3"/>
  <c r="AY265" i="3"/>
  <c r="K266" i="3"/>
  <c r="Q266" i="3"/>
  <c r="AX266" i="3"/>
  <c r="AY266" i="3"/>
  <c r="K267" i="3"/>
  <c r="Q267" i="3"/>
  <c r="AX267" i="3"/>
  <c r="AY267" i="3"/>
  <c r="K268" i="3"/>
  <c r="Q268" i="3"/>
  <c r="AX268" i="3"/>
  <c r="AY268" i="3"/>
  <c r="M270" i="3"/>
  <c r="O270" i="3"/>
  <c r="Q270" i="3"/>
  <c r="S270" i="3"/>
  <c r="U270" i="3"/>
  <c r="W270" i="3"/>
  <c r="Y270" i="3"/>
  <c r="AA270" i="3"/>
  <c r="AC270" i="3"/>
  <c r="AE270" i="3"/>
  <c r="AG270" i="3"/>
  <c r="AI270" i="3"/>
  <c r="AK270" i="3"/>
  <c r="AM270" i="3"/>
  <c r="AO270" i="3"/>
  <c r="AX270" i="3"/>
  <c r="AY270" i="3"/>
  <c r="Q272" i="3"/>
  <c r="AX272" i="3"/>
  <c r="AY272" i="3"/>
  <c r="Q278" i="3"/>
  <c r="AQ278" i="3"/>
  <c r="AR278" i="3"/>
  <c r="AT278" i="3"/>
  <c r="AV278" i="3"/>
  <c r="AW278" i="3"/>
  <c r="AX278" i="3"/>
  <c r="AY278" i="3"/>
  <c r="Q279" i="3"/>
  <c r="AQ279" i="3"/>
  <c r="AR279" i="3"/>
  <c r="AT279" i="3"/>
  <c r="AV279" i="3"/>
  <c r="AW279" i="3"/>
  <c r="AX279" i="3"/>
  <c r="AY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X281" i="3"/>
  <c r="AY281" i="3"/>
  <c r="W284" i="3"/>
  <c r="AQ284" i="3"/>
  <c r="AR284" i="3"/>
  <c r="AT284" i="3"/>
  <c r="AV284" i="3"/>
  <c r="AW284" i="3"/>
  <c r="AX284" i="3"/>
  <c r="AY284" i="3"/>
  <c r="W285" i="3"/>
  <c r="AQ285" i="3"/>
  <c r="AR285" i="3"/>
  <c r="AT285" i="3"/>
  <c r="AV285" i="3"/>
  <c r="AW285" i="3"/>
  <c r="AX285" i="3"/>
  <c r="AY285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X287" i="3"/>
  <c r="AY287" i="3"/>
  <c r="O290" i="3"/>
  <c r="Q290" i="3"/>
  <c r="AQ290" i="3"/>
  <c r="AR290" i="3"/>
  <c r="AT290" i="3"/>
  <c r="AV290" i="3"/>
  <c r="AW290" i="3"/>
  <c r="AX290" i="3"/>
  <c r="AY290" i="3"/>
  <c r="O291" i="3"/>
  <c r="Q291" i="3"/>
  <c r="AQ291" i="3"/>
  <c r="AR291" i="3"/>
  <c r="AT291" i="3"/>
  <c r="AV291" i="3"/>
  <c r="AW291" i="3"/>
  <c r="AX291" i="3"/>
  <c r="AY291" i="3"/>
  <c r="O292" i="3"/>
  <c r="Q292" i="3"/>
  <c r="AQ292" i="3"/>
  <c r="AR292" i="3"/>
  <c r="AT292" i="3"/>
  <c r="AV292" i="3"/>
  <c r="AW292" i="3"/>
  <c r="AX292" i="3"/>
  <c r="AY292" i="3"/>
  <c r="O293" i="3"/>
  <c r="Q293" i="3"/>
  <c r="AQ293" i="3"/>
  <c r="AR293" i="3"/>
  <c r="AT293" i="3"/>
  <c r="AV293" i="3"/>
  <c r="AW293" i="3"/>
  <c r="AX293" i="3"/>
  <c r="AY293" i="3"/>
  <c r="O294" i="3"/>
  <c r="Q294" i="3"/>
  <c r="AQ294" i="3"/>
  <c r="AR294" i="3"/>
  <c r="AT294" i="3"/>
  <c r="AV294" i="3"/>
  <c r="AW294" i="3"/>
  <c r="AX294" i="3"/>
  <c r="AY294" i="3"/>
  <c r="O295" i="3"/>
  <c r="Q295" i="3"/>
  <c r="AQ295" i="3"/>
  <c r="AR295" i="3"/>
  <c r="AT295" i="3"/>
  <c r="AV295" i="3"/>
  <c r="AW295" i="3"/>
  <c r="AX295" i="3"/>
  <c r="AY295" i="3"/>
  <c r="O296" i="3"/>
  <c r="Q296" i="3"/>
  <c r="AQ296" i="3"/>
  <c r="AR296" i="3"/>
  <c r="AT296" i="3"/>
  <c r="AV296" i="3"/>
  <c r="AW296" i="3"/>
  <c r="AX296" i="3"/>
  <c r="AY296" i="3"/>
  <c r="O297" i="3"/>
  <c r="Q297" i="3"/>
  <c r="AQ297" i="3"/>
  <c r="AR297" i="3"/>
  <c r="AT297" i="3"/>
  <c r="AV297" i="3"/>
  <c r="AW297" i="3"/>
  <c r="AX297" i="3"/>
  <c r="AY297" i="3"/>
  <c r="O298" i="3"/>
  <c r="Q298" i="3"/>
  <c r="AQ298" i="3"/>
  <c r="AR298" i="3"/>
  <c r="AT298" i="3"/>
  <c r="AV298" i="3"/>
  <c r="AW298" i="3"/>
  <c r="AX298" i="3"/>
  <c r="AY298" i="3"/>
  <c r="O299" i="3"/>
  <c r="Q299" i="3"/>
  <c r="AQ299" i="3"/>
  <c r="AR299" i="3"/>
  <c r="AT299" i="3"/>
  <c r="AV299" i="3"/>
  <c r="AW299" i="3"/>
  <c r="AX299" i="3"/>
  <c r="AY299" i="3"/>
  <c r="O300" i="3"/>
  <c r="Q300" i="3"/>
  <c r="AQ300" i="3"/>
  <c r="AR300" i="3"/>
  <c r="AT300" i="3"/>
  <c r="AV300" i="3"/>
  <c r="AW300" i="3"/>
  <c r="AX300" i="3"/>
  <c r="AY300" i="3"/>
  <c r="O301" i="3"/>
  <c r="Q301" i="3"/>
  <c r="AQ301" i="3"/>
  <c r="AR301" i="3"/>
  <c r="AT301" i="3"/>
  <c r="AV301" i="3"/>
  <c r="AW301" i="3"/>
  <c r="AX301" i="3"/>
  <c r="AY301" i="3"/>
  <c r="O302" i="3"/>
  <c r="Q302" i="3"/>
  <c r="AQ302" i="3"/>
  <c r="AR302" i="3"/>
  <c r="AT302" i="3"/>
  <c r="AV302" i="3"/>
  <c r="AW302" i="3"/>
  <c r="AX302" i="3"/>
  <c r="AY302" i="3"/>
  <c r="O303" i="3"/>
  <c r="Q303" i="3"/>
  <c r="AQ303" i="3"/>
  <c r="AR303" i="3"/>
  <c r="AT303" i="3"/>
  <c r="AV303" i="3"/>
  <c r="AW303" i="3"/>
  <c r="AX303" i="3"/>
  <c r="AY303" i="3"/>
  <c r="O304" i="3"/>
  <c r="Q304" i="3"/>
  <c r="AQ304" i="3"/>
  <c r="AR304" i="3"/>
  <c r="AT304" i="3"/>
  <c r="AV304" i="3"/>
  <c r="AW304" i="3"/>
  <c r="AX304" i="3"/>
  <c r="AY304" i="3"/>
  <c r="O305" i="3"/>
  <c r="Q305" i="3"/>
  <c r="AQ305" i="3"/>
  <c r="AR305" i="3"/>
  <c r="AT305" i="3"/>
  <c r="AV305" i="3"/>
  <c r="AW305" i="3"/>
  <c r="AX305" i="3"/>
  <c r="AY305" i="3"/>
  <c r="O306" i="3"/>
  <c r="Q306" i="3"/>
  <c r="AQ306" i="3"/>
  <c r="AR306" i="3"/>
  <c r="AT306" i="3"/>
  <c r="AV306" i="3"/>
  <c r="AW306" i="3"/>
  <c r="AX306" i="3"/>
  <c r="AY306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X308" i="3"/>
  <c r="AY308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X310" i="3"/>
  <c r="AY310" i="3"/>
  <c r="Q313" i="3"/>
  <c r="AX313" i="3"/>
  <c r="AY313" i="3"/>
  <c r="Q317" i="3"/>
  <c r="AQ317" i="3"/>
  <c r="AR317" i="3"/>
  <c r="AT317" i="3"/>
  <c r="AV317" i="3"/>
  <c r="AW317" i="3"/>
  <c r="AX317" i="3"/>
  <c r="AY317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X319" i="3"/>
  <c r="AY319" i="3"/>
  <c r="O321" i="3"/>
  <c r="AQ321" i="3"/>
  <c r="AR321" i="3"/>
  <c r="AT321" i="3"/>
  <c r="AV321" i="3"/>
  <c r="AW321" i="3"/>
  <c r="AX321" i="3"/>
  <c r="AY321" i="3"/>
  <c r="O322" i="3"/>
  <c r="S322" i="3"/>
  <c r="U322" i="3"/>
  <c r="W322" i="3"/>
  <c r="Y322" i="3"/>
  <c r="AA322" i="3"/>
  <c r="AC322" i="3"/>
  <c r="AQ322" i="3"/>
  <c r="AR322" i="3"/>
  <c r="AT322" i="3"/>
  <c r="AV322" i="3"/>
  <c r="AW322" i="3"/>
  <c r="AX322" i="3"/>
  <c r="AY322" i="3"/>
  <c r="O323" i="3"/>
  <c r="AQ323" i="3"/>
  <c r="AR323" i="3"/>
  <c r="AT323" i="3"/>
  <c r="AV323" i="3"/>
  <c r="AW323" i="3"/>
  <c r="AX323" i="3"/>
  <c r="AY323" i="3"/>
  <c r="W324" i="3"/>
  <c r="AQ324" i="3"/>
  <c r="AR324" i="3"/>
  <c r="AT324" i="3"/>
  <c r="AV324" i="3"/>
  <c r="AW324" i="3"/>
  <c r="AX324" i="3"/>
  <c r="AY324" i="3"/>
  <c r="AQ325" i="3"/>
  <c r="AR325" i="3"/>
  <c r="AT325" i="3"/>
  <c r="AV325" i="3"/>
  <c r="AW325" i="3"/>
  <c r="AX325" i="3"/>
  <c r="AY325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X327" i="3"/>
  <c r="AY327" i="3"/>
  <c r="AQ328" i="3"/>
  <c r="AR328" i="3"/>
  <c r="AT328" i="3"/>
  <c r="AV328" i="3"/>
  <c r="AW328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X329" i="3"/>
  <c r="AY329" i="3"/>
  <c r="AM332" i="3"/>
  <c r="AQ332" i="3"/>
  <c r="AR332" i="3"/>
  <c r="AT332" i="3"/>
  <c r="AV332" i="3"/>
  <c r="AW332" i="3"/>
  <c r="AX332" i="3"/>
  <c r="AY332" i="3"/>
  <c r="AM333" i="3"/>
  <c r="AQ333" i="3"/>
  <c r="AR333" i="3"/>
  <c r="AT333" i="3"/>
  <c r="AV333" i="3"/>
  <c r="AW333" i="3"/>
  <c r="AX333" i="3"/>
  <c r="AY333" i="3"/>
  <c r="AM334" i="3"/>
  <c r="AQ334" i="3"/>
  <c r="AR334" i="3"/>
  <c r="AT334" i="3"/>
  <c r="AV334" i="3"/>
  <c r="AW334" i="3"/>
  <c r="AX334" i="3"/>
  <c r="AY334" i="3"/>
  <c r="AM335" i="3"/>
  <c r="AQ335" i="3"/>
  <c r="AR335" i="3"/>
  <c r="AT335" i="3"/>
  <c r="AV335" i="3"/>
  <c r="AW335" i="3"/>
  <c r="AX335" i="3"/>
  <c r="AY335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X337" i="3"/>
  <c r="AY337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X339" i="3"/>
  <c r="AY339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R341" i="3"/>
  <c r="AT341" i="3"/>
  <c r="AW341" i="3"/>
  <c r="AX341" i="3"/>
  <c r="AY341" i="3"/>
  <c r="O342" i="3"/>
  <c r="AT343" i="3"/>
  <c r="O354" i="3"/>
  <c r="M360" i="3"/>
  <c r="O360" i="3"/>
  <c r="M362" i="3"/>
  <c r="O362" i="3"/>
  <c r="M364" i="3"/>
  <c r="O364" i="3"/>
</calcChain>
</file>

<file path=xl/comments1.xml><?xml version="1.0" encoding="utf-8"?>
<comments xmlns="http://schemas.openxmlformats.org/spreadsheetml/2006/main">
  <authors>
    <author>jerwin</author>
  </authors>
  <commentList>
    <comment ref="C7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Is a swap associated with this debt</t>
        </r>
      </text>
    </comment>
    <comment ref="O278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Steve Duncan 6-7825 - due to FPI - contingent payment - reclassed from Other Payable.  Interest Rate is %.?%</t>
        </r>
      </text>
    </comment>
  </commentList>
</comments>
</file>

<file path=xl/sharedStrings.xml><?xml version="1.0" encoding="utf-8"?>
<sst xmlns="http://schemas.openxmlformats.org/spreadsheetml/2006/main" count="630" uniqueCount="291">
  <si>
    <t>Other</t>
  </si>
  <si>
    <t>Co #</t>
  </si>
  <si>
    <t>34J</t>
  </si>
  <si>
    <t>Maliseet Properties</t>
  </si>
  <si>
    <t>16R</t>
  </si>
  <si>
    <t>20U</t>
  </si>
  <si>
    <t>San Juan Gas</t>
  </si>
  <si>
    <t>APACHE</t>
  </si>
  <si>
    <t>CALME</t>
  </si>
  <si>
    <t>43C</t>
  </si>
  <si>
    <t>EPCA Argentina</t>
  </si>
  <si>
    <t>Pierce Mechanical</t>
  </si>
  <si>
    <t>EREC</t>
  </si>
  <si>
    <t>EI</t>
  </si>
  <si>
    <t>Total</t>
  </si>
  <si>
    <t>ENRON4C</t>
  </si>
  <si>
    <t>Enron Energy Services UK Ltd</t>
  </si>
  <si>
    <t>14E</t>
  </si>
  <si>
    <t>61G</t>
  </si>
  <si>
    <t>ECT Canada</t>
  </si>
  <si>
    <t>Enron Corp. &amp; Subsidiaries</t>
  </si>
  <si>
    <t>SUMMARY OF TOTAL DEBT</t>
  </si>
  <si>
    <t>(000's)</t>
  </si>
  <si>
    <t>NEXT</t>
  </si>
  <si>
    <t>CALL</t>
  </si>
  <si>
    <t>RATE</t>
  </si>
  <si>
    <t>MATURITY</t>
  </si>
  <si>
    <t>PRICE</t>
  </si>
  <si>
    <t>AMOUNT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</si>
  <si>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</si>
  <si>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</si>
  <si>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</si>
  <si>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</si>
  <si>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</si>
  <si>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</si>
  <si>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</si>
  <si>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</si>
  <si>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</si>
  <si>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</si>
  <si>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sum</t>
  </si>
  <si>
    <t>check</t>
  </si>
  <si>
    <t>3-month LIBOR</t>
  </si>
  <si>
    <t>11-18-99</t>
  </si>
  <si>
    <t>NC</t>
  </si>
  <si>
    <t>03-30-00</t>
  </si>
  <si>
    <t>05-15-01</t>
  </si>
  <si>
    <t xml:space="preserve">  NC</t>
  </si>
  <si>
    <t>06-15-01</t>
  </si>
  <si>
    <t>11-15-01</t>
  </si>
  <si>
    <t>08-01-02</t>
  </si>
  <si>
    <t>04-01-03</t>
  </si>
  <si>
    <t>06-15-03</t>
  </si>
  <si>
    <t>06-30-03</t>
  </si>
  <si>
    <t>Whitewing</t>
  </si>
  <si>
    <t>(6)</t>
  </si>
  <si>
    <t>10-15-03</t>
  </si>
  <si>
    <t>09-01-04</t>
  </si>
  <si>
    <t>09-10-04</t>
  </si>
  <si>
    <t>09-15-04</t>
  </si>
  <si>
    <t>04-08-05</t>
  </si>
  <si>
    <t>(2)</t>
  </si>
  <si>
    <t>07-01-05</t>
  </si>
  <si>
    <t>11-15-05</t>
  </si>
  <si>
    <t>03-15-06</t>
  </si>
  <si>
    <t>(7)</t>
  </si>
  <si>
    <t>07-15-06</t>
  </si>
  <si>
    <t>05-15-07</t>
  </si>
  <si>
    <t>10-15-07</t>
  </si>
  <si>
    <t>11-15-08</t>
  </si>
  <si>
    <t xml:space="preserve"> </t>
  </si>
  <si>
    <t>08-01-09</t>
  </si>
  <si>
    <t>09-15-12</t>
  </si>
  <si>
    <t>05-15-19</t>
  </si>
  <si>
    <t>PEOPLES #2</t>
  </si>
  <si>
    <t>10-10-20</t>
  </si>
  <si>
    <t>08-15-23</t>
  </si>
  <si>
    <t>07-15-28</t>
  </si>
  <si>
    <t>07-31-02</t>
  </si>
  <si>
    <t>Exchangeable</t>
  </si>
  <si>
    <t>UNAMORTIZED DISCOUNT &amp; PREMIUM (NET)</t>
  </si>
  <si>
    <t>Mark to Market ADJ for EOG Note</t>
  </si>
  <si>
    <t>10-31-17</t>
  </si>
  <si>
    <t>Steele</t>
  </si>
  <si>
    <t>Unamortized LTD</t>
  </si>
  <si>
    <t>TOTAL ENRON</t>
  </si>
  <si>
    <t>05-01-05</t>
  </si>
  <si>
    <t>09-15-08</t>
  </si>
  <si>
    <t>06-01-11</t>
  </si>
  <si>
    <t>TOTAL NORTHERN NATURAL GAS</t>
  </si>
  <si>
    <t>01-15-00</t>
  </si>
  <si>
    <t>05-01-00</t>
  </si>
  <si>
    <t>11-01-04</t>
  </si>
  <si>
    <t>TOTAL TRANSWESTERN</t>
  </si>
  <si>
    <t>TOTAL EOG</t>
  </si>
  <si>
    <t>NAT WEST LEASE</t>
  </si>
  <si>
    <t>03-31-05</t>
  </si>
  <si>
    <t>ABBEY NAT'L LEASE</t>
  </si>
  <si>
    <t>Translation - per Claire Wright</t>
  </si>
  <si>
    <t>Hyperion Line 0705 - Co # ECINT4</t>
  </si>
  <si>
    <t>PORTLAND GENERAL LTD</t>
  </si>
  <si>
    <t>RETAIL GROUP</t>
  </si>
  <si>
    <t>Hypo-Greek Project Financing</t>
  </si>
  <si>
    <t>01-05-03</t>
  </si>
  <si>
    <t>Trust Co. of the West</t>
  </si>
  <si>
    <t>04-30-00</t>
  </si>
  <si>
    <t>So Cal Ed Settlement</t>
  </si>
  <si>
    <t>10-31-02</t>
  </si>
  <si>
    <t>Cap Lease - Equipment</t>
  </si>
  <si>
    <t>Windstream Properties</t>
  </si>
  <si>
    <t>Cabazon Wind Masters, Inc.</t>
  </si>
  <si>
    <t>11-15-12</t>
  </si>
  <si>
    <t>Elektro</t>
  </si>
  <si>
    <t>10-30-05</t>
  </si>
  <si>
    <t>+TR</t>
  </si>
  <si>
    <t>11-30-17</t>
  </si>
  <si>
    <t>+IGP-DI</t>
  </si>
  <si>
    <t>+TJLP</t>
  </si>
  <si>
    <t>BNDES</t>
  </si>
  <si>
    <t>12-31-03</t>
  </si>
  <si>
    <t>Batangas</t>
  </si>
  <si>
    <t>Hyperion Line 0705 - Co # 449  (APACHE)</t>
  </si>
  <si>
    <t>Hyperion Line 0705 - Co # 629 (CALME)</t>
  </si>
  <si>
    <t>ENRON INTERNATIONAL</t>
  </si>
  <si>
    <t>TOTAL LONG-TERM DEBT</t>
  </si>
  <si>
    <t>ENRON CORP. SHORT-TERM DEBT</t>
  </si>
  <si>
    <t xml:space="preserve">EOG SHORT-TERM DEBT </t>
  </si>
  <si>
    <t>ENRON EUROPE STD</t>
  </si>
  <si>
    <t>(10)</t>
  </si>
  <si>
    <t>PORTLAND GENERAL SHORT-TERM DEBT</t>
  </si>
  <si>
    <t>Condor Note</t>
  </si>
  <si>
    <t>TOTAL SHORT-TERM DEBT</t>
  </si>
  <si>
    <t>TOTAL DEBT</t>
  </si>
  <si>
    <t>Hyperion ENRON4</t>
  </si>
  <si>
    <t>NORTHERN NATURAL GAS</t>
  </si>
  <si>
    <t>TRANSWESTERN</t>
  </si>
  <si>
    <t>None</t>
  </si>
  <si>
    <t>EOG</t>
  </si>
  <si>
    <t>TOTAL ENRON EUROPE</t>
  </si>
  <si>
    <t>TOTAL PORTLAND GENERAL LTD</t>
  </si>
  <si>
    <t>ENRON NORTH AMERICA</t>
  </si>
  <si>
    <t>TOTAL ENRON NORTH AMERICA</t>
  </si>
  <si>
    <t>TOTAL RETAIL GROUP</t>
  </si>
  <si>
    <t>TOTAL EREC</t>
  </si>
  <si>
    <t>TOTAL SOUTH AMERICA</t>
  </si>
  <si>
    <t>TOTAL CALME</t>
  </si>
  <si>
    <t>ENRON INTERNATIONAL - OTHER</t>
  </si>
  <si>
    <t>TOTAL EI - OTHER</t>
  </si>
  <si>
    <t>Difference</t>
  </si>
  <si>
    <t>SHORT-TERM DEBT</t>
  </si>
  <si>
    <t>Fair Value Company</t>
  </si>
  <si>
    <t>Ref #</t>
  </si>
  <si>
    <t>Swap</t>
  </si>
  <si>
    <t>Whitewing II</t>
  </si>
  <si>
    <t>Hyperion Line 0705 - 099 + 969 + 34J +Steele</t>
  </si>
  <si>
    <t>ATHibor+3%</t>
  </si>
  <si>
    <t>Libor+1.7%</t>
  </si>
  <si>
    <t>AIB Note - Owenreagh</t>
  </si>
  <si>
    <t>Libor - .5%</t>
  </si>
  <si>
    <t>Libor+.2%</t>
  </si>
  <si>
    <t>FX - true up</t>
  </si>
  <si>
    <t>Unreconciled</t>
  </si>
  <si>
    <t>TOTAL APACHI</t>
  </si>
  <si>
    <t>APACHI</t>
  </si>
  <si>
    <t>71V</t>
  </si>
  <si>
    <t>Sichuan Jialing Electric</t>
  </si>
  <si>
    <t>+0705+0765+0770</t>
  </si>
  <si>
    <t>ENA</t>
  </si>
  <si>
    <t>1 month Libor</t>
  </si>
  <si>
    <t>Credit Facility - Centragas</t>
  </si>
  <si>
    <t>Interest Expense</t>
  </si>
  <si>
    <t>Open</t>
  </si>
  <si>
    <t xml:space="preserve">Open </t>
  </si>
  <si>
    <t>until</t>
  </si>
  <si>
    <t>get</t>
  </si>
  <si>
    <t>project</t>
  </si>
  <si>
    <t>financing</t>
  </si>
  <si>
    <t>Conservation Bonds</t>
  </si>
  <si>
    <t>Still being investigated</t>
  </si>
  <si>
    <t>FX Rate</t>
  </si>
  <si>
    <t>EURO</t>
  </si>
  <si>
    <t>ENRON CORP - Other currency</t>
  </si>
  <si>
    <t>ENRON CORP - $</t>
  </si>
  <si>
    <t>Current Year</t>
  </si>
  <si>
    <t>BALANCES</t>
  </si>
  <si>
    <t>DEBENTURES</t>
  </si>
  <si>
    <t>POLLUTION CONTROL BONDS</t>
  </si>
  <si>
    <t>FIRST MORTGAGE BONDS</t>
  </si>
  <si>
    <t>Quid Bonds</t>
  </si>
  <si>
    <t>NOTES PAYABLE - 6.45% to 10%</t>
  </si>
  <si>
    <t>NOTES PAYABLE  - FLOATING</t>
  </si>
  <si>
    <t>NOTES PAYABLE  - OTHER</t>
  </si>
  <si>
    <t>EuroBond</t>
  </si>
  <si>
    <t>969</t>
  </si>
  <si>
    <t>1 mo LIBOR+75bp</t>
  </si>
  <si>
    <t>VAR % - PRIME</t>
  </si>
  <si>
    <t>VAR% - LIBOR+20bps</t>
  </si>
  <si>
    <t>Credit Facility</t>
  </si>
  <si>
    <t>TOTAL DEBENTURES</t>
  </si>
  <si>
    <t>TOTAL NOTES PAYABLE</t>
  </si>
  <si>
    <t>TOTAL NOTES PAYABLE - FLOATING</t>
  </si>
  <si>
    <t>TOTAL NOTES PAYABLE - OTHER</t>
  </si>
  <si>
    <t>TOTAL POLLUTION CONTROL BONDS</t>
  </si>
  <si>
    <t>var%</t>
  </si>
  <si>
    <t>OTHER LONG-TERM DEBT</t>
  </si>
  <si>
    <t>TOTAL OTHER LONG-TERM DEBT</t>
  </si>
  <si>
    <t>TOTAL FIRST MORTGAGE BONDS</t>
  </si>
  <si>
    <t>UNAMORTIZED DEBT</t>
  </si>
  <si>
    <t>EOG EXCHANGEABLE NOTES</t>
  </si>
  <si>
    <t>TOTAL EOG EXCHANGEABLE NOTES</t>
  </si>
  <si>
    <t>GBP</t>
  </si>
  <si>
    <t>099</t>
  </si>
  <si>
    <t>987</t>
  </si>
  <si>
    <t>077</t>
  </si>
  <si>
    <t>099,969,987</t>
  </si>
  <si>
    <t>Bahia Las Minas</t>
  </si>
  <si>
    <t>Libor + .125%</t>
  </si>
  <si>
    <t>Libor + 2.25%</t>
  </si>
  <si>
    <t>Yen #1</t>
  </si>
  <si>
    <t>INCEPTION</t>
  </si>
  <si>
    <t>ENRON EUROPE - Other Currency</t>
  </si>
  <si>
    <t>ENRON EUROPE - US$</t>
  </si>
  <si>
    <t>CALME - Other currencies</t>
  </si>
  <si>
    <t>CALME - USD</t>
  </si>
  <si>
    <t>SOUTH AMERICA - other currencies</t>
  </si>
  <si>
    <t>SOUTH AMERICA - US$</t>
  </si>
  <si>
    <t>Elektro+TR</t>
  </si>
  <si>
    <t>Elektro+IGP-DI</t>
  </si>
  <si>
    <t>Elektro+TJLP</t>
  </si>
  <si>
    <t>Bank of New York C. Combinado</t>
  </si>
  <si>
    <t>Bank of New York BLM</t>
  </si>
  <si>
    <t>Banca Popolare Di Verona</t>
  </si>
  <si>
    <t>EGE-Bayano, S.A.-Mecfint Jersey</t>
  </si>
  <si>
    <t>BankBoston W/C Facility #3</t>
  </si>
  <si>
    <t>Subtotal Bahia Las Minas</t>
  </si>
  <si>
    <t>Subtotal Other</t>
  </si>
  <si>
    <t>APACHI - Other currencies</t>
  </si>
  <si>
    <t>Hyperion accounts  0705, 0765, 0770, 0775</t>
  </si>
  <si>
    <t>Represents US$ exchange of foreign currency debt - put fx rate in and change formula</t>
  </si>
  <si>
    <t>Subtotal Sichuan Jialing Electric</t>
  </si>
  <si>
    <t>Subtotal Batangas</t>
  </si>
  <si>
    <t>In RMB</t>
  </si>
  <si>
    <t>SWAP</t>
  </si>
  <si>
    <t>No</t>
  </si>
  <si>
    <t>Input cell</t>
  </si>
  <si>
    <t>Formula</t>
  </si>
  <si>
    <t>Subtotal Elektro</t>
  </si>
  <si>
    <t>05R</t>
  </si>
  <si>
    <t xml:space="preserve">Elektro </t>
  </si>
  <si>
    <t>BNDES+TJLP</t>
  </si>
  <si>
    <t>Enron Wenchang Holdings</t>
  </si>
  <si>
    <t>71B</t>
  </si>
  <si>
    <t>E Power Corporation</t>
  </si>
  <si>
    <t>EE&amp;CC</t>
  </si>
  <si>
    <t>2011+</t>
  </si>
  <si>
    <t>2010</t>
  </si>
  <si>
    <t>Relates to Minority Interest</t>
  </si>
  <si>
    <t>Previously mapped to 0495</t>
  </si>
  <si>
    <t>Johnson's topside eliminations</t>
  </si>
  <si>
    <t>Yen #2</t>
  </si>
  <si>
    <t>Yosemite II</t>
  </si>
  <si>
    <t>Wiltshire</t>
  </si>
  <si>
    <t>ESA</t>
  </si>
  <si>
    <t>Notes</t>
  </si>
  <si>
    <t>5.?%</t>
  </si>
  <si>
    <t xml:space="preserve">(are really floating - </t>
  </si>
  <si>
    <t>principal is always</t>
  </si>
  <si>
    <t>adjusted to keep</t>
  </si>
  <si>
    <t>the note holders</t>
  </si>
  <si>
    <t>whole.)</t>
  </si>
  <si>
    <t>For period ending June 30, 2000</t>
  </si>
  <si>
    <t>Harrier I</t>
  </si>
  <si>
    <t>78Y</t>
  </si>
  <si>
    <t>DataSystems Group</t>
  </si>
  <si>
    <t>Enron WarpSpeed Services</t>
  </si>
  <si>
    <t>83N</t>
  </si>
  <si>
    <t>ENRON COMMUNICATIONS</t>
  </si>
  <si>
    <t>TOTAL ENRON COMMUNICATIONS</t>
  </si>
  <si>
    <t>0011</t>
  </si>
  <si>
    <t>082C</t>
  </si>
  <si>
    <t>Enron Corp-Project Valhalla</t>
  </si>
  <si>
    <t>Rheingold-Project Valhalla</t>
  </si>
  <si>
    <t>Grizzly I</t>
  </si>
  <si>
    <t>Yen #3</t>
  </si>
  <si>
    <t>Yen #4</t>
  </si>
  <si>
    <t>ENRON FUNDING CORP</t>
  </si>
  <si>
    <t>Libor + 1.5%</t>
  </si>
  <si>
    <t>Mees Pierson-Cabazon</t>
  </si>
  <si>
    <t>Raptor I</t>
  </si>
  <si>
    <t>Rounding</t>
  </si>
  <si>
    <t>082B</t>
  </si>
  <si>
    <t>088J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</si>
</sst>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/dd/yy_)"/>
    <numFmt numFmtId="167" formatCode="0.000%"/>
    <numFmt numFmtId="168" formatCode="#,##0.0000_);\(#,##0.0000\)"/>
    <numFmt numFmtId="169" formatCode="m\-d\-yy"/>
    <numFmt numFmtId="176" formatCode="#,##0.00000_);\(#,##0.0000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</font>
    <font>
      <b/>
      <sz val="10"/>
      <color indexed="8"/>
      <name val="Arial"/>
    </font>
    <font>
      <b/>
      <sz val="7"/>
      <color indexed="8"/>
      <name val="Arial"/>
      <family val="2"/>
    </font>
    <font>
      <sz val="6"/>
      <color indexed="8"/>
      <name val="Arial"/>
      <family val="2"/>
    </font>
    <font>
      <sz val="7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Helv"/>
    </font>
    <font>
      <sz val="8"/>
      <color indexed="81"/>
      <name val="Tahoma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20"/>
      <name val="Arial"/>
      <family val="2"/>
    </font>
    <font>
      <sz val="12"/>
      <color indexed="20"/>
      <name val="Arial"/>
      <family val="2"/>
    </font>
    <font>
      <b/>
      <sz val="10"/>
      <color indexed="20"/>
      <name val="Arial"/>
      <family val="2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3" fillId="0" borderId="0" xfId="1" applyNumberFormat="1" applyFont="1" applyFill="1"/>
    <xf numFmtId="165" fontId="4" fillId="0" borderId="0" xfId="1" applyNumberFormat="1" applyFont="1"/>
    <xf numFmtId="0" fontId="6" fillId="0" borderId="0" xfId="0" applyFont="1" applyAlignment="1" applyProtection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left"/>
    </xf>
    <xf numFmtId="0" fontId="8" fillId="0" borderId="0" xfId="0" applyFont="1"/>
    <xf numFmtId="166" fontId="7" fillId="0" borderId="0" xfId="0" applyNumberFormat="1" applyFont="1" applyProtection="1"/>
    <xf numFmtId="10" fontId="7" fillId="0" borderId="0" xfId="3" applyNumberFormat="1" applyFont="1"/>
    <xf numFmtId="10" fontId="9" fillId="0" borderId="0" xfId="3" applyNumberFormat="1" applyFont="1"/>
    <xf numFmtId="0" fontId="10" fillId="0" borderId="0" xfId="0" applyFont="1" applyAlignment="1" applyProtection="1">
      <alignment horizontal="left"/>
    </xf>
    <xf numFmtId="0" fontId="11" fillId="0" borderId="0" xfId="0" applyFont="1" applyAlignment="1">
      <alignment horizontal="left"/>
    </xf>
    <xf numFmtId="0" fontId="7" fillId="0" borderId="0" xfId="0" quotePrefix="1" applyFont="1" applyAlignment="1" applyProtection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/>
    </xf>
    <xf numFmtId="0" fontId="10" fillId="0" borderId="1" xfId="0" quotePrefix="1" applyFont="1" applyBorder="1" applyAlignment="1" applyProtection="1">
      <alignment horizontal="center"/>
    </xf>
    <xf numFmtId="0" fontId="13" fillId="0" borderId="0" xfId="0" applyFont="1"/>
    <xf numFmtId="167" fontId="7" fillId="0" borderId="0" xfId="0" quotePrefix="1" applyNumberFormat="1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7" fillId="0" borderId="0" xfId="0" quotePrefix="1" applyFont="1" applyAlignment="1" applyProtection="1">
      <alignment horizontal="center"/>
    </xf>
    <xf numFmtId="165" fontId="8" fillId="0" borderId="0" xfId="1" applyNumberFormat="1" applyFont="1" applyFill="1" applyBorder="1" applyProtection="1">
      <protection locked="0"/>
    </xf>
    <xf numFmtId="165" fontId="7" fillId="0" borderId="0" xfId="1" applyNumberFormat="1" applyFont="1" applyProtection="1">
      <protection locked="0"/>
    </xf>
    <xf numFmtId="165" fontId="7" fillId="0" borderId="0" xfId="1" applyNumberFormat="1" applyFont="1" applyBorder="1" applyProtection="1">
      <protection locked="0"/>
    </xf>
    <xf numFmtId="165" fontId="7" fillId="0" borderId="0" xfId="1" applyNumberFormat="1" applyFont="1" applyBorder="1"/>
    <xf numFmtId="165" fontId="7" fillId="0" borderId="0" xfId="1" applyNumberFormat="1" applyFont="1"/>
    <xf numFmtId="0" fontId="7" fillId="0" borderId="0" xfId="0" applyFont="1" applyBorder="1"/>
    <xf numFmtId="165" fontId="7" fillId="0" borderId="0" xfId="0" applyNumberFormat="1" applyFont="1"/>
    <xf numFmtId="167" fontId="7" fillId="0" borderId="0" xfId="0" applyNumberFormat="1" applyFont="1" applyAlignment="1" applyProtection="1">
      <alignment horizontal="center"/>
    </xf>
    <xf numFmtId="165" fontId="8" fillId="0" borderId="0" xfId="1" applyNumberFormat="1" applyFont="1" applyFill="1" applyProtection="1">
      <protection locked="0"/>
    </xf>
    <xf numFmtId="0" fontId="7" fillId="0" borderId="0" xfId="0" quotePrefix="1" applyFont="1" applyAlignment="1">
      <alignment horizontal="center"/>
    </xf>
    <xf numFmtId="165" fontId="8" fillId="0" borderId="0" xfId="1" applyNumberFormat="1" applyFont="1" applyFill="1" applyProtection="1"/>
    <xf numFmtId="0" fontId="14" fillId="0" borderId="0" xfId="0" applyFont="1"/>
    <xf numFmtId="0" fontId="3" fillId="0" borderId="0" xfId="0" applyFont="1"/>
    <xf numFmtId="0" fontId="0" fillId="0" borderId="0" xfId="0" applyBorder="1"/>
    <xf numFmtId="10" fontId="7" fillId="0" borderId="0" xfId="3" applyNumberFormat="1" applyFont="1" applyBorder="1"/>
    <xf numFmtId="165" fontId="8" fillId="0" borderId="2" xfId="1" applyNumberFormat="1" applyFont="1" applyFill="1" applyBorder="1" applyProtection="1">
      <protection locked="0"/>
    </xf>
    <xf numFmtId="165" fontId="7" fillId="0" borderId="2" xfId="1" applyNumberFormat="1" applyFont="1" applyBorder="1" applyProtection="1">
      <protection locked="0"/>
    </xf>
    <xf numFmtId="165" fontId="7" fillId="0" borderId="2" xfId="1" applyNumberFormat="1" applyFont="1" applyBorder="1"/>
    <xf numFmtId="168" fontId="7" fillId="0" borderId="0" xfId="0" applyNumberFormat="1" applyFont="1" applyAlignment="1" applyProtection="1">
      <alignment horizontal="center"/>
    </xf>
    <xf numFmtId="165" fontId="8" fillId="0" borderId="0" xfId="1" applyNumberFormat="1" applyFont="1" applyFill="1" applyBorder="1" applyProtection="1"/>
    <xf numFmtId="165" fontId="7" fillId="0" borderId="0" xfId="1" applyNumberFormat="1" applyFont="1" applyFill="1" applyBorder="1"/>
    <xf numFmtId="165" fontId="7" fillId="0" borderId="0" xfId="1" applyNumberFormat="1" applyFont="1" applyFill="1" applyBorder="1" applyProtection="1"/>
    <xf numFmtId="0" fontId="15" fillId="0" borderId="0" xfId="0" applyFont="1" applyFill="1" applyBorder="1"/>
    <xf numFmtId="0" fontId="15" fillId="0" borderId="0" xfId="0" applyFont="1" applyProtection="1"/>
    <xf numFmtId="0" fontId="7" fillId="0" borderId="0" xfId="0" applyFont="1" applyFill="1" applyBorder="1" applyProtection="1"/>
    <xf numFmtId="10" fontId="15" fillId="0" borderId="0" xfId="3" applyNumberFormat="1" applyFont="1" applyProtection="1"/>
    <xf numFmtId="0" fontId="15" fillId="0" borderId="0" xfId="0" applyFont="1"/>
    <xf numFmtId="10" fontId="15" fillId="0" borderId="0" xfId="3" applyNumberFormat="1" applyFo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44" fontId="7" fillId="0" borderId="0" xfId="2" applyFont="1" applyFill="1" applyBorder="1" applyAlignment="1">
      <alignment horizontal="center"/>
    </xf>
    <xf numFmtId="0" fontId="7" fillId="0" borderId="0" xfId="0" applyFont="1" applyFill="1" applyBorder="1"/>
    <xf numFmtId="167" fontId="10" fillId="0" borderId="0" xfId="0" applyNumberFormat="1" applyFont="1" applyFill="1" applyBorder="1" applyAlignment="1" applyProtection="1">
      <alignment horizontal="left"/>
    </xf>
    <xf numFmtId="167" fontId="7" fillId="0" borderId="0" xfId="0" applyNumberFormat="1" applyFont="1" applyProtection="1"/>
    <xf numFmtId="165" fontId="8" fillId="0" borderId="0" xfId="1" applyNumberFormat="1" applyFont="1" applyFill="1"/>
    <xf numFmtId="0" fontId="15" fillId="0" borderId="0" xfId="0" applyFont="1" applyBorder="1"/>
    <xf numFmtId="10" fontId="15" fillId="0" borderId="0" xfId="3" applyNumberFormat="1" applyFont="1" applyBorder="1"/>
    <xf numFmtId="165" fontId="8" fillId="0" borderId="2" xfId="1" applyNumberFormat="1" applyFont="1" applyFill="1" applyBorder="1" applyProtection="1"/>
    <xf numFmtId="0" fontId="10" fillId="0" borderId="0" xfId="0" applyFont="1" applyFill="1" applyBorder="1" applyAlignment="1" applyProtection="1">
      <alignment horizontal="left"/>
    </xf>
    <xf numFmtId="168" fontId="7" fillId="0" borderId="0" xfId="0" applyNumberFormat="1" applyFont="1" applyFill="1" applyBorder="1" applyAlignment="1" applyProtection="1">
      <alignment horizontal="center"/>
    </xf>
    <xf numFmtId="167" fontId="7" fillId="0" borderId="0" xfId="3" quotePrefix="1" applyNumberFormat="1" applyFont="1" applyAlignment="1" applyProtection="1">
      <alignment horizontal="center"/>
    </xf>
    <xf numFmtId="14" fontId="7" fillId="0" borderId="0" xfId="0" quotePrefix="1" applyNumberFormat="1" applyFont="1" applyBorder="1" applyAlignment="1">
      <alignment horizontal="center"/>
    </xf>
    <xf numFmtId="165" fontId="3" fillId="0" borderId="0" xfId="1" applyNumberFormat="1" applyFont="1" applyFill="1" applyBorder="1" applyProtection="1"/>
    <xf numFmtId="0" fontId="7" fillId="0" borderId="0" xfId="0" applyFont="1" applyAlignment="1">
      <alignment horizontal="left"/>
    </xf>
    <xf numFmtId="169" fontId="7" fillId="0" borderId="0" xfId="0" quotePrefix="1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165" fontId="8" fillId="0" borderId="2" xfId="1" applyNumberFormat="1" applyFont="1" applyFill="1" applyBorder="1"/>
    <xf numFmtId="0" fontId="7" fillId="0" borderId="0" xfId="0" applyFont="1" applyProtection="1">
      <protection locked="0"/>
    </xf>
    <xf numFmtId="0" fontId="0" fillId="0" borderId="2" xfId="0" applyBorder="1"/>
    <xf numFmtId="0" fontId="7" fillId="0" borderId="2" xfId="0" applyFont="1" applyBorder="1"/>
    <xf numFmtId="0" fontId="8" fillId="0" borderId="0" xfId="0" applyFont="1" applyFill="1" applyProtection="1">
      <protection locked="0"/>
    </xf>
    <xf numFmtId="0" fontId="3" fillId="0" borderId="0" xfId="0" applyFont="1" applyAlignment="1">
      <alignment horizontal="center"/>
    </xf>
    <xf numFmtId="0" fontId="10" fillId="0" borderId="0" xfId="0" quotePrefix="1" applyFont="1" applyAlignment="1" applyProtection="1">
      <alignment horizontal="left"/>
    </xf>
    <xf numFmtId="0" fontId="7" fillId="0" borderId="0" xfId="0" quotePrefix="1" applyFont="1" applyFill="1"/>
    <xf numFmtId="165" fontId="7" fillId="0" borderId="0" xfId="1" applyNumberFormat="1" applyFont="1" applyFill="1"/>
    <xf numFmtId="14" fontId="7" fillId="0" borderId="0" xfId="0" quotePrefix="1" applyNumberFormat="1" applyFont="1" applyAlignment="1">
      <alignment horizontal="center"/>
    </xf>
    <xf numFmtId="0" fontId="7" fillId="0" borderId="0" xfId="0" applyFont="1" applyFill="1"/>
    <xf numFmtId="168" fontId="7" fillId="0" borderId="0" xfId="0" applyNumberFormat="1" applyFont="1" applyFill="1" applyBorder="1" applyProtection="1"/>
    <xf numFmtId="165" fontId="8" fillId="0" borderId="1" xfId="1" applyNumberFormat="1" applyFont="1" applyFill="1" applyBorder="1" applyProtection="1">
      <protection locked="0"/>
    </xf>
    <xf numFmtId="165" fontId="13" fillId="0" borderId="0" xfId="1" applyNumberFormat="1" applyFont="1"/>
    <xf numFmtId="165" fontId="16" fillId="0" borderId="0" xfId="1" applyNumberFormat="1" applyFont="1"/>
    <xf numFmtId="168" fontId="7" fillId="0" borderId="0" xfId="0" applyNumberFormat="1" applyFont="1" applyProtection="1"/>
    <xf numFmtId="0" fontId="8" fillId="0" borderId="0" xfId="0" applyFont="1" applyFill="1"/>
    <xf numFmtId="10" fontId="17" fillId="0" borderId="0" xfId="3" applyNumberFormat="1" applyFont="1"/>
    <xf numFmtId="0" fontId="18" fillId="0" borderId="0" xfId="0" applyFont="1"/>
    <xf numFmtId="0" fontId="3" fillId="0" borderId="0" xfId="0" quotePrefix="1" applyFont="1" applyAlignment="1" applyProtection="1">
      <alignment horizontal="center"/>
    </xf>
    <xf numFmtId="0" fontId="8" fillId="0" borderId="0" xfId="0" applyFont="1" applyFill="1" applyBorder="1"/>
    <xf numFmtId="0" fontId="7" fillId="0" borderId="0" xfId="0" applyFont="1" applyFill="1" applyBorder="1" applyAlignment="1" applyProtection="1">
      <alignment horizontal="left"/>
    </xf>
    <xf numFmtId="165" fontId="8" fillId="0" borderId="1" xfId="1" applyNumberFormat="1" applyFont="1" applyFill="1" applyBorder="1" applyProtection="1"/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>
      <alignment horizontal="center"/>
    </xf>
    <xf numFmtId="167" fontId="10" fillId="0" borderId="0" xfId="0" applyNumberFormat="1" applyFont="1" applyProtection="1"/>
    <xf numFmtId="0" fontId="10" fillId="0" borderId="0" xfId="0" applyFont="1"/>
    <xf numFmtId="0" fontId="10" fillId="0" borderId="0" xfId="0" quotePrefix="1" applyFont="1" applyBorder="1" applyAlignment="1" applyProtection="1">
      <alignment horizontal="center"/>
    </xf>
    <xf numFmtId="165" fontId="3" fillId="0" borderId="0" xfId="1" applyNumberFormat="1" applyFont="1" applyFill="1" applyBorder="1" applyProtection="1">
      <protection locked="0"/>
    </xf>
    <xf numFmtId="167" fontId="4" fillId="0" borderId="0" xfId="0" applyNumberFormat="1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/>
    <xf numFmtId="165" fontId="4" fillId="0" borderId="0" xfId="1" applyNumberFormat="1" applyFont="1" applyFill="1" applyProtection="1">
      <protection locked="0"/>
    </xf>
    <xf numFmtId="165" fontId="4" fillId="0" borderId="0" xfId="1" applyNumberFormat="1" applyFont="1" applyProtection="1">
      <protection locked="0"/>
    </xf>
    <xf numFmtId="165" fontId="4" fillId="0" borderId="0" xfId="1" applyNumberFormat="1" applyFont="1" applyFill="1" applyBorder="1" applyProtection="1">
      <protection locked="0"/>
    </xf>
    <xf numFmtId="165" fontId="4" fillId="0" borderId="0" xfId="1" applyNumberFormat="1" applyFont="1" applyBorder="1" applyProtection="1">
      <protection locked="0"/>
    </xf>
    <xf numFmtId="165" fontId="4" fillId="0" borderId="0" xfId="1" applyNumberFormat="1" applyFont="1" applyFill="1" applyBorder="1"/>
    <xf numFmtId="0" fontId="4" fillId="0" borderId="0" xfId="0" applyFont="1" applyAlignment="1">
      <alignment horizontal="left"/>
    </xf>
    <xf numFmtId="169" fontId="4" fillId="0" borderId="0" xfId="0" quotePrefix="1" applyNumberFormat="1" applyFont="1" applyBorder="1" applyAlignment="1">
      <alignment horizontal="center"/>
    </xf>
    <xf numFmtId="39" fontId="4" fillId="0" borderId="0" xfId="0" applyNumberFormat="1" applyFont="1" applyAlignment="1">
      <alignment horizontal="center"/>
    </xf>
    <xf numFmtId="167" fontId="5" fillId="0" borderId="0" xfId="0" applyNumberFormat="1" applyFont="1" applyProtection="1"/>
    <xf numFmtId="0" fontId="4" fillId="0" borderId="0" xfId="0" applyFont="1" applyAlignment="1">
      <alignment horizontal="center"/>
    </xf>
    <xf numFmtId="168" fontId="4" fillId="0" borderId="0" xfId="0" applyNumberFormat="1" applyFont="1" applyAlignment="1" applyProtection="1">
      <alignment horizontal="center"/>
    </xf>
    <xf numFmtId="165" fontId="4" fillId="0" borderId="2" xfId="1" applyNumberFormat="1" applyFont="1" applyFill="1" applyBorder="1"/>
    <xf numFmtId="0" fontId="4" fillId="0" borderId="0" xfId="0" quotePrefix="1" applyFont="1" applyAlignment="1" applyProtection="1">
      <alignment horizontal="center"/>
    </xf>
    <xf numFmtId="165" fontId="4" fillId="0" borderId="0" xfId="1" applyNumberFormat="1" applyFont="1" applyFill="1" applyBorder="1" applyProtection="1"/>
    <xf numFmtId="10" fontId="4" fillId="0" borderId="0" xfId="0" applyNumberFormat="1" applyFont="1" applyAlignment="1" applyProtection="1">
      <alignment horizontal="center"/>
    </xf>
    <xf numFmtId="14" fontId="4" fillId="0" borderId="0" xfId="0" applyNumberFormat="1" applyFont="1"/>
    <xf numFmtId="0" fontId="5" fillId="0" borderId="0" xfId="0" applyFont="1" applyAlignment="1" applyProtection="1">
      <alignment horizontal="left"/>
    </xf>
    <xf numFmtId="0" fontId="4" fillId="0" borderId="0" xfId="0" quotePrefix="1" applyFont="1" applyAlignment="1">
      <alignment horizontal="center"/>
    </xf>
    <xf numFmtId="167" fontId="4" fillId="0" borderId="0" xfId="0" quotePrefix="1" applyNumberFormat="1" applyFont="1" applyAlignment="1" applyProtection="1">
      <alignment horizontal="center"/>
    </xf>
    <xf numFmtId="0" fontId="4" fillId="0" borderId="0" xfId="0" quotePrefix="1" applyFont="1"/>
    <xf numFmtId="167" fontId="10" fillId="0" borderId="0" xfId="0" applyNumberFormat="1" applyFont="1" applyAlignment="1" applyProtection="1">
      <alignment horizontal="left"/>
    </xf>
    <xf numFmtId="167" fontId="4" fillId="0" borderId="0" xfId="0" quotePrefix="1" applyNumberFormat="1" applyFont="1" applyFill="1" applyAlignment="1" applyProtection="1">
      <alignment horizontal="center"/>
    </xf>
    <xf numFmtId="0" fontId="4" fillId="0" borderId="0" xfId="0" applyFont="1" applyFill="1"/>
    <xf numFmtId="0" fontId="4" fillId="0" borderId="0" xfId="0" quotePrefix="1" applyFont="1" applyFill="1"/>
    <xf numFmtId="0" fontId="4" fillId="0" borderId="0" xfId="0" applyFont="1" applyFill="1" applyAlignment="1">
      <alignment horizontal="right"/>
    </xf>
    <xf numFmtId="165" fontId="7" fillId="0" borderId="2" xfId="1" applyNumberFormat="1" applyFont="1" applyFill="1" applyBorder="1"/>
    <xf numFmtId="165" fontId="4" fillId="0" borderId="0" xfId="1" applyNumberFormat="1" applyFont="1" applyFill="1"/>
    <xf numFmtId="14" fontId="4" fillId="0" borderId="0" xfId="0" quotePrefix="1" applyNumberFormat="1" applyFont="1" applyAlignment="1">
      <alignment horizontal="center"/>
    </xf>
    <xf numFmtId="165" fontId="4" fillId="0" borderId="0" xfId="1" quotePrefix="1" applyNumberFormat="1" applyFont="1" applyAlignment="1">
      <alignment horizontal="center"/>
    </xf>
    <xf numFmtId="0" fontId="4" fillId="0" borderId="0" xfId="0" applyFont="1" applyBorder="1" applyAlignment="1" applyProtection="1">
      <alignment horizontal="center"/>
    </xf>
    <xf numFmtId="14" fontId="4" fillId="0" borderId="0" xfId="0" quotePrefix="1" applyNumberFormat="1" applyFont="1" applyAlignment="1" applyProtection="1">
      <alignment horizontal="center"/>
    </xf>
    <xf numFmtId="165" fontId="4" fillId="0" borderId="0" xfId="1" applyNumberFormat="1" applyFont="1" applyFill="1" applyProtection="1"/>
    <xf numFmtId="0" fontId="1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44" fontId="4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 applyProtection="1">
      <alignment horizontal="left"/>
    </xf>
    <xf numFmtId="165" fontId="4" fillId="0" borderId="2" xfId="1" applyNumberFormat="1" applyFont="1" applyFill="1" applyBorder="1" applyProtection="1"/>
    <xf numFmtId="14" fontId="4" fillId="0" borderId="0" xfId="0" quotePrefix="1" applyNumberFormat="1" applyFont="1"/>
    <xf numFmtId="14" fontId="4" fillId="0" borderId="0" xfId="0" applyNumberFormat="1" applyFont="1" applyAlignment="1">
      <alignment horizontal="center"/>
    </xf>
    <xf numFmtId="168" fontId="7" fillId="0" borderId="0" xfId="0" quotePrefix="1" applyNumberFormat="1" applyFont="1" applyFill="1" applyBorder="1" applyProtection="1"/>
    <xf numFmtId="0" fontId="4" fillId="0" borderId="0" xfId="0" applyFont="1" applyAlignment="1" applyProtection="1">
      <alignment horizontal="right"/>
    </xf>
    <xf numFmtId="0" fontId="5" fillId="0" borderId="0" xfId="0" applyFont="1"/>
    <xf numFmtId="165" fontId="3" fillId="0" borderId="0" xfId="1" applyNumberFormat="1" applyFont="1" applyFill="1" applyProtection="1"/>
    <xf numFmtId="0" fontId="7" fillId="0" borderId="0" xfId="0" applyFont="1" applyBorder="1" applyAlignment="1" applyProtection="1">
      <alignment horizontal="center"/>
    </xf>
    <xf numFmtId="14" fontId="10" fillId="0" borderId="0" xfId="0" applyNumberFormat="1" applyFont="1" applyAlignment="1">
      <alignment horizontal="center"/>
    </xf>
    <xf numFmtId="165" fontId="3" fillId="0" borderId="0" xfId="1" applyNumberFormat="1" applyFont="1" applyFill="1" applyProtection="1">
      <protection locked="0"/>
    </xf>
    <xf numFmtId="165" fontId="4" fillId="0" borderId="2" xfId="1" applyNumberFormat="1" applyFont="1" applyFill="1" applyBorder="1" applyProtection="1">
      <protection locked="0"/>
    </xf>
    <xf numFmtId="165" fontId="3" fillId="0" borderId="3" xfId="1" applyNumberFormat="1" applyFont="1" applyFill="1" applyBorder="1" applyProtection="1"/>
    <xf numFmtId="10" fontId="4" fillId="0" borderId="0" xfId="0" applyNumberFormat="1" applyFont="1"/>
    <xf numFmtId="9" fontId="4" fillId="0" borderId="0" xfId="0" applyNumberFormat="1" applyFont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7" fontId="3" fillId="0" borderId="0" xfId="0" applyNumberFormat="1" applyFont="1" applyAlignment="1" applyProtection="1">
      <alignment horizontal="left"/>
    </xf>
    <xf numFmtId="10" fontId="3" fillId="0" borderId="0" xfId="0" applyNumberFormat="1" applyFont="1" applyAlignment="1" applyProtection="1">
      <alignment horizontal="left"/>
    </xf>
    <xf numFmtId="17" fontId="4" fillId="0" borderId="0" xfId="0" applyNumberFormat="1" applyFont="1"/>
    <xf numFmtId="165" fontId="21" fillId="0" borderId="2" xfId="1" applyNumberFormat="1" applyFont="1" applyFill="1" applyBorder="1" applyProtection="1">
      <protection locked="0"/>
    </xf>
    <xf numFmtId="0" fontId="4" fillId="0" borderId="0" xfId="0" applyFont="1" applyBorder="1"/>
    <xf numFmtId="167" fontId="4" fillId="0" borderId="0" xfId="0" applyNumberFormat="1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0" fontId="9" fillId="0" borderId="0" xfId="3" applyNumberFormat="1" applyFont="1" applyBorder="1"/>
    <xf numFmtId="165" fontId="7" fillId="0" borderId="0" xfId="0" applyNumberFormat="1" applyFont="1" applyBorder="1"/>
    <xf numFmtId="167" fontId="4" fillId="0" borderId="0" xfId="0" quotePrefix="1" applyNumberFormat="1" applyFont="1" applyBorder="1" applyAlignment="1" applyProtection="1">
      <alignment horizontal="center"/>
    </xf>
    <xf numFmtId="14" fontId="4" fillId="0" borderId="0" xfId="0" quotePrefix="1" applyNumberFormat="1" applyFont="1" applyBorder="1" applyAlignment="1" applyProtection="1">
      <alignment horizontal="center"/>
    </xf>
    <xf numFmtId="0" fontId="10" fillId="0" borderId="4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left"/>
    </xf>
    <xf numFmtId="0" fontId="10" fillId="0" borderId="5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0" fillId="0" borderId="5" xfId="0" quotePrefix="1" applyFont="1" applyBorder="1" applyAlignment="1" applyProtection="1">
      <alignment horizontal="center"/>
    </xf>
    <xf numFmtId="0" fontId="13" fillId="0" borderId="5" xfId="0" applyFont="1" applyBorder="1"/>
    <xf numFmtId="0" fontId="0" fillId="0" borderId="5" xfId="0" applyBorder="1"/>
    <xf numFmtId="10" fontId="7" fillId="0" borderId="5" xfId="3" applyNumberFormat="1" applyFont="1" applyBorder="1"/>
    <xf numFmtId="10" fontId="9" fillId="0" borderId="5" xfId="3" applyNumberFormat="1" applyFont="1" applyBorder="1"/>
    <xf numFmtId="0" fontId="10" fillId="0" borderId="6" xfId="0" applyFont="1" applyBorder="1" applyAlignment="1" applyProtection="1">
      <alignment horizontal="center"/>
    </xf>
    <xf numFmtId="0" fontId="4" fillId="0" borderId="7" xfId="0" quotePrefix="1" applyFont="1" applyBorder="1"/>
    <xf numFmtId="165" fontId="7" fillId="0" borderId="8" xfId="0" applyNumberFormat="1" applyFont="1" applyBorder="1"/>
    <xf numFmtId="0" fontId="10" fillId="0" borderId="9" xfId="0" applyFont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0" fontId="10" fillId="0" borderId="10" xfId="0" applyFont="1" applyBorder="1" applyAlignment="1">
      <alignment horizontal="center"/>
    </xf>
    <xf numFmtId="0" fontId="7" fillId="0" borderId="10" xfId="0" applyFont="1" applyBorder="1" applyAlignment="1" applyProtection="1">
      <alignment horizontal="center"/>
    </xf>
    <xf numFmtId="0" fontId="10" fillId="0" borderId="10" xfId="0" quotePrefix="1" applyFont="1" applyBorder="1" applyAlignment="1" applyProtection="1">
      <alignment horizontal="center"/>
    </xf>
    <xf numFmtId="0" fontId="7" fillId="0" borderId="10" xfId="0" applyFont="1" applyBorder="1"/>
    <xf numFmtId="0" fontId="13" fillId="0" borderId="10" xfId="0" applyFont="1" applyBorder="1"/>
    <xf numFmtId="0" fontId="0" fillId="0" borderId="10" xfId="0" applyBorder="1"/>
    <xf numFmtId="10" fontId="7" fillId="0" borderId="10" xfId="3" applyNumberFormat="1" applyFont="1" applyBorder="1"/>
    <xf numFmtId="10" fontId="9" fillId="0" borderId="10" xfId="3" applyNumberFormat="1" applyFont="1" applyBorder="1"/>
    <xf numFmtId="0" fontId="10" fillId="0" borderId="11" xfId="0" applyFont="1" applyBorder="1" applyAlignment="1" applyProtection="1">
      <alignment horizontal="center"/>
    </xf>
    <xf numFmtId="0" fontId="22" fillId="0" borderId="0" xfId="0" quotePrefix="1" applyFont="1"/>
    <xf numFmtId="0" fontId="22" fillId="0" borderId="0" xfId="0" applyFont="1"/>
    <xf numFmtId="167" fontId="22" fillId="0" borderId="0" xfId="0" quotePrefix="1" applyNumberFormat="1" applyFont="1" applyAlignment="1" applyProtection="1">
      <alignment horizontal="center"/>
    </xf>
    <xf numFmtId="0" fontId="22" fillId="0" borderId="0" xfId="0" applyFont="1" applyAlignment="1" applyProtection="1">
      <alignment horizontal="center"/>
    </xf>
    <xf numFmtId="14" fontId="22" fillId="0" borderId="0" xfId="0" quotePrefix="1" applyNumberFormat="1" applyFont="1" applyAlignment="1" applyProtection="1">
      <alignment horizontal="center"/>
    </xf>
    <xf numFmtId="0" fontId="22" fillId="0" borderId="0" xfId="0" applyFont="1" applyAlignment="1">
      <alignment horizontal="center"/>
    </xf>
    <xf numFmtId="165" fontId="22" fillId="0" borderId="0" xfId="1" applyNumberFormat="1" applyFont="1" applyFill="1" applyBorder="1" applyProtection="1">
      <protection locked="0"/>
    </xf>
    <xf numFmtId="165" fontId="22" fillId="0" borderId="0" xfId="1" applyNumberFormat="1" applyFont="1" applyFill="1" applyProtection="1"/>
    <xf numFmtId="165" fontId="22" fillId="0" borderId="0" xfId="1" applyNumberFormat="1" applyFont="1" applyBorder="1" applyProtection="1">
      <protection locked="0"/>
    </xf>
    <xf numFmtId="165" fontId="22" fillId="0" borderId="0" xfId="1" applyNumberFormat="1" applyFont="1" applyBorder="1"/>
    <xf numFmtId="0" fontId="22" fillId="0" borderId="0" xfId="0" applyFont="1" applyBorder="1"/>
    <xf numFmtId="10" fontId="22" fillId="0" borderId="0" xfId="3" applyNumberFormat="1" applyFont="1" applyBorder="1"/>
    <xf numFmtId="10" fontId="23" fillId="0" borderId="0" xfId="3" applyNumberFormat="1" applyFont="1"/>
    <xf numFmtId="0" fontId="24" fillId="0" borderId="0" xfId="0" applyFont="1"/>
    <xf numFmtId="167" fontId="22" fillId="0" borderId="0" xfId="0" applyNumberFormat="1" applyFont="1" applyAlignment="1" applyProtection="1">
      <alignment horizontal="center"/>
    </xf>
    <xf numFmtId="0" fontId="22" fillId="0" borderId="0" xfId="0" quotePrefix="1" applyFont="1" applyAlignment="1" applyProtection="1">
      <alignment horizontal="center"/>
    </xf>
    <xf numFmtId="0" fontId="22" fillId="0" borderId="0" xfId="0" applyFont="1" applyAlignment="1">
      <alignment horizontal="left"/>
    </xf>
    <xf numFmtId="165" fontId="22" fillId="0" borderId="0" xfId="1" applyNumberFormat="1" applyFont="1" applyFill="1" applyProtection="1">
      <protection locked="0"/>
    </xf>
    <xf numFmtId="165" fontId="22" fillId="0" borderId="0" xfId="1" applyNumberFormat="1" applyFont="1"/>
    <xf numFmtId="10" fontId="22" fillId="0" borderId="0" xfId="3" applyNumberFormat="1" applyFont="1"/>
    <xf numFmtId="0" fontId="4" fillId="0" borderId="4" xfId="0" applyFont="1" applyBorder="1"/>
    <xf numFmtId="0" fontId="4" fillId="0" borderId="5" xfId="0" applyFont="1" applyBorder="1"/>
    <xf numFmtId="0" fontId="10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/>
    <xf numFmtId="165" fontId="3" fillId="0" borderId="5" xfId="1" applyNumberFormat="1" applyFont="1" applyFill="1" applyBorder="1" applyProtection="1"/>
    <xf numFmtId="165" fontId="7" fillId="0" borderId="5" xfId="1" applyNumberFormat="1" applyFont="1" applyFill="1" applyBorder="1"/>
    <xf numFmtId="165" fontId="7" fillId="0" borderId="5" xfId="1" applyNumberFormat="1" applyFont="1" applyBorder="1"/>
    <xf numFmtId="165" fontId="7" fillId="0" borderId="5" xfId="1" applyNumberFormat="1" applyFont="1" applyFill="1" applyBorder="1" applyProtection="1"/>
    <xf numFmtId="0" fontId="15" fillId="0" borderId="5" xfId="0" applyFont="1" applyBorder="1"/>
    <xf numFmtId="0" fontId="7" fillId="0" borderId="5" xfId="0" applyFont="1" applyFill="1" applyBorder="1" applyProtection="1"/>
    <xf numFmtId="10" fontId="15" fillId="0" borderId="5" xfId="3" applyNumberFormat="1" applyFont="1" applyBorder="1"/>
    <xf numFmtId="165" fontId="3" fillId="0" borderId="6" xfId="1" applyNumberFormat="1" applyFont="1" applyFill="1" applyBorder="1" applyProtection="1"/>
    <xf numFmtId="0" fontId="4" fillId="0" borderId="7" xfId="0" applyFont="1" applyBorder="1"/>
    <xf numFmtId="0" fontId="4" fillId="0" borderId="0" xfId="0" applyFont="1" applyBorder="1" applyAlignment="1">
      <alignment horizontal="left"/>
    </xf>
    <xf numFmtId="39" fontId="4" fillId="0" borderId="0" xfId="0" applyNumberFormat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7" fillId="0" borderId="10" xfId="0" applyFont="1" applyBorder="1" applyAlignment="1">
      <alignment horizontal="center"/>
    </xf>
    <xf numFmtId="165" fontId="8" fillId="0" borderId="10" xfId="1" applyNumberFormat="1" applyFont="1" applyFill="1" applyBorder="1"/>
    <xf numFmtId="165" fontId="7" fillId="0" borderId="10" xfId="1" applyNumberFormat="1" applyFont="1" applyBorder="1"/>
    <xf numFmtId="0" fontId="15" fillId="0" borderId="10" xfId="0" applyFont="1" applyBorder="1"/>
    <xf numFmtId="10" fontId="15" fillId="0" borderId="10" xfId="3" applyNumberFormat="1" applyFont="1" applyBorder="1"/>
    <xf numFmtId="0" fontId="7" fillId="0" borderId="11" xfId="0" applyFont="1" applyBorder="1"/>
    <xf numFmtId="0" fontId="22" fillId="0" borderId="7" xfId="0" applyFont="1" applyBorder="1"/>
    <xf numFmtId="169" fontId="22" fillId="0" borderId="0" xfId="0" quotePrefix="1" applyNumberFormat="1" applyFont="1" applyBorder="1" applyAlignment="1">
      <alignment horizontal="center"/>
    </xf>
    <xf numFmtId="165" fontId="22" fillId="0" borderId="0" xfId="1" applyNumberFormat="1" applyFont="1" applyFill="1" applyBorder="1"/>
    <xf numFmtId="0" fontId="22" fillId="0" borderId="0" xfId="0" applyFont="1" applyBorder="1" applyAlignment="1" applyProtection="1">
      <alignment horizontal="center"/>
    </xf>
    <xf numFmtId="10" fontId="22" fillId="0" borderId="0" xfId="0" applyNumberFormat="1" applyFont="1"/>
    <xf numFmtId="165" fontId="22" fillId="0" borderId="0" xfId="0" applyNumberFormat="1" applyFont="1" applyAlignment="1" applyProtection="1">
      <alignment horizontal="center"/>
    </xf>
    <xf numFmtId="165" fontId="3" fillId="0" borderId="0" xfId="0" applyNumberFormat="1" applyFont="1"/>
    <xf numFmtId="167" fontId="10" fillId="0" borderId="5" xfId="0" applyNumberFormat="1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center"/>
    </xf>
    <xf numFmtId="0" fontId="7" fillId="0" borderId="5" xfId="0" quotePrefix="1" applyFont="1" applyBorder="1" applyAlignment="1">
      <alignment horizontal="center"/>
    </xf>
    <xf numFmtId="165" fontId="7" fillId="0" borderId="5" xfId="1" applyNumberFormat="1" applyFont="1" applyBorder="1" applyProtection="1">
      <protection locked="0"/>
    </xf>
    <xf numFmtId="165" fontId="8" fillId="0" borderId="5" xfId="1" applyNumberFormat="1" applyFont="1" applyFill="1" applyBorder="1" applyProtection="1">
      <protection locked="0"/>
    </xf>
    <xf numFmtId="0" fontId="7" fillId="0" borderId="6" xfId="0" applyFont="1" applyBorder="1"/>
    <xf numFmtId="0" fontId="7" fillId="0" borderId="8" xfId="0" applyFont="1" applyBorder="1"/>
    <xf numFmtId="167" fontId="7" fillId="0" borderId="10" xfId="0" quotePrefix="1" applyNumberFormat="1" applyFont="1" applyBorder="1" applyAlignment="1" applyProtection="1">
      <alignment horizontal="center"/>
    </xf>
    <xf numFmtId="0" fontId="7" fillId="0" borderId="10" xfId="0" quotePrefix="1" applyFont="1" applyBorder="1" applyAlignment="1">
      <alignment horizontal="center"/>
    </xf>
    <xf numFmtId="165" fontId="7" fillId="0" borderId="10" xfId="1" applyNumberFormat="1" applyFont="1" applyBorder="1" applyProtection="1">
      <protection locked="0"/>
    </xf>
    <xf numFmtId="165" fontId="8" fillId="0" borderId="10" xfId="1" applyNumberFormat="1" applyFont="1" applyFill="1" applyBorder="1" applyProtection="1">
      <protection locked="0"/>
    </xf>
    <xf numFmtId="167" fontId="22" fillId="0" borderId="0" xfId="0" quotePrefix="1" applyNumberFormat="1" applyFont="1" applyBorder="1" applyAlignment="1" applyProtection="1">
      <alignment horizontal="center"/>
    </xf>
    <xf numFmtId="0" fontId="22" fillId="0" borderId="0" xfId="0" quotePrefix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5" fontId="22" fillId="0" borderId="0" xfId="1" applyNumberFormat="1" applyFont="1" applyProtection="1">
      <protection locked="0"/>
    </xf>
    <xf numFmtId="0" fontId="10" fillId="0" borderId="10" xfId="0" quotePrefix="1" applyFont="1" applyBorder="1" applyAlignment="1" applyProtection="1">
      <alignment horizontal="left"/>
    </xf>
    <xf numFmtId="167" fontId="22" fillId="0" borderId="0" xfId="0" quotePrefix="1" applyNumberFormat="1" applyFont="1" applyFill="1" applyAlignment="1" applyProtection="1">
      <alignment horizontal="center"/>
    </xf>
    <xf numFmtId="0" fontId="22" fillId="0" borderId="0" xfId="0" applyFont="1" applyFill="1"/>
    <xf numFmtId="0" fontId="22" fillId="0" borderId="0" xfId="0" quotePrefix="1" applyFont="1" applyFill="1"/>
    <xf numFmtId="14" fontId="22" fillId="0" borderId="0" xfId="0" quotePrefix="1" applyNumberFormat="1" applyFont="1" applyAlignment="1">
      <alignment horizontal="center"/>
    </xf>
    <xf numFmtId="165" fontId="22" fillId="0" borderId="3" xfId="1" applyNumberFormat="1" applyFont="1" applyBorder="1" applyProtection="1">
      <protection locked="0"/>
    </xf>
    <xf numFmtId="165" fontId="22" fillId="0" borderId="12" xfId="1" applyNumberFormat="1" applyFont="1" applyBorder="1" applyProtection="1">
      <protection locked="0"/>
    </xf>
    <xf numFmtId="0" fontId="22" fillId="0" borderId="0" xfId="0" applyFont="1" applyFill="1" applyAlignment="1">
      <alignment horizontal="right"/>
    </xf>
    <xf numFmtId="167" fontId="4" fillId="0" borderId="0" xfId="0" quotePrefix="1" applyNumberFormat="1" applyFont="1" applyFill="1" applyBorder="1" applyAlignment="1" applyProtection="1">
      <alignment horizontal="center"/>
    </xf>
    <xf numFmtId="0" fontId="4" fillId="0" borderId="0" xfId="0" quotePrefix="1" applyFont="1" applyFill="1" applyBorder="1"/>
    <xf numFmtId="0" fontId="4" fillId="0" borderId="0" xfId="0" quotePrefix="1" applyFont="1" applyBorder="1" applyAlignment="1">
      <alignment horizontal="center"/>
    </xf>
    <xf numFmtId="165" fontId="4" fillId="0" borderId="0" xfId="1" applyNumberFormat="1" applyFont="1" applyBorder="1"/>
    <xf numFmtId="14" fontId="4" fillId="0" borderId="0" xfId="0" quotePrefix="1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4" fontId="4" fillId="0" borderId="0" xfId="0" applyNumberFormat="1" applyFont="1" applyAlignment="1" applyProtection="1">
      <alignment horizontal="center"/>
    </xf>
    <xf numFmtId="14" fontId="3" fillId="0" borderId="0" xfId="0" applyNumberFormat="1" applyFont="1" applyAlignment="1">
      <alignment horizontal="left"/>
    </xf>
    <xf numFmtId="165" fontId="3" fillId="0" borderId="3" xfId="1" applyNumberFormat="1" applyFont="1" applyFill="1" applyBorder="1" applyProtection="1">
      <protection locked="0"/>
    </xf>
    <xf numFmtId="167" fontId="7" fillId="0" borderId="0" xfId="0" applyNumberFormat="1" applyFont="1" applyAlignment="1" applyProtection="1">
      <alignment horizontal="left"/>
    </xf>
    <xf numFmtId="167" fontId="3" fillId="0" borderId="0" xfId="0" applyNumberFormat="1" applyFont="1" applyBorder="1" applyAlignment="1" applyProtection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5" fontId="3" fillId="0" borderId="12" xfId="1" applyNumberFormat="1" applyFont="1" applyFill="1" applyBorder="1" applyProtection="1">
      <protection locked="0"/>
    </xf>
    <xf numFmtId="0" fontId="22" fillId="0" borderId="0" xfId="0" quotePrefix="1" applyFont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3" xfId="1" applyNumberFormat="1" applyFont="1" applyBorder="1" applyProtection="1">
      <protection locked="0"/>
    </xf>
    <xf numFmtId="0" fontId="3" fillId="0" borderId="0" xfId="0" applyFont="1" applyBorder="1"/>
    <xf numFmtId="165" fontId="3" fillId="0" borderId="0" xfId="1" applyNumberFormat="1" applyFont="1" applyBorder="1"/>
    <xf numFmtId="165" fontId="3" fillId="0" borderId="0" xfId="1" applyNumberFormat="1" applyFont="1" applyBorder="1" applyProtection="1">
      <protection locked="0"/>
    </xf>
    <xf numFmtId="165" fontId="22" fillId="0" borderId="8" xfId="1" applyNumberFormat="1" applyFont="1" applyBorder="1" applyProtection="1">
      <protection locked="0"/>
    </xf>
    <xf numFmtId="0" fontId="3" fillId="0" borderId="0" xfId="0" applyFont="1" applyBorder="1" applyAlignment="1" applyProtection="1">
      <alignment horizontal="left"/>
    </xf>
    <xf numFmtId="165" fontId="22" fillId="0" borderId="0" xfId="1" applyNumberFormat="1" applyFont="1" applyFill="1"/>
    <xf numFmtId="14" fontId="4" fillId="0" borderId="0" xfId="0" quotePrefix="1" applyNumberFormat="1" applyFont="1" applyFill="1"/>
    <xf numFmtId="165" fontId="8" fillId="0" borderId="0" xfId="1" applyNumberFormat="1" applyFont="1" applyFill="1" applyBorder="1"/>
    <xf numFmtId="176" fontId="4" fillId="0" borderId="0" xfId="0" applyNumberFormat="1" applyFont="1" applyBorder="1" applyAlignment="1">
      <alignment horizontal="center"/>
    </xf>
    <xf numFmtId="176" fontId="4" fillId="0" borderId="0" xfId="0" applyNumberFormat="1" applyFont="1" applyBorder="1" applyAlignment="1" applyProtection="1">
      <alignment horizontal="center"/>
    </xf>
    <xf numFmtId="165" fontId="20" fillId="0" borderId="0" xfId="1" applyNumberFormat="1" applyFont="1" applyFill="1" applyBorder="1"/>
    <xf numFmtId="17" fontId="4" fillId="0" borderId="0" xfId="0" applyNumberFormat="1" applyFont="1" applyAlignment="1" applyProtection="1">
      <alignment horizontal="center"/>
    </xf>
    <xf numFmtId="14" fontId="4" fillId="0" borderId="0" xfId="0" applyNumberFormat="1" applyFont="1" applyFill="1"/>
    <xf numFmtId="165" fontId="4" fillId="2" borderId="0" xfId="1" applyNumberFormat="1" applyFont="1" applyFill="1" applyBorder="1" applyProtection="1">
      <protection locked="0"/>
    </xf>
    <xf numFmtId="165" fontId="8" fillId="2" borderId="2" xfId="1" applyNumberFormat="1" applyFont="1" applyFill="1" applyBorder="1" applyProtection="1">
      <protection locked="0"/>
    </xf>
    <xf numFmtId="165" fontId="3" fillId="2" borderId="0" xfId="1" applyNumberFormat="1" applyFont="1" applyFill="1" applyProtection="1">
      <protection locked="0"/>
    </xf>
    <xf numFmtId="0" fontId="3" fillId="0" borderId="0" xfId="0" applyFont="1" applyFill="1"/>
    <xf numFmtId="165" fontId="8" fillId="2" borderId="0" xfId="1" applyNumberFormat="1" applyFont="1" applyFill="1" applyProtection="1">
      <protection locked="0"/>
    </xf>
    <xf numFmtId="165" fontId="3" fillId="2" borderId="0" xfId="1" applyNumberFormat="1" applyFont="1" applyFill="1"/>
    <xf numFmtId="165" fontId="3" fillId="2" borderId="5" xfId="1" applyNumberFormat="1" applyFont="1" applyFill="1" applyBorder="1" applyProtection="1"/>
    <xf numFmtId="165" fontId="3" fillId="2" borderId="0" xfId="1" applyNumberFormat="1" applyFont="1" applyFill="1" applyBorder="1"/>
    <xf numFmtId="165" fontId="3" fillId="2" borderId="10" xfId="1" applyNumberFormat="1" applyFont="1" applyFill="1" applyBorder="1"/>
    <xf numFmtId="165" fontId="3" fillId="2" borderId="2" xfId="1" applyNumberFormat="1" applyFont="1" applyFill="1" applyBorder="1"/>
    <xf numFmtId="0" fontId="7" fillId="0" borderId="1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14" fontId="4" fillId="0" borderId="0" xfId="0" quotePrefix="1" applyNumberFormat="1" applyFont="1" applyFill="1" applyBorder="1" applyAlignment="1" applyProtection="1">
      <alignment horizontal="center"/>
    </xf>
    <xf numFmtId="10" fontId="7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605"/>
  <sheetViews>
    <sheetView tabSelected="1" zoomScale="75" zoomScaleNormal="75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K162" sqref="K162"/>
    </sheetView>
  </sheetViews>
  <sheetFormatPr defaultColWidth="9.7109375" defaultRowHeight="15" x14ac:dyDescent="0.2"/>
  <cols>
    <col min="1" max="3" width="6.85546875" style="7" customWidth="1"/>
    <col min="4" max="4" width="18.140625" style="7" customWidth="1"/>
    <col min="5" max="5" width="4.28515625" style="6" customWidth="1"/>
    <col min="6" max="6" width="12.5703125" style="6" customWidth="1"/>
    <col min="7" max="7" width="10.28515625" style="7" customWidth="1"/>
    <col min="8" max="8" width="1.7109375" style="7" customWidth="1"/>
    <col min="9" max="9" width="7.7109375" style="6" customWidth="1"/>
    <col min="10" max="10" width="8.42578125" style="7" customWidth="1"/>
    <col min="11" max="11" width="13.28515625" style="7" customWidth="1"/>
    <col min="12" max="12" width="1.7109375" style="7" customWidth="1"/>
    <col min="13" max="13" width="11.5703125" style="7" customWidth="1"/>
    <col min="14" max="14" width="1.28515625" style="7" customWidth="1"/>
    <col min="15" max="15" width="14.42578125" style="9" bestFit="1" customWidth="1"/>
    <col min="16" max="16" width="1.7109375" style="7" customWidth="1"/>
    <col min="17" max="17" width="12.28515625" style="7" customWidth="1"/>
    <col min="18" max="18" width="1.7109375" style="7" customWidth="1"/>
    <col min="19" max="19" width="11" style="7" customWidth="1"/>
    <col min="20" max="20" width="1.7109375" style="7" customWidth="1"/>
    <col min="21" max="21" width="9.140625" style="7" customWidth="1"/>
    <col min="22" max="22" width="1.7109375" style="7" customWidth="1"/>
    <col min="23" max="23" width="8.7109375" style="7" customWidth="1"/>
    <col min="24" max="24" width="1.7109375" style="7" customWidth="1"/>
    <col min="25" max="25" width="12.140625" style="7" customWidth="1"/>
    <col min="26" max="26" width="1.7109375" style="7" customWidth="1"/>
    <col min="27" max="27" width="10.28515625" style="7" customWidth="1"/>
    <col min="28" max="28" width="1.7109375" style="7" customWidth="1"/>
    <col min="29" max="29" width="10.28515625" style="7" customWidth="1"/>
    <col min="30" max="30" width="1.7109375" style="7" customWidth="1"/>
    <col min="31" max="31" width="8.7109375" style="7" customWidth="1"/>
    <col min="32" max="32" width="1.7109375" style="7" customWidth="1"/>
    <col min="33" max="33" width="8.7109375" style="7" customWidth="1"/>
    <col min="34" max="34" width="1.7109375" style="7" customWidth="1"/>
    <col min="35" max="35" width="8.7109375" style="7" customWidth="1"/>
    <col min="36" max="36" width="1.7109375" style="7" customWidth="1"/>
    <col min="37" max="37" width="10.28515625" style="7" customWidth="1"/>
    <col min="38" max="38" width="1.7109375" style="7" customWidth="1"/>
    <col min="39" max="39" width="10.28515625" style="7" customWidth="1"/>
    <col min="40" max="40" width="1.28515625" style="7" customWidth="1"/>
    <col min="41" max="41" width="10.28515625" style="7" customWidth="1"/>
    <col min="42" max="42" width="5.7109375" style="7" customWidth="1"/>
    <col min="43" max="44" width="9.7109375" style="7" hidden="1" customWidth="1"/>
    <col min="45" max="45" width="0" style="7" hidden="1" customWidth="1"/>
    <col min="46" max="46" width="11.28515625" style="7" hidden="1" customWidth="1"/>
    <col min="47" max="47" width="0" style="11" hidden="1" customWidth="1"/>
    <col min="48" max="48" width="0" style="12" hidden="1" customWidth="1"/>
    <col min="49" max="49" width="10.28515625" style="7" hidden="1" customWidth="1"/>
    <col min="50" max="50" width="11.28515625" style="7" bestFit="1" customWidth="1"/>
    <col min="51" max="51" width="10.85546875" style="7" bestFit="1" customWidth="1"/>
    <col min="52" max="53" width="9.7109375" style="7"/>
    <col min="54" max="54" width="14.85546875" style="7" bestFit="1" customWidth="1"/>
    <col min="55" max="16384" width="9.7109375" style="7"/>
  </cols>
  <sheetData>
    <row r="1" spans="1:70" ht="18" x14ac:dyDescent="0.25">
      <c r="D1" s="5" t="s">
        <v>20</v>
      </c>
      <c r="K1" s="8"/>
      <c r="M1" s="97" t="s">
        <v>236</v>
      </c>
      <c r="AI1" s="10"/>
      <c r="AK1" s="10"/>
      <c r="AL1" s="10"/>
      <c r="AM1" s="10"/>
      <c r="AN1" s="10"/>
      <c r="AO1" s="10"/>
      <c r="AQ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x14ac:dyDescent="0.2">
      <c r="D2" s="13" t="s">
        <v>21</v>
      </c>
      <c r="M2" s="208" t="s">
        <v>237</v>
      </c>
      <c r="AQ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 x14ac:dyDescent="0.2">
      <c r="D3" s="142" t="s">
        <v>269</v>
      </c>
      <c r="M3" s="148" t="s">
        <v>243</v>
      </c>
      <c r="O3" s="14"/>
      <c r="AQ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</row>
    <row r="4" spans="1:70" x14ac:dyDescent="0.2">
      <c r="D4" s="15" t="s">
        <v>22</v>
      </c>
      <c r="I4"/>
      <c r="M4" s="2" t="s">
        <v>244</v>
      </c>
      <c r="AQ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</row>
    <row r="5" spans="1:70" x14ac:dyDescent="0.2">
      <c r="D5" s="15"/>
      <c r="AQ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</row>
    <row r="6" spans="1:70" x14ac:dyDescent="0.2">
      <c r="D6" s="16"/>
      <c r="E6" s="16"/>
      <c r="F6" s="16"/>
      <c r="G6" s="16"/>
      <c r="H6" s="16"/>
      <c r="I6" s="17" t="s">
        <v>23</v>
      </c>
      <c r="J6" s="16"/>
      <c r="K6" s="17" t="s">
        <v>24</v>
      </c>
      <c r="L6" s="16"/>
      <c r="M6" s="151">
        <v>36525</v>
      </c>
      <c r="N6" s="151"/>
      <c r="O6" s="16" t="s">
        <v>182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Q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70" ht="15.75" thickBot="1" x14ac:dyDescent="0.25">
      <c r="A7" s="18" t="s">
        <v>1</v>
      </c>
      <c r="B7" s="18" t="s">
        <v>150</v>
      </c>
      <c r="C7" s="18" t="s">
        <v>241</v>
      </c>
      <c r="D7" s="18" t="s">
        <v>25</v>
      </c>
      <c r="E7" s="16"/>
      <c r="F7" s="18" t="s">
        <v>218</v>
      </c>
      <c r="G7" s="18" t="s">
        <v>26</v>
      </c>
      <c r="H7" s="16"/>
      <c r="I7" s="18" t="s">
        <v>24</v>
      </c>
      <c r="J7" s="16"/>
      <c r="K7" s="18" t="s">
        <v>27</v>
      </c>
      <c r="L7" s="16"/>
      <c r="M7" s="19" t="s">
        <v>183</v>
      </c>
      <c r="N7" s="151"/>
      <c r="O7" s="19" t="s">
        <v>28</v>
      </c>
      <c r="P7" s="16"/>
      <c r="Q7" s="18" t="s">
        <v>29</v>
      </c>
      <c r="R7" s="16"/>
      <c r="S7" s="18" t="s">
        <v>30</v>
      </c>
      <c r="T7" s="16"/>
      <c r="U7" s="18" t="s">
        <v>31</v>
      </c>
      <c r="V7" s="16"/>
      <c r="W7" s="18" t="s">
        <v>32</v>
      </c>
      <c r="X7" s="16"/>
      <c r="Y7" s="18" t="s">
        <v>33</v>
      </c>
      <c r="Z7" s="16"/>
      <c r="AA7" s="18" t="s">
        <v>34</v>
      </c>
      <c r="AB7" s="16"/>
      <c r="AC7" s="18" t="s">
        <v>35</v>
      </c>
      <c r="AD7" s="16"/>
      <c r="AE7" s="18" t="s">
        <v>36</v>
      </c>
      <c r="AF7" s="16"/>
      <c r="AG7" s="20" t="s">
        <v>37</v>
      </c>
      <c r="AH7" s="16"/>
      <c r="AI7" s="20" t="s">
        <v>38</v>
      </c>
      <c r="AK7" s="20" t="s">
        <v>254</v>
      </c>
      <c r="AL7" s="98"/>
      <c r="AM7" s="20" t="s">
        <v>253</v>
      </c>
      <c r="AN7" s="98"/>
      <c r="AO7" s="18" t="s">
        <v>135</v>
      </c>
      <c r="AP7" s="21"/>
      <c r="AQ7" t="s">
        <v>39</v>
      </c>
      <c r="AR7" s="7" t="s">
        <v>40</v>
      </c>
      <c r="AW7"/>
      <c r="AX7" s="18" t="s">
        <v>14</v>
      </c>
      <c r="AY7" s="18" t="s">
        <v>147</v>
      </c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</row>
    <row r="8" spans="1:70" ht="16.5" thickTop="1" thickBot="1" x14ac:dyDescent="0.25">
      <c r="A8" s="135"/>
      <c r="B8" s="135"/>
      <c r="C8" s="135"/>
      <c r="D8" s="135"/>
      <c r="E8" s="135"/>
      <c r="F8" s="135"/>
      <c r="G8" s="135"/>
      <c r="H8" s="16"/>
      <c r="I8" s="135"/>
      <c r="J8" s="135"/>
      <c r="K8" s="135"/>
      <c r="L8" s="16"/>
      <c r="M8" s="136"/>
      <c r="N8" s="151"/>
      <c r="O8" s="136"/>
      <c r="P8" s="16"/>
      <c r="Q8" s="135"/>
      <c r="R8" s="16"/>
      <c r="S8" s="135"/>
      <c r="T8" s="16"/>
      <c r="U8" s="135"/>
      <c r="V8" s="16"/>
      <c r="W8" s="135"/>
      <c r="X8" s="16"/>
      <c r="Y8" s="135"/>
      <c r="Z8" s="16"/>
      <c r="AA8" s="135"/>
      <c r="AB8" s="16"/>
      <c r="AC8" s="135"/>
      <c r="AD8" s="16"/>
      <c r="AE8" s="135"/>
      <c r="AF8" s="16"/>
      <c r="AG8" s="98"/>
      <c r="AH8" s="16"/>
      <c r="AI8" s="98"/>
      <c r="AK8" s="98"/>
      <c r="AL8" s="98"/>
      <c r="AM8" s="98"/>
      <c r="AN8" s="98"/>
      <c r="AO8" s="135"/>
      <c r="AP8" s="21"/>
      <c r="AQ8"/>
      <c r="AW8"/>
      <c r="AX8" s="135"/>
      <c r="AY8" s="135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0" x14ac:dyDescent="0.2">
      <c r="A9" s="169"/>
      <c r="B9" s="170"/>
      <c r="C9" s="170"/>
      <c r="D9" s="171" t="s">
        <v>180</v>
      </c>
      <c r="E9" s="172"/>
      <c r="F9" s="172"/>
      <c r="G9" s="170"/>
      <c r="H9" s="172"/>
      <c r="I9" s="170"/>
      <c r="J9" s="173"/>
      <c r="K9" s="174" t="s">
        <v>178</v>
      </c>
      <c r="L9" s="172"/>
      <c r="M9" s="172"/>
      <c r="N9" s="172"/>
      <c r="O9" s="175"/>
      <c r="P9" s="172"/>
      <c r="Q9" s="170"/>
      <c r="R9" s="172"/>
      <c r="S9" s="170"/>
      <c r="T9" s="172"/>
      <c r="U9" s="170"/>
      <c r="V9" s="172"/>
      <c r="W9" s="170"/>
      <c r="X9" s="172"/>
      <c r="Y9" s="170"/>
      <c r="Z9" s="172"/>
      <c r="AA9" s="170"/>
      <c r="AB9" s="172"/>
      <c r="AC9" s="170"/>
      <c r="AD9" s="172"/>
      <c r="AE9" s="170"/>
      <c r="AF9" s="172"/>
      <c r="AG9" s="176"/>
      <c r="AH9" s="172"/>
      <c r="AI9" s="176"/>
      <c r="AJ9" s="173"/>
      <c r="AK9" s="176"/>
      <c r="AL9" s="176"/>
      <c r="AM9" s="176"/>
      <c r="AN9" s="176"/>
      <c r="AO9" s="170"/>
      <c r="AP9" s="177"/>
      <c r="AQ9" s="178"/>
      <c r="AR9" s="173"/>
      <c r="AS9" s="173"/>
      <c r="AT9" s="173"/>
      <c r="AU9" s="179"/>
      <c r="AV9" s="180"/>
      <c r="AW9" s="178"/>
      <c r="AX9" s="170"/>
      <c r="AY9" s="181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0" x14ac:dyDescent="0.2">
      <c r="A10" s="182" t="s">
        <v>210</v>
      </c>
      <c r="B10" s="162">
        <v>157</v>
      </c>
      <c r="C10" s="162"/>
      <c r="D10" s="163">
        <v>4.3749999999999997E-2</v>
      </c>
      <c r="E10" s="132"/>
      <c r="F10" s="132"/>
      <c r="G10" s="164" t="s">
        <v>59</v>
      </c>
      <c r="H10" s="162"/>
      <c r="I10" s="132" t="s">
        <v>43</v>
      </c>
      <c r="J10" s="162" t="s">
        <v>179</v>
      </c>
      <c r="K10" s="132">
        <v>1.075</v>
      </c>
      <c r="L10" s="30"/>
      <c r="M10" s="116">
        <v>400000</v>
      </c>
      <c r="N10" s="30"/>
      <c r="O10" s="116">
        <v>400000</v>
      </c>
      <c r="P10" s="28"/>
      <c r="Q10" s="116">
        <v>0</v>
      </c>
      <c r="R10" s="28"/>
      <c r="S10" s="116">
        <v>0</v>
      </c>
      <c r="T10" s="28"/>
      <c r="U10" s="116">
        <v>0</v>
      </c>
      <c r="V10" s="28"/>
      <c r="W10" s="116">
        <v>0</v>
      </c>
      <c r="X10" s="28"/>
      <c r="Y10" s="116">
        <v>0</v>
      </c>
      <c r="Z10" s="28"/>
      <c r="AA10" s="116">
        <f>+$O10</f>
        <v>400000</v>
      </c>
      <c r="AB10" s="28"/>
      <c r="AC10" s="116">
        <v>0</v>
      </c>
      <c r="AD10" s="28"/>
      <c r="AE10" s="116">
        <v>0</v>
      </c>
      <c r="AF10" s="28"/>
      <c r="AG10" s="116">
        <v>0</v>
      </c>
      <c r="AH10" s="28"/>
      <c r="AI10" s="116">
        <v>0</v>
      </c>
      <c r="AJ10" s="28"/>
      <c r="AK10" s="116">
        <v>0</v>
      </c>
      <c r="AL10" s="116"/>
      <c r="AM10" s="116">
        <v>0</v>
      </c>
      <c r="AN10" s="28"/>
      <c r="AO10" s="116">
        <v>0</v>
      </c>
      <c r="AP10" s="30"/>
      <c r="AQ10" s="38">
        <f>SUM(Q10:AK10)</f>
        <v>400000</v>
      </c>
      <c r="AR10" s="30">
        <f>AQ10-O10</f>
        <v>0</v>
      </c>
      <c r="AS10" s="30"/>
      <c r="AT10" s="30">
        <f>O10*SUM(AU10:AV10)</f>
        <v>17500</v>
      </c>
      <c r="AU10" s="39"/>
      <c r="AV10" s="165">
        <f>D10</f>
        <v>4.3749999999999997E-2</v>
      </c>
      <c r="AW10" s="30">
        <f>O10</f>
        <v>400000</v>
      </c>
      <c r="AX10" s="166">
        <f>SUM(Q10:AP10)</f>
        <v>400000</v>
      </c>
      <c r="AY10" s="183">
        <f>+O10-AX10</f>
        <v>0</v>
      </c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1:70" x14ac:dyDescent="0.2">
      <c r="A11" s="182" t="s">
        <v>210</v>
      </c>
      <c r="B11" s="162">
        <v>161</v>
      </c>
      <c r="C11" s="162"/>
      <c r="D11" s="167">
        <v>5.7999999999999996E-3</v>
      </c>
      <c r="E11" s="132"/>
      <c r="F11" s="132"/>
      <c r="G11" s="168">
        <v>36860</v>
      </c>
      <c r="H11" s="162"/>
      <c r="I11" s="30"/>
      <c r="J11" s="162" t="s">
        <v>217</v>
      </c>
      <c r="K11" s="132">
        <v>9.4322E-3</v>
      </c>
      <c r="L11" s="30"/>
      <c r="M11" s="105">
        <v>10000000</v>
      </c>
      <c r="N11" s="30"/>
      <c r="O11" s="105">
        <v>10000000</v>
      </c>
      <c r="P11" s="27"/>
      <c r="Q11" s="105">
        <v>10000000</v>
      </c>
      <c r="R11" s="27"/>
      <c r="S11" s="105">
        <v>0</v>
      </c>
      <c r="T11" s="27"/>
      <c r="U11" s="105">
        <v>0</v>
      </c>
      <c r="V11" s="27"/>
      <c r="W11" s="105">
        <v>0</v>
      </c>
      <c r="X11" s="27"/>
      <c r="Y11" s="105">
        <v>0</v>
      </c>
      <c r="Z11" s="27"/>
      <c r="AA11" s="105">
        <v>0</v>
      </c>
      <c r="AB11" s="27"/>
      <c r="AC11" s="105">
        <v>0</v>
      </c>
      <c r="AD11" s="27"/>
      <c r="AE11" s="105">
        <v>0</v>
      </c>
      <c r="AF11" s="27"/>
      <c r="AG11" s="105">
        <v>0</v>
      </c>
      <c r="AH11" s="28"/>
      <c r="AI11" s="105">
        <v>0</v>
      </c>
      <c r="AJ11" s="28"/>
      <c r="AK11" s="105">
        <v>0</v>
      </c>
      <c r="AL11" s="105"/>
      <c r="AM11" s="105">
        <v>0</v>
      </c>
      <c r="AN11" s="27"/>
      <c r="AO11" s="105">
        <v>0</v>
      </c>
      <c r="AP11" s="30"/>
      <c r="AQ11" s="38">
        <f>SUM(Q11:AK11)</f>
        <v>10000000</v>
      </c>
      <c r="AR11" s="30">
        <f>AQ11-O11</f>
        <v>0</v>
      </c>
      <c r="AS11" s="30"/>
      <c r="AT11" s="30">
        <f>O11*SUM(AU11:AV11)</f>
        <v>57999.999999999993</v>
      </c>
      <c r="AU11" s="39"/>
      <c r="AV11" s="165">
        <f>D11</f>
        <v>5.7999999999999996E-3</v>
      </c>
      <c r="AW11" s="30">
        <f>O11</f>
        <v>10000000</v>
      </c>
      <c r="AX11" s="166">
        <f>SUM(Q11:AP11)</f>
        <v>10000000</v>
      </c>
      <c r="AY11" s="183">
        <f>+O11-AX11</f>
        <v>0</v>
      </c>
      <c r="AZ11" s="36"/>
      <c r="BA11" s="36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1:70" x14ac:dyDescent="0.2">
      <c r="A12" s="182" t="s">
        <v>210</v>
      </c>
      <c r="B12" s="162">
        <v>169</v>
      </c>
      <c r="C12" s="162"/>
      <c r="D12" s="167">
        <v>4.7000000000000002E-3</v>
      </c>
      <c r="E12" s="132"/>
      <c r="F12" s="132"/>
      <c r="G12" s="313">
        <v>36957</v>
      </c>
      <c r="H12" s="162"/>
      <c r="I12" s="30"/>
      <c r="J12" s="162" t="s">
        <v>258</v>
      </c>
      <c r="K12" s="132">
        <v>9.4322E-3</v>
      </c>
      <c r="L12" s="30"/>
      <c r="M12" s="105">
        <v>0</v>
      </c>
      <c r="N12" s="30"/>
      <c r="O12" s="105">
        <v>20000000</v>
      </c>
      <c r="P12" s="27"/>
      <c r="Q12" s="105">
        <v>20000000</v>
      </c>
      <c r="R12" s="27"/>
      <c r="S12" s="105">
        <v>0</v>
      </c>
      <c r="T12" s="27"/>
      <c r="U12" s="105">
        <v>0</v>
      </c>
      <c r="V12" s="27"/>
      <c r="W12" s="105">
        <v>0</v>
      </c>
      <c r="X12" s="27"/>
      <c r="Y12" s="105">
        <v>0</v>
      </c>
      <c r="Z12" s="27"/>
      <c r="AA12" s="105">
        <v>0</v>
      </c>
      <c r="AB12" s="27"/>
      <c r="AC12" s="105">
        <v>0</v>
      </c>
      <c r="AD12" s="27"/>
      <c r="AE12" s="105">
        <v>0</v>
      </c>
      <c r="AF12" s="27"/>
      <c r="AG12" s="105">
        <v>0</v>
      </c>
      <c r="AH12" s="28"/>
      <c r="AI12" s="105">
        <v>0</v>
      </c>
      <c r="AJ12" s="28"/>
      <c r="AK12" s="105">
        <v>0</v>
      </c>
      <c r="AL12" s="105"/>
      <c r="AM12" s="105">
        <v>0</v>
      </c>
      <c r="AN12" s="27"/>
      <c r="AO12" s="105">
        <v>0</v>
      </c>
      <c r="AP12" s="30"/>
      <c r="AQ12" s="38">
        <f>SUM(Q12:AK12)</f>
        <v>20000000</v>
      </c>
      <c r="AR12" s="30">
        <f>AQ12-O12</f>
        <v>0</v>
      </c>
      <c r="AS12" s="30"/>
      <c r="AT12" s="30">
        <f>O12*SUM(AU12:AV12)</f>
        <v>94000</v>
      </c>
      <c r="AU12" s="39"/>
      <c r="AV12" s="165">
        <f>D12</f>
        <v>4.7000000000000002E-3</v>
      </c>
      <c r="AW12" s="30">
        <f>O12</f>
        <v>20000000</v>
      </c>
      <c r="AX12" s="166">
        <f>SUM(Q12:AP12)</f>
        <v>20000000</v>
      </c>
      <c r="AY12" s="183">
        <f>+O12-AX12</f>
        <v>0</v>
      </c>
      <c r="AZ12" s="36"/>
      <c r="BA12" s="36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1:70" x14ac:dyDescent="0.2">
      <c r="A13" s="182" t="s">
        <v>210</v>
      </c>
      <c r="B13" s="162">
        <v>172</v>
      </c>
      <c r="C13" s="162"/>
      <c r="D13" s="167">
        <v>5.1000000000000004E-3</v>
      </c>
      <c r="E13" s="132"/>
      <c r="F13" s="132"/>
      <c r="G13" s="168">
        <v>37013</v>
      </c>
      <c r="H13" s="162"/>
      <c r="I13" s="30"/>
      <c r="J13" s="162" t="s">
        <v>282</v>
      </c>
      <c r="K13" s="132">
        <v>9.4322E-3</v>
      </c>
      <c r="L13" s="30"/>
      <c r="M13" s="105">
        <v>0</v>
      </c>
      <c r="N13" s="30"/>
      <c r="O13" s="105">
        <v>20000000</v>
      </c>
      <c r="P13" s="27"/>
      <c r="Q13" s="105"/>
      <c r="R13" s="27"/>
      <c r="S13" s="105">
        <f>+O13</f>
        <v>20000000</v>
      </c>
      <c r="T13" s="27"/>
      <c r="U13" s="105">
        <v>0</v>
      </c>
      <c r="V13" s="27"/>
      <c r="W13" s="105">
        <v>0</v>
      </c>
      <c r="X13" s="27"/>
      <c r="Y13" s="105">
        <v>0</v>
      </c>
      <c r="Z13" s="27"/>
      <c r="AA13" s="105">
        <v>0</v>
      </c>
      <c r="AB13" s="27"/>
      <c r="AC13" s="105">
        <v>0</v>
      </c>
      <c r="AD13" s="27"/>
      <c r="AE13" s="105">
        <v>0</v>
      </c>
      <c r="AF13" s="27"/>
      <c r="AG13" s="105">
        <v>0</v>
      </c>
      <c r="AH13" s="28"/>
      <c r="AI13" s="105">
        <v>0</v>
      </c>
      <c r="AJ13" s="28"/>
      <c r="AK13" s="105">
        <v>0</v>
      </c>
      <c r="AL13" s="105"/>
      <c r="AM13" s="105">
        <v>0</v>
      </c>
      <c r="AN13" s="27"/>
      <c r="AO13" s="105">
        <v>0</v>
      </c>
      <c r="AP13" s="30"/>
      <c r="AQ13" s="38">
        <f>SUM(Q13:AK13)</f>
        <v>20000000</v>
      </c>
      <c r="AR13" s="30">
        <f>AQ13-O13</f>
        <v>0</v>
      </c>
      <c r="AS13" s="30"/>
      <c r="AT13" s="30">
        <f>O13*SUM(AU13:AV13)</f>
        <v>102000.00000000001</v>
      </c>
      <c r="AU13" s="39"/>
      <c r="AV13" s="165">
        <f>D13</f>
        <v>5.1000000000000004E-3</v>
      </c>
      <c r="AW13" s="30">
        <f>O13</f>
        <v>20000000</v>
      </c>
      <c r="AX13" s="166">
        <f>SUM(Q13:AP13)</f>
        <v>20000000</v>
      </c>
      <c r="AY13" s="183">
        <f>+O13-AX13</f>
        <v>0</v>
      </c>
      <c r="AZ13" s="36"/>
      <c r="BA13" s="36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1:70" x14ac:dyDescent="0.2">
      <c r="A14" s="182" t="s">
        <v>210</v>
      </c>
      <c r="B14" s="162">
        <v>175</v>
      </c>
      <c r="C14" s="162"/>
      <c r="D14" s="167">
        <v>4.7999999999999996E-3</v>
      </c>
      <c r="E14" s="132"/>
      <c r="F14" s="132"/>
      <c r="G14" s="168">
        <v>37028</v>
      </c>
      <c r="H14" s="162"/>
      <c r="I14" s="30"/>
      <c r="J14" s="162" t="s">
        <v>283</v>
      </c>
      <c r="K14" s="132">
        <v>9.4322E-3</v>
      </c>
      <c r="L14" s="30"/>
      <c r="M14" s="105">
        <v>0</v>
      </c>
      <c r="N14" s="30"/>
      <c r="O14" s="105">
        <v>20000000</v>
      </c>
      <c r="P14" s="27"/>
      <c r="Q14" s="105"/>
      <c r="R14" s="27"/>
      <c r="S14" s="105">
        <f>+O14</f>
        <v>20000000</v>
      </c>
      <c r="T14" s="27"/>
      <c r="U14" s="105">
        <v>0</v>
      </c>
      <c r="V14" s="27"/>
      <c r="W14" s="105">
        <v>0</v>
      </c>
      <c r="X14" s="27"/>
      <c r="Y14" s="105">
        <v>0</v>
      </c>
      <c r="Z14" s="27"/>
      <c r="AA14" s="105">
        <v>0</v>
      </c>
      <c r="AB14" s="27"/>
      <c r="AC14" s="105">
        <v>0</v>
      </c>
      <c r="AD14" s="27"/>
      <c r="AE14" s="105">
        <v>0</v>
      </c>
      <c r="AF14" s="27"/>
      <c r="AG14" s="105">
        <v>0</v>
      </c>
      <c r="AH14" s="28"/>
      <c r="AI14" s="105">
        <v>0</v>
      </c>
      <c r="AJ14" s="28"/>
      <c r="AK14" s="105">
        <v>0</v>
      </c>
      <c r="AL14" s="105"/>
      <c r="AM14" s="105">
        <v>0</v>
      </c>
      <c r="AN14" s="27"/>
      <c r="AO14" s="105">
        <v>0</v>
      </c>
      <c r="AP14" s="30"/>
      <c r="AQ14" s="38">
        <f>SUM(Q14:AK14)</f>
        <v>20000000</v>
      </c>
      <c r="AR14" s="30">
        <f>AQ14-O14</f>
        <v>0</v>
      </c>
      <c r="AS14" s="30"/>
      <c r="AT14" s="30">
        <f>O14*SUM(AU14:AV14)</f>
        <v>95999.999999999985</v>
      </c>
      <c r="AU14" s="39"/>
      <c r="AV14" s="165">
        <f>D14</f>
        <v>4.7999999999999996E-3</v>
      </c>
      <c r="AW14" s="30">
        <f>O14</f>
        <v>20000000</v>
      </c>
      <c r="AX14" s="166">
        <f>SUM(Q14:AP14)</f>
        <v>20000000</v>
      </c>
      <c r="AY14" s="183">
        <f>+O14-AX14</f>
        <v>0</v>
      </c>
      <c r="AZ14" s="36"/>
      <c r="BA14" s="36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1:70" ht="8.1" customHeight="1" thickBot="1" x14ac:dyDescent="0.25">
      <c r="A15" s="184"/>
      <c r="B15" s="185"/>
      <c r="C15" s="185"/>
      <c r="D15" s="185"/>
      <c r="E15" s="186"/>
      <c r="F15" s="186"/>
      <c r="G15" s="185"/>
      <c r="H15" s="186"/>
      <c r="I15" s="185"/>
      <c r="J15" s="186"/>
      <c r="K15" s="185"/>
      <c r="L15" s="186"/>
      <c r="M15" s="186"/>
      <c r="N15" s="186"/>
      <c r="O15" s="311"/>
      <c r="P15" s="186"/>
      <c r="Q15" s="185"/>
      <c r="R15" s="186"/>
      <c r="S15" s="185"/>
      <c r="T15" s="186"/>
      <c r="U15" s="185"/>
      <c r="V15" s="186"/>
      <c r="W15" s="185"/>
      <c r="X15" s="186"/>
      <c r="Y15" s="185"/>
      <c r="Z15" s="186"/>
      <c r="AA15" s="185"/>
      <c r="AB15" s="186"/>
      <c r="AC15" s="185"/>
      <c r="AD15" s="186"/>
      <c r="AE15" s="185"/>
      <c r="AF15" s="186"/>
      <c r="AG15" s="188"/>
      <c r="AH15" s="186"/>
      <c r="AI15" s="188"/>
      <c r="AJ15" s="189"/>
      <c r="AK15" s="188"/>
      <c r="AL15" s="188"/>
      <c r="AM15" s="188"/>
      <c r="AN15" s="188"/>
      <c r="AO15" s="185"/>
      <c r="AP15" s="190"/>
      <c r="AQ15" s="191"/>
      <c r="AR15" s="189"/>
      <c r="AS15" s="189"/>
      <c r="AT15" s="189"/>
      <c r="AU15" s="192"/>
      <c r="AV15" s="193"/>
      <c r="AW15" s="191"/>
      <c r="AX15" s="185"/>
      <c r="AY15" s="194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</row>
    <row r="16" spans="1:70" x14ac:dyDescent="0.2">
      <c r="D16" s="137" t="s">
        <v>181</v>
      </c>
      <c r="E16" s="16"/>
      <c r="F16" s="16"/>
      <c r="G16" s="135"/>
      <c r="H16" s="16"/>
      <c r="I16" s="135"/>
      <c r="J16" s="16"/>
      <c r="K16" s="135"/>
      <c r="L16" s="16"/>
      <c r="M16" s="16"/>
      <c r="N16" s="16"/>
      <c r="O16" s="312"/>
      <c r="P16" s="16"/>
      <c r="Q16" s="135"/>
      <c r="R16" s="16"/>
      <c r="S16" s="135"/>
      <c r="T16" s="16"/>
      <c r="U16" s="135"/>
      <c r="V16" s="16"/>
      <c r="W16" s="135"/>
      <c r="X16" s="16"/>
      <c r="Y16" s="135"/>
      <c r="Z16" s="16"/>
      <c r="AA16" s="135"/>
      <c r="AB16" s="16"/>
      <c r="AC16" s="135"/>
      <c r="AD16" s="16"/>
      <c r="AE16" s="135"/>
      <c r="AF16" s="16"/>
      <c r="AG16" s="98"/>
      <c r="AH16" s="16"/>
      <c r="AI16" s="98"/>
      <c r="AK16" s="98"/>
      <c r="AL16" s="98"/>
      <c r="AM16" s="98"/>
      <c r="AN16" s="98"/>
      <c r="AO16" s="135"/>
      <c r="AP16" s="21"/>
      <c r="AQ16"/>
      <c r="AW16"/>
      <c r="AX16" s="135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</row>
    <row r="17" spans="1:70" x14ac:dyDescent="0.2">
      <c r="B17" s="7" t="s">
        <v>207</v>
      </c>
      <c r="D17" s="137"/>
      <c r="E17" s="16"/>
      <c r="F17" s="16"/>
      <c r="G17" s="135"/>
      <c r="H17" s="16"/>
      <c r="I17" s="135"/>
      <c r="J17" s="16"/>
      <c r="K17" s="135"/>
      <c r="L17" s="16"/>
      <c r="M17" s="16"/>
      <c r="N17" s="16"/>
      <c r="O17" s="312"/>
      <c r="P17" s="16"/>
      <c r="Q17" s="135"/>
      <c r="R17" s="16"/>
      <c r="S17" s="135"/>
      <c r="T17" s="16"/>
      <c r="U17" s="135"/>
      <c r="V17" s="16"/>
      <c r="W17" s="135"/>
      <c r="X17" s="16"/>
      <c r="Y17" s="135"/>
      <c r="Z17" s="16"/>
      <c r="AA17" s="135"/>
      <c r="AB17" s="16"/>
      <c r="AC17" s="135"/>
      <c r="AD17" s="16"/>
      <c r="AE17" s="135"/>
      <c r="AF17" s="16"/>
      <c r="AG17" s="98"/>
      <c r="AH17" s="16"/>
      <c r="AI17" s="98"/>
      <c r="AK17" s="98"/>
      <c r="AL17" s="98"/>
      <c r="AM17" s="98"/>
      <c r="AN17" s="98"/>
      <c r="AO17" s="135"/>
      <c r="AP17" s="21"/>
      <c r="AQ17"/>
      <c r="AW17"/>
      <c r="AX17" s="135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</row>
    <row r="18" spans="1:70" x14ac:dyDescent="0.2">
      <c r="A18" s="122" t="s">
        <v>192</v>
      </c>
      <c r="B18" s="102"/>
      <c r="C18" s="102"/>
      <c r="D18" s="121">
        <v>7.0000000000000007E-2</v>
      </c>
      <c r="E18" s="101">
        <v>-15</v>
      </c>
      <c r="F18" s="101"/>
      <c r="G18" s="133" t="s">
        <v>77</v>
      </c>
      <c r="H18" s="102"/>
      <c r="I18" s="102" t="s">
        <v>78</v>
      </c>
      <c r="J18" s="102"/>
      <c r="K18" s="101"/>
      <c r="M18" s="105">
        <v>255875</v>
      </c>
      <c r="O18" s="105">
        <v>255875</v>
      </c>
      <c r="P18" s="27"/>
      <c r="Q18" s="105">
        <v>0</v>
      </c>
      <c r="R18" s="27"/>
      <c r="S18" s="105">
        <v>0</v>
      </c>
      <c r="T18" s="27"/>
      <c r="U18" s="105">
        <f>+O18</f>
        <v>255875</v>
      </c>
      <c r="V18" s="27"/>
      <c r="W18" s="105">
        <v>0</v>
      </c>
      <c r="X18" s="27"/>
      <c r="Y18" s="105">
        <v>0</v>
      </c>
      <c r="Z18" s="27"/>
      <c r="AA18" s="105">
        <v>0</v>
      </c>
      <c r="AB18" s="27"/>
      <c r="AC18" s="105">
        <v>0</v>
      </c>
      <c r="AD18" s="27"/>
      <c r="AE18" s="105">
        <v>0</v>
      </c>
      <c r="AF18" s="27"/>
      <c r="AG18" s="105">
        <v>0</v>
      </c>
      <c r="AH18" s="28"/>
      <c r="AI18" s="105">
        <v>0</v>
      </c>
      <c r="AJ18" s="28"/>
      <c r="AK18" s="105">
        <v>0</v>
      </c>
      <c r="AL18" s="105"/>
      <c r="AM18" s="105">
        <v>0</v>
      </c>
      <c r="AN18" s="27"/>
      <c r="AO18" s="105">
        <v>0</v>
      </c>
      <c r="AP18" s="30"/>
      <c r="AQ18" s="38">
        <f>SUM(Q18:AK18)</f>
        <v>255875</v>
      </c>
      <c r="AR18" s="30">
        <f>AQ18-O18</f>
        <v>0</v>
      </c>
      <c r="AS18" s="30"/>
      <c r="AT18" s="7">
        <f>O18*SUM(AU18:AV18)</f>
        <v>17911.25</v>
      </c>
      <c r="AU18" s="39"/>
      <c r="AV18" s="12">
        <f>D18</f>
        <v>7.0000000000000007E-2</v>
      </c>
      <c r="AW18" s="7">
        <f>O18</f>
        <v>255875</v>
      </c>
      <c r="AX18" s="31">
        <f>SUM(Q18:AP18)</f>
        <v>255875</v>
      </c>
      <c r="AY18" s="31">
        <f>+O18-AX18</f>
        <v>0</v>
      </c>
      <c r="AZ18" s="36"/>
      <c r="BA18" s="36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</row>
    <row r="19" spans="1:70" x14ac:dyDescent="0.2">
      <c r="A19" s="122" t="s">
        <v>192</v>
      </c>
      <c r="D19" s="102"/>
      <c r="E19" s="138"/>
      <c r="F19" s="138"/>
      <c r="G19" s="139" t="s">
        <v>80</v>
      </c>
      <c r="H19" s="139"/>
      <c r="I19" s="138"/>
      <c r="J19" s="139"/>
      <c r="K19" s="140"/>
      <c r="L19" s="56"/>
      <c r="M19" s="116">
        <v>-11500</v>
      </c>
      <c r="N19" s="56"/>
      <c r="O19" s="116">
        <v>68171</v>
      </c>
      <c r="P19" s="29"/>
      <c r="Q19" s="116">
        <v>0</v>
      </c>
      <c r="R19" s="29"/>
      <c r="S19" s="116">
        <v>0</v>
      </c>
      <c r="T19" s="29"/>
      <c r="U19" s="105">
        <f>+O19</f>
        <v>68171</v>
      </c>
      <c r="V19" s="29"/>
      <c r="W19" s="116">
        <v>0</v>
      </c>
      <c r="X19" s="29"/>
      <c r="Y19" s="116">
        <v>0</v>
      </c>
      <c r="Z19" s="29"/>
      <c r="AA19" s="116">
        <v>0</v>
      </c>
      <c r="AB19" s="29"/>
      <c r="AC19" s="116">
        <v>0</v>
      </c>
      <c r="AD19" s="29"/>
      <c r="AE19" s="116">
        <v>0</v>
      </c>
      <c r="AF19" s="29"/>
      <c r="AG19" s="116">
        <v>0</v>
      </c>
      <c r="AH19" s="29"/>
      <c r="AI19" s="116">
        <v>0</v>
      </c>
      <c r="AJ19" s="29"/>
      <c r="AK19" s="116">
        <v>0</v>
      </c>
      <c r="AL19" s="116"/>
      <c r="AM19" s="116">
        <v>0</v>
      </c>
      <c r="AN19" s="29"/>
      <c r="AO19" s="116">
        <v>0</v>
      </c>
      <c r="AP19" s="51"/>
      <c r="AQ19"/>
      <c r="AS19" s="51"/>
      <c r="AU19" s="52"/>
      <c r="AX19" s="31">
        <f>SUM(Q19:AP19)</f>
        <v>68171</v>
      </c>
      <c r="AY19" s="31">
        <f>+O19-AX19</f>
        <v>0</v>
      </c>
      <c r="BB19"/>
    </row>
    <row r="20" spans="1:70" x14ac:dyDescent="0.2">
      <c r="A20" s="102" t="s">
        <v>2</v>
      </c>
      <c r="D20" s="102"/>
      <c r="E20" s="138"/>
      <c r="F20" s="138"/>
      <c r="G20" s="139" t="s">
        <v>80</v>
      </c>
      <c r="H20" s="139"/>
      <c r="I20" s="138"/>
      <c r="J20" s="139"/>
      <c r="K20" s="140"/>
      <c r="L20" s="56"/>
      <c r="M20" s="116">
        <v>-5031</v>
      </c>
      <c r="N20" s="56"/>
      <c r="O20" s="116">
        <v>0</v>
      </c>
      <c r="P20" s="29"/>
      <c r="Q20" s="116">
        <v>0</v>
      </c>
      <c r="R20" s="29"/>
      <c r="S20" s="116">
        <v>0</v>
      </c>
      <c r="T20" s="29"/>
      <c r="U20" s="105">
        <f>+O20</f>
        <v>0</v>
      </c>
      <c r="V20" s="29"/>
      <c r="W20" s="116">
        <v>0</v>
      </c>
      <c r="X20" s="29"/>
      <c r="Y20" s="116">
        <v>0</v>
      </c>
      <c r="Z20" s="29"/>
      <c r="AA20" s="116">
        <v>0</v>
      </c>
      <c r="AB20" s="29"/>
      <c r="AC20" s="116">
        <v>0</v>
      </c>
      <c r="AD20" s="29"/>
      <c r="AE20" s="116">
        <v>0</v>
      </c>
      <c r="AF20" s="29"/>
      <c r="AG20" s="116">
        <v>0</v>
      </c>
      <c r="AH20" s="29"/>
      <c r="AI20" s="116">
        <v>0</v>
      </c>
      <c r="AJ20" s="29"/>
      <c r="AK20" s="116">
        <v>0</v>
      </c>
      <c r="AL20" s="116"/>
      <c r="AM20" s="116">
        <v>0</v>
      </c>
      <c r="AN20" s="29"/>
      <c r="AO20" s="116">
        <v>0</v>
      </c>
      <c r="AP20" s="51"/>
      <c r="AQ20"/>
      <c r="AS20" s="51"/>
      <c r="AU20" s="52"/>
      <c r="AX20" s="31">
        <f>SUM(Q20:AP20)</f>
        <v>0</v>
      </c>
      <c r="AY20" s="31">
        <f>+O20-AX20</f>
        <v>0</v>
      </c>
      <c r="BB20"/>
    </row>
    <row r="21" spans="1:70" ht="8.1" customHeight="1" x14ac:dyDescent="0.2">
      <c r="D21" s="102"/>
      <c r="E21" s="138"/>
      <c r="F21" s="138"/>
      <c r="G21" s="139"/>
      <c r="H21" s="139"/>
      <c r="I21" s="138"/>
      <c r="J21" s="139"/>
      <c r="K21" s="140"/>
      <c r="L21" s="56"/>
      <c r="M21" s="143"/>
      <c r="N21" s="56"/>
      <c r="O21" s="143"/>
      <c r="P21" s="29"/>
      <c r="Q21" s="143"/>
      <c r="R21" s="29"/>
      <c r="S21" s="143"/>
      <c r="T21" s="29"/>
      <c r="U21" s="143"/>
      <c r="V21" s="29"/>
      <c r="W21" s="143"/>
      <c r="X21" s="29"/>
      <c r="Y21" s="143"/>
      <c r="Z21" s="29"/>
      <c r="AA21" s="143"/>
      <c r="AB21" s="29"/>
      <c r="AC21" s="143"/>
      <c r="AD21" s="29"/>
      <c r="AE21" s="143"/>
      <c r="AF21" s="29"/>
      <c r="AG21" s="143"/>
      <c r="AH21" s="29"/>
      <c r="AI21" s="143"/>
      <c r="AJ21" s="29"/>
      <c r="AK21" s="143"/>
      <c r="AL21" s="116"/>
      <c r="AM21" s="143"/>
      <c r="AN21" s="29"/>
      <c r="AO21" s="143"/>
      <c r="AP21" s="51"/>
      <c r="AQ21"/>
      <c r="AS21" s="51"/>
      <c r="AU21" s="52"/>
      <c r="AX21" s="143"/>
      <c r="AY21" s="143"/>
      <c r="BB21"/>
    </row>
    <row r="22" spans="1:70" x14ac:dyDescent="0.2">
      <c r="B22" s="7" t="s">
        <v>208</v>
      </c>
      <c r="D22" s="102"/>
      <c r="E22" s="138"/>
      <c r="F22" s="138"/>
      <c r="G22" s="139"/>
      <c r="H22" s="139"/>
      <c r="I22" s="138"/>
      <c r="J22" s="139"/>
      <c r="K22" s="140"/>
      <c r="L22" s="56"/>
      <c r="M22" s="67">
        <f>SUM(M17:M21)</f>
        <v>239344</v>
      </c>
      <c r="N22" s="56"/>
      <c r="O22" s="67">
        <f>SUM(O17:O21)</f>
        <v>324046</v>
      </c>
      <c r="P22" s="29"/>
      <c r="Q22" s="67">
        <f>SUM(Q17:Q21)</f>
        <v>0</v>
      </c>
      <c r="R22" s="29"/>
      <c r="S22" s="67">
        <f>SUM(S17:S21)</f>
        <v>0</v>
      </c>
      <c r="T22" s="29"/>
      <c r="U22" s="67">
        <f>SUM(U17:U21)</f>
        <v>324046</v>
      </c>
      <c r="V22" s="29"/>
      <c r="W22" s="67">
        <f>SUM(W17:W21)</f>
        <v>0</v>
      </c>
      <c r="X22" s="29"/>
      <c r="Y22" s="67">
        <f>SUM(Y17:Y21)</f>
        <v>0</v>
      </c>
      <c r="Z22" s="29"/>
      <c r="AA22" s="67">
        <f>SUM(AA17:AA21)</f>
        <v>0</v>
      </c>
      <c r="AB22" s="29"/>
      <c r="AC22" s="67">
        <f>SUM(AC17:AC21)</f>
        <v>0</v>
      </c>
      <c r="AD22" s="29"/>
      <c r="AE22" s="67">
        <f>SUM(AE17:AE21)</f>
        <v>0</v>
      </c>
      <c r="AF22" s="29"/>
      <c r="AG22" s="67">
        <f>SUM(AG17:AG21)</f>
        <v>0</v>
      </c>
      <c r="AH22" s="29"/>
      <c r="AI22" s="67">
        <f>SUM(AI17:AI21)</f>
        <v>0</v>
      </c>
      <c r="AJ22" s="29"/>
      <c r="AK22" s="67">
        <f>SUM(AK17:AK21)</f>
        <v>0</v>
      </c>
      <c r="AL22" s="67"/>
      <c r="AM22" s="67">
        <f>SUM(AM17:AM21)</f>
        <v>0</v>
      </c>
      <c r="AN22" s="29"/>
      <c r="AO22" s="67">
        <f>SUM(AO17:AO21)</f>
        <v>0</v>
      </c>
      <c r="AP22" s="51"/>
      <c r="AQ22"/>
      <c r="AS22" s="51"/>
      <c r="AU22" s="52"/>
      <c r="AX22" s="67">
        <f>SUM(AX17:AX21)</f>
        <v>324046</v>
      </c>
      <c r="AY22" s="67">
        <f>SUM(AY17:AY21)</f>
        <v>0</v>
      </c>
      <c r="BB22"/>
    </row>
    <row r="23" spans="1:70" x14ac:dyDescent="0.2">
      <c r="D23" s="137"/>
      <c r="E23" s="16"/>
      <c r="F23" s="16"/>
      <c r="G23" s="135"/>
      <c r="H23" s="16"/>
      <c r="I23" s="135"/>
      <c r="J23" s="16"/>
      <c r="K23" s="135"/>
      <c r="L23" s="16"/>
      <c r="M23" s="16"/>
      <c r="N23" s="16"/>
      <c r="O23" s="312"/>
      <c r="P23" s="16"/>
      <c r="Q23" s="135"/>
      <c r="R23" s="16"/>
      <c r="S23" s="135"/>
      <c r="T23" s="16"/>
      <c r="U23" s="135"/>
      <c r="V23" s="16"/>
      <c r="W23" s="135"/>
      <c r="X23" s="16"/>
      <c r="Y23" s="135"/>
      <c r="Z23" s="16"/>
      <c r="AA23" s="135"/>
      <c r="AB23" s="16"/>
      <c r="AC23" s="135"/>
      <c r="AD23" s="16"/>
      <c r="AE23" s="135"/>
      <c r="AF23" s="16"/>
      <c r="AG23" s="98"/>
      <c r="AH23" s="16"/>
      <c r="AI23" s="98"/>
      <c r="AK23" s="98"/>
      <c r="AL23" s="98"/>
      <c r="AM23" s="98"/>
      <c r="AN23" s="98"/>
      <c r="AO23" s="135"/>
      <c r="AP23" s="21"/>
      <c r="AQ23"/>
      <c r="AW23"/>
      <c r="AX23" s="135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</row>
    <row r="24" spans="1:70" x14ac:dyDescent="0.2">
      <c r="B24" s="7" t="s">
        <v>184</v>
      </c>
      <c r="D24" s="137"/>
      <c r="E24" s="16"/>
      <c r="F24" s="16"/>
      <c r="G24" s="135"/>
      <c r="H24" s="16"/>
      <c r="I24" s="135"/>
      <c r="K24" s="135"/>
      <c r="L24" s="16"/>
      <c r="M24" s="16"/>
      <c r="N24" s="16"/>
      <c r="O24" s="312"/>
      <c r="P24" s="16"/>
      <c r="Q24" s="135"/>
      <c r="R24" s="16"/>
      <c r="S24" s="135"/>
      <c r="T24" s="16"/>
      <c r="U24" s="135"/>
      <c r="V24" s="16"/>
      <c r="W24" s="135"/>
      <c r="X24" s="16"/>
      <c r="Y24" s="135"/>
      <c r="Z24" s="16"/>
      <c r="AA24" s="135"/>
      <c r="AB24" s="16"/>
      <c r="AC24" s="135"/>
      <c r="AD24" s="16"/>
      <c r="AE24" s="135"/>
      <c r="AF24" s="16"/>
      <c r="AG24" s="98"/>
      <c r="AH24" s="16"/>
      <c r="AI24" s="98"/>
      <c r="AK24" s="98"/>
      <c r="AL24" s="98"/>
      <c r="AM24" s="98"/>
      <c r="AN24" s="98"/>
      <c r="AO24" s="135"/>
      <c r="AP24" s="21"/>
      <c r="AQ24"/>
      <c r="AW24"/>
      <c r="AX24" s="135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</row>
    <row r="25" spans="1:70" x14ac:dyDescent="0.2">
      <c r="A25" s="122" t="s">
        <v>210</v>
      </c>
      <c r="B25" s="102">
        <v>132</v>
      </c>
      <c r="C25" s="102"/>
      <c r="D25" s="100">
        <v>6.7500000000000004E-2</v>
      </c>
      <c r="E25" s="101" t="s">
        <v>60</v>
      </c>
      <c r="F25" s="101"/>
      <c r="G25" s="101" t="s">
        <v>61</v>
      </c>
      <c r="H25" s="102"/>
      <c r="I25" s="101" t="s">
        <v>43</v>
      </c>
      <c r="J25" s="102"/>
      <c r="K25" s="101" t="s">
        <v>46</v>
      </c>
      <c r="M25" s="134">
        <v>178000</v>
      </c>
      <c r="O25" s="134">
        <v>178000</v>
      </c>
      <c r="P25" s="29"/>
      <c r="Q25" s="134">
        <v>0</v>
      </c>
      <c r="R25" s="29"/>
      <c r="S25" s="134">
        <v>0</v>
      </c>
      <c r="T25" s="29"/>
      <c r="U25" s="134">
        <v>0</v>
      </c>
      <c r="V25" s="29"/>
      <c r="W25" s="134">
        <v>0</v>
      </c>
      <c r="X25" s="29"/>
      <c r="Y25" s="134">
        <v>0</v>
      </c>
      <c r="Z25" s="29"/>
      <c r="AA25" s="134">
        <f>+$O25</f>
        <v>178000</v>
      </c>
      <c r="AB25" s="29"/>
      <c r="AC25" s="134">
        <v>0</v>
      </c>
      <c r="AD25" s="29"/>
      <c r="AE25" s="134">
        <v>0</v>
      </c>
      <c r="AF25" s="29"/>
      <c r="AG25" s="134">
        <v>0</v>
      </c>
      <c r="AH25" s="29"/>
      <c r="AI25" s="134">
        <v>0</v>
      </c>
      <c r="AJ25" s="29"/>
      <c r="AK25" s="134">
        <v>0</v>
      </c>
      <c r="AL25" s="134"/>
      <c r="AM25" s="134">
        <v>0</v>
      </c>
      <c r="AN25" s="29"/>
      <c r="AO25" s="134">
        <v>0</v>
      </c>
      <c r="AQ25">
        <f>SUM(Q25:AK25)</f>
        <v>178000</v>
      </c>
      <c r="AR25" s="7">
        <f>AQ25-O25</f>
        <v>0</v>
      </c>
      <c r="AT25" s="7">
        <f>O25*SUM(AU25:AV25)</f>
        <v>12015</v>
      </c>
      <c r="AV25" s="12">
        <f>D25</f>
        <v>6.7500000000000004E-2</v>
      </c>
      <c r="AW25" s="7">
        <f>O25</f>
        <v>178000</v>
      </c>
      <c r="AX25" s="31">
        <f>SUM(Q25:AP25)</f>
        <v>178000</v>
      </c>
      <c r="AY25" s="31">
        <f>+O25-AX25</f>
        <v>0</v>
      </c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</row>
    <row r="26" spans="1:70" x14ac:dyDescent="0.2">
      <c r="A26" s="122" t="s">
        <v>210</v>
      </c>
      <c r="B26" s="102">
        <v>128</v>
      </c>
      <c r="C26" s="102"/>
      <c r="D26" s="100">
        <v>8.2500000000000004E-2</v>
      </c>
      <c r="E26" s="101" t="s">
        <v>60</v>
      </c>
      <c r="F26" s="101"/>
      <c r="G26" s="101" t="s">
        <v>71</v>
      </c>
      <c r="H26" s="102"/>
      <c r="I26" s="101" t="s">
        <v>43</v>
      </c>
      <c r="J26" s="102"/>
      <c r="K26" s="101" t="s">
        <v>46</v>
      </c>
      <c r="M26" s="103">
        <v>140000</v>
      </c>
      <c r="O26" s="103">
        <v>140000</v>
      </c>
      <c r="P26" s="26"/>
      <c r="Q26" s="103">
        <v>0</v>
      </c>
      <c r="R26" s="26"/>
      <c r="S26" s="103">
        <v>0</v>
      </c>
      <c r="T26" s="26"/>
      <c r="U26" s="103">
        <v>0</v>
      </c>
      <c r="V26" s="26"/>
      <c r="W26" s="103">
        <v>0</v>
      </c>
      <c r="X26" s="26"/>
      <c r="Y26" s="103">
        <v>0</v>
      </c>
      <c r="Z26" s="26"/>
      <c r="AA26" s="103">
        <v>0</v>
      </c>
      <c r="AB26" s="26"/>
      <c r="AC26" s="103">
        <v>0</v>
      </c>
      <c r="AD26" s="26"/>
      <c r="AE26" s="103">
        <v>0</v>
      </c>
      <c r="AF26" s="26"/>
      <c r="AG26" s="103">
        <v>0</v>
      </c>
      <c r="AH26" s="29"/>
      <c r="AI26" s="103">
        <v>0</v>
      </c>
      <c r="AJ26" s="29"/>
      <c r="AK26" s="103">
        <v>0</v>
      </c>
      <c r="AL26" s="103"/>
      <c r="AM26" s="103">
        <f>+$O26</f>
        <v>140000</v>
      </c>
      <c r="AN26" s="27"/>
      <c r="AO26" s="105">
        <v>0</v>
      </c>
      <c r="AQ26">
        <f>SUM(Q26:AK26)</f>
        <v>0</v>
      </c>
      <c r="AR26" s="7">
        <f>AQ26-O26</f>
        <v>-140000</v>
      </c>
      <c r="AT26" s="7">
        <f>O26*SUM(AU26:AV26)</f>
        <v>11550</v>
      </c>
      <c r="AV26" s="12">
        <f>D26</f>
        <v>8.2500000000000004E-2</v>
      </c>
      <c r="AW26" s="7">
        <f>O26</f>
        <v>140000</v>
      </c>
      <c r="AX26" s="31">
        <f>SUM(Q26:AP26)</f>
        <v>140000</v>
      </c>
      <c r="AY26" s="31">
        <f>+O26-AX26</f>
        <v>0</v>
      </c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70" x14ac:dyDescent="0.2">
      <c r="A27" s="122" t="s">
        <v>210</v>
      </c>
      <c r="B27" s="102">
        <v>176</v>
      </c>
      <c r="C27" s="102"/>
      <c r="D27" s="100">
        <v>7.8750000000000001E-2</v>
      </c>
      <c r="E27" s="101"/>
      <c r="F27" s="101"/>
      <c r="G27" s="275">
        <v>37787</v>
      </c>
      <c r="H27" s="102"/>
      <c r="I27" s="101" t="s">
        <v>43</v>
      </c>
      <c r="J27" s="102"/>
      <c r="K27" s="101" t="s">
        <v>46</v>
      </c>
      <c r="M27" s="103">
        <v>140000</v>
      </c>
      <c r="O27" s="103">
        <v>325000</v>
      </c>
      <c r="P27" s="26"/>
      <c r="Q27" s="103">
        <v>0</v>
      </c>
      <c r="R27" s="26"/>
      <c r="S27" s="103">
        <v>0</v>
      </c>
      <c r="T27" s="26"/>
      <c r="U27" s="103">
        <v>0</v>
      </c>
      <c r="V27" s="26"/>
      <c r="W27" s="103">
        <f>+O27</f>
        <v>325000</v>
      </c>
      <c r="X27" s="26"/>
      <c r="Y27" s="103">
        <v>0</v>
      </c>
      <c r="Z27" s="26"/>
      <c r="AA27" s="103">
        <v>0</v>
      </c>
      <c r="AB27" s="26"/>
      <c r="AC27" s="103">
        <v>0</v>
      </c>
      <c r="AD27" s="26"/>
      <c r="AE27" s="103">
        <v>0</v>
      </c>
      <c r="AF27" s="26"/>
      <c r="AG27" s="103">
        <v>0</v>
      </c>
      <c r="AH27" s="29"/>
      <c r="AI27" s="103">
        <v>0</v>
      </c>
      <c r="AJ27" s="29"/>
      <c r="AK27" s="103">
        <v>0</v>
      </c>
      <c r="AL27" s="103"/>
      <c r="AM27" s="103">
        <v>0</v>
      </c>
      <c r="AN27" s="27"/>
      <c r="AO27" s="105">
        <v>0</v>
      </c>
      <c r="AQ27">
        <f>SUM(Q27:AK27)</f>
        <v>325000</v>
      </c>
      <c r="AR27" s="7">
        <f>AQ27-O27</f>
        <v>0</v>
      </c>
      <c r="AT27" s="7">
        <f>O27*SUM(AU27:AV27)</f>
        <v>25593.75</v>
      </c>
      <c r="AV27" s="12">
        <f>D27</f>
        <v>7.8750000000000001E-2</v>
      </c>
      <c r="AW27" s="7">
        <f>O27</f>
        <v>325000</v>
      </c>
      <c r="AX27" s="31">
        <f>SUM(Q27:AP27)</f>
        <v>325000</v>
      </c>
      <c r="AY27" s="31">
        <f>+O27-AX27</f>
        <v>0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</row>
    <row r="28" spans="1:70" ht="8.1" customHeight="1" x14ac:dyDescent="0.2">
      <c r="A28" s="102"/>
      <c r="B28" s="102"/>
      <c r="C28" s="102"/>
      <c r="D28" s="100"/>
      <c r="E28" s="101"/>
      <c r="F28" s="101"/>
      <c r="G28" s="101"/>
      <c r="H28" s="102"/>
      <c r="I28" s="101"/>
      <c r="J28" s="102"/>
      <c r="K28" s="101"/>
      <c r="M28" s="153"/>
      <c r="O28" s="153"/>
      <c r="P28" s="26"/>
      <c r="Q28" s="153"/>
      <c r="R28" s="26"/>
      <c r="S28" s="153"/>
      <c r="T28" s="26"/>
      <c r="U28" s="153"/>
      <c r="V28" s="26"/>
      <c r="W28" s="153"/>
      <c r="X28" s="26"/>
      <c r="Y28" s="153"/>
      <c r="Z28" s="26"/>
      <c r="AA28" s="153"/>
      <c r="AB28" s="26"/>
      <c r="AC28" s="153"/>
      <c r="AD28" s="26"/>
      <c r="AE28" s="153"/>
      <c r="AF28" s="26"/>
      <c r="AG28" s="153"/>
      <c r="AH28" s="29"/>
      <c r="AI28" s="153"/>
      <c r="AJ28" s="29"/>
      <c r="AK28" s="153"/>
      <c r="AL28" s="105"/>
      <c r="AM28" s="153"/>
      <c r="AN28" s="27"/>
      <c r="AO28" s="153"/>
      <c r="AQ28"/>
      <c r="AX28" s="153"/>
      <c r="AY28" s="153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</row>
    <row r="29" spans="1:70" x14ac:dyDescent="0.2">
      <c r="D29" s="94" t="s">
        <v>197</v>
      </c>
      <c r="E29" s="16"/>
      <c r="F29" s="16"/>
      <c r="G29" s="135"/>
      <c r="H29" s="16"/>
      <c r="I29" s="135"/>
      <c r="J29" s="16"/>
      <c r="K29" s="135"/>
      <c r="L29" s="16"/>
      <c r="M29" s="44">
        <f>SUM(M24:M28)</f>
        <v>458000</v>
      </c>
      <c r="N29" s="16"/>
      <c r="O29" s="44">
        <f>SUM(O24:O28)</f>
        <v>643000</v>
      </c>
      <c r="P29" s="16"/>
      <c r="Q29" s="44">
        <f>SUM(Q24:Q28)</f>
        <v>0</v>
      </c>
      <c r="R29" s="16"/>
      <c r="S29" s="44">
        <f>SUM(S24:S28)</f>
        <v>0</v>
      </c>
      <c r="T29" s="16"/>
      <c r="U29" s="44">
        <f>SUM(U24:U28)</f>
        <v>0</v>
      </c>
      <c r="V29" s="16"/>
      <c r="W29" s="44">
        <f>SUM(W24:W28)</f>
        <v>325000</v>
      </c>
      <c r="X29" s="16"/>
      <c r="Y29" s="44">
        <f>SUM(Y24:Y28)</f>
        <v>0</v>
      </c>
      <c r="Z29" s="16"/>
      <c r="AA29" s="44">
        <f>SUM(AA24:AA28)</f>
        <v>178000</v>
      </c>
      <c r="AB29" s="16"/>
      <c r="AC29" s="44">
        <f>SUM(AC24:AC28)</f>
        <v>0</v>
      </c>
      <c r="AD29" s="16"/>
      <c r="AE29" s="44">
        <f>SUM(AE24:AE28)</f>
        <v>0</v>
      </c>
      <c r="AF29" s="16"/>
      <c r="AG29" s="44">
        <f>SUM(AG24:AG28)</f>
        <v>0</v>
      </c>
      <c r="AH29" s="16"/>
      <c r="AI29" s="44">
        <f>SUM(AI24:AI28)</f>
        <v>0</v>
      </c>
      <c r="AK29" s="44">
        <f>SUM(AK24:AK28)</f>
        <v>0</v>
      </c>
      <c r="AL29" s="44"/>
      <c r="AM29" s="44">
        <f>SUM(AM24:AM28)</f>
        <v>140000</v>
      </c>
      <c r="AN29" s="98"/>
      <c r="AO29" s="44">
        <f>SUM(AO24:AO28)</f>
        <v>0</v>
      </c>
      <c r="AP29" s="21"/>
      <c r="AQ29"/>
      <c r="AW29"/>
      <c r="AX29" s="44">
        <f>SUM(AX24:AX28)</f>
        <v>643000</v>
      </c>
      <c r="AY29" s="44">
        <f>SUM(AY24:AY28)</f>
        <v>0</v>
      </c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70" x14ac:dyDescent="0.2">
      <c r="D30" s="137"/>
      <c r="E30" s="16"/>
      <c r="F30" s="16"/>
      <c r="G30" s="135"/>
      <c r="H30" s="16"/>
      <c r="I30" s="135"/>
      <c r="J30" s="16"/>
      <c r="K30" s="135"/>
      <c r="L30" s="16"/>
      <c r="M30" s="16"/>
      <c r="N30" s="16"/>
      <c r="O30" s="312"/>
      <c r="P30" s="16"/>
      <c r="Q30" s="135"/>
      <c r="R30" s="16"/>
      <c r="S30" s="135"/>
      <c r="T30" s="16"/>
      <c r="U30" s="135"/>
      <c r="V30" s="16"/>
      <c r="W30" s="135"/>
      <c r="X30" s="16"/>
      <c r="Y30" s="135"/>
      <c r="Z30" s="16"/>
      <c r="AA30" s="135"/>
      <c r="AB30" s="16"/>
      <c r="AC30" s="135"/>
      <c r="AD30" s="16"/>
      <c r="AE30" s="135"/>
      <c r="AF30" s="16"/>
      <c r="AG30" s="98"/>
      <c r="AH30" s="16"/>
      <c r="AI30" s="98"/>
      <c r="AK30" s="98"/>
      <c r="AL30" s="98"/>
      <c r="AM30" s="98"/>
      <c r="AN30" s="98"/>
      <c r="AO30" s="135"/>
      <c r="AP30" s="21"/>
      <c r="AQ30"/>
      <c r="AW30"/>
      <c r="AX30" s="135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</row>
    <row r="31" spans="1:70" x14ac:dyDescent="0.2">
      <c r="B31" s="7" t="s">
        <v>188</v>
      </c>
      <c r="D31" s="137"/>
      <c r="E31" s="16"/>
      <c r="F31" s="16"/>
      <c r="G31" s="135"/>
      <c r="H31" s="16"/>
      <c r="I31" s="135"/>
      <c r="J31" s="16"/>
      <c r="K31" s="135"/>
      <c r="L31" s="16"/>
      <c r="M31" s="16"/>
      <c r="N31" s="16"/>
      <c r="O31" s="312"/>
      <c r="P31" s="16"/>
      <c r="Q31" s="135"/>
      <c r="R31" s="16"/>
      <c r="S31" s="135"/>
      <c r="T31" s="16"/>
      <c r="U31" s="135"/>
      <c r="V31" s="16"/>
      <c r="W31" s="135"/>
      <c r="X31" s="16"/>
      <c r="Y31" s="135"/>
      <c r="Z31" s="16"/>
      <c r="AA31" s="135"/>
      <c r="AB31" s="16"/>
      <c r="AC31" s="135"/>
      <c r="AD31" s="16"/>
      <c r="AE31" s="135"/>
      <c r="AF31" s="16"/>
      <c r="AG31" s="98"/>
      <c r="AH31" s="16"/>
      <c r="AI31" s="98"/>
      <c r="AK31" s="98"/>
      <c r="AL31" s="98"/>
      <c r="AM31" s="98"/>
      <c r="AN31" s="98"/>
      <c r="AO31" s="135"/>
      <c r="AP31" s="21"/>
      <c r="AQ31"/>
      <c r="AW31"/>
      <c r="AX31" s="135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</row>
    <row r="32" spans="1:70" x14ac:dyDescent="0.2">
      <c r="A32" s="195" t="s">
        <v>210</v>
      </c>
      <c r="B32" s="196">
        <v>161</v>
      </c>
      <c r="C32" s="196"/>
      <c r="D32" s="197">
        <v>5.7999999999999996E-3</v>
      </c>
      <c r="E32" s="198"/>
      <c r="F32" s="198"/>
      <c r="G32" s="199">
        <v>36860</v>
      </c>
      <c r="H32" s="196"/>
      <c r="I32" s="200"/>
      <c r="J32" s="196" t="s">
        <v>217</v>
      </c>
      <c r="K32" s="196"/>
      <c r="L32" s="196"/>
      <c r="M32" s="103">
        <v>95102</v>
      </c>
      <c r="N32" s="196"/>
      <c r="O32" s="202">
        <f>+O$11*$K$11</f>
        <v>94322</v>
      </c>
      <c r="P32" s="203"/>
      <c r="Q32" s="202">
        <f>+Q$11*$K$11</f>
        <v>94322</v>
      </c>
      <c r="R32" s="203"/>
      <c r="S32" s="202">
        <f>+S$11*$K$11</f>
        <v>0</v>
      </c>
      <c r="T32" s="203"/>
      <c r="U32" s="202">
        <f>+U$11*$K$11</f>
        <v>0</v>
      </c>
      <c r="V32" s="203"/>
      <c r="W32" s="202">
        <f>+W$11*$K$11</f>
        <v>0</v>
      </c>
      <c r="X32" s="203"/>
      <c r="Y32" s="202">
        <f>+Y$11*$K$11</f>
        <v>0</v>
      </c>
      <c r="Z32" s="203"/>
      <c r="AA32" s="202">
        <f>+AA$11*$K$11</f>
        <v>0</v>
      </c>
      <c r="AB32" s="203"/>
      <c r="AC32" s="202">
        <f>+AC$11*$K$11</f>
        <v>0</v>
      </c>
      <c r="AD32" s="203"/>
      <c r="AE32" s="202">
        <f>+AE$11*$K$11</f>
        <v>0</v>
      </c>
      <c r="AF32" s="203"/>
      <c r="AG32" s="202">
        <f>+AG$11*$K$11</f>
        <v>0</v>
      </c>
      <c r="AH32" s="204"/>
      <c r="AI32" s="202">
        <f>+AI$11*$K$11</f>
        <v>0</v>
      </c>
      <c r="AJ32" s="204"/>
      <c r="AK32" s="202">
        <f>+AK$11*$K$11</f>
        <v>0</v>
      </c>
      <c r="AL32" s="202"/>
      <c r="AM32" s="202">
        <f>+AM$11*$K$11</f>
        <v>0</v>
      </c>
      <c r="AN32" s="203"/>
      <c r="AO32" s="202">
        <f>+AO$11*$K$11</f>
        <v>0</v>
      </c>
      <c r="AP32" s="205"/>
      <c r="AQ32" s="205">
        <f>SUM(Q32:AK32)</f>
        <v>94322</v>
      </c>
      <c r="AR32" s="205">
        <f>AQ32-O32</f>
        <v>0</v>
      </c>
      <c r="AS32" s="205"/>
      <c r="AT32" s="196">
        <f>O32*SUM(AU32:AV32)</f>
        <v>547.06759999999997</v>
      </c>
      <c r="AU32" s="206"/>
      <c r="AV32" s="207">
        <f>D32</f>
        <v>5.7999999999999996E-3</v>
      </c>
      <c r="AW32" s="196">
        <f>O32</f>
        <v>94322</v>
      </c>
      <c r="AX32" s="245">
        <f t="shared" ref="AX32:AX37" si="0">SUM(Q32:AP32)</f>
        <v>94322</v>
      </c>
      <c r="AY32" s="245">
        <f t="shared" ref="AY32:AY37" si="1">+O32-AX32</f>
        <v>0</v>
      </c>
      <c r="AZ32" s="36"/>
      <c r="BA32" s="36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</row>
    <row r="33" spans="1:70" x14ac:dyDescent="0.2">
      <c r="A33" s="195" t="s">
        <v>210</v>
      </c>
      <c r="B33" s="196">
        <v>169</v>
      </c>
      <c r="C33" s="196"/>
      <c r="D33" s="197">
        <v>4.7000000000000002E-3</v>
      </c>
      <c r="E33" s="198"/>
      <c r="F33" s="198"/>
      <c r="G33" s="199">
        <v>36957</v>
      </c>
      <c r="H33" s="196"/>
      <c r="I33" s="200"/>
      <c r="J33" s="196" t="s">
        <v>258</v>
      </c>
      <c r="K33" s="196"/>
      <c r="L33" s="196"/>
      <c r="M33" s="103">
        <v>0</v>
      </c>
      <c r="N33" s="196"/>
      <c r="O33" s="202">
        <f>+O12*$K12</f>
        <v>188644</v>
      </c>
      <c r="P33" s="203"/>
      <c r="Q33" s="202">
        <v>0</v>
      </c>
      <c r="R33" s="203"/>
      <c r="S33" s="202">
        <f>+O33</f>
        <v>188644</v>
      </c>
      <c r="T33" s="203"/>
      <c r="U33" s="202">
        <f>+U12*$K12</f>
        <v>0</v>
      </c>
      <c r="V33" s="203"/>
      <c r="W33" s="202">
        <f>+W12*$K12</f>
        <v>0</v>
      </c>
      <c r="X33" s="203"/>
      <c r="Y33" s="202">
        <f>+Y12*$K12</f>
        <v>0</v>
      </c>
      <c r="Z33" s="203"/>
      <c r="AA33" s="202">
        <f>+AA12*$K12</f>
        <v>0</v>
      </c>
      <c r="AB33" s="203"/>
      <c r="AC33" s="202">
        <f>+AC12*$K12</f>
        <v>0</v>
      </c>
      <c r="AD33" s="203"/>
      <c r="AE33" s="202">
        <f>+AE12*$K12</f>
        <v>0</v>
      </c>
      <c r="AF33" s="203"/>
      <c r="AG33" s="202">
        <f>+AG12*$K12</f>
        <v>0</v>
      </c>
      <c r="AH33" s="204"/>
      <c r="AI33" s="202">
        <f>+AI12*$K12</f>
        <v>0</v>
      </c>
      <c r="AJ33" s="204"/>
      <c r="AK33" s="202">
        <f>+AK12*$K12</f>
        <v>0</v>
      </c>
      <c r="AL33" s="202"/>
      <c r="AM33" s="202">
        <f>+AM12*$K12</f>
        <v>0</v>
      </c>
      <c r="AN33" s="203"/>
      <c r="AO33" s="202">
        <f>+AO12*$K12</f>
        <v>0</v>
      </c>
      <c r="AP33" s="205"/>
      <c r="AQ33" s="205">
        <f>SUM(Q33:AK33)</f>
        <v>188644</v>
      </c>
      <c r="AR33" s="205">
        <f>AQ33-O33</f>
        <v>0</v>
      </c>
      <c r="AS33" s="205"/>
      <c r="AT33" s="196">
        <f>O33*SUM(AU33:AV33)</f>
        <v>886.6268</v>
      </c>
      <c r="AU33" s="206"/>
      <c r="AV33" s="207">
        <f>D33</f>
        <v>4.7000000000000002E-3</v>
      </c>
      <c r="AW33" s="196">
        <f>O33</f>
        <v>188644</v>
      </c>
      <c r="AX33" s="245">
        <f t="shared" si="0"/>
        <v>188644</v>
      </c>
      <c r="AY33" s="245">
        <f t="shared" si="1"/>
        <v>0</v>
      </c>
      <c r="AZ33" s="36"/>
      <c r="BA33" s="36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</row>
    <row r="34" spans="1:70" x14ac:dyDescent="0.2">
      <c r="A34" s="195" t="s">
        <v>210</v>
      </c>
      <c r="B34" s="196">
        <v>172</v>
      </c>
      <c r="C34" s="196"/>
      <c r="D34" s="197">
        <v>5.1000000000000004E-3</v>
      </c>
      <c r="E34" s="198"/>
      <c r="F34" s="198"/>
      <c r="G34" s="199">
        <v>37013</v>
      </c>
      <c r="H34" s="196"/>
      <c r="I34" s="200"/>
      <c r="J34" s="196" t="s">
        <v>282</v>
      </c>
      <c r="K34" s="196"/>
      <c r="L34" s="196"/>
      <c r="M34" s="103">
        <v>0</v>
      </c>
      <c r="N34" s="196"/>
      <c r="O34" s="202">
        <f>+O13*$K13</f>
        <v>188644</v>
      </c>
      <c r="P34" s="203"/>
      <c r="Q34" s="202">
        <f>+Q13*$K13</f>
        <v>0</v>
      </c>
      <c r="R34" s="203"/>
      <c r="S34" s="202">
        <f>+S13*$K13</f>
        <v>188644</v>
      </c>
      <c r="T34" s="203"/>
      <c r="U34" s="202">
        <f>+U13*$K13</f>
        <v>0</v>
      </c>
      <c r="V34" s="203"/>
      <c r="W34" s="202">
        <f>+W13*$K13</f>
        <v>0</v>
      </c>
      <c r="X34" s="203"/>
      <c r="Y34" s="202">
        <f>+Y13*$K13</f>
        <v>0</v>
      </c>
      <c r="Z34" s="203"/>
      <c r="AA34" s="202">
        <f>+AA13*$K13</f>
        <v>0</v>
      </c>
      <c r="AB34" s="203"/>
      <c r="AC34" s="202">
        <f>+AC13*$K13</f>
        <v>0</v>
      </c>
      <c r="AD34" s="203"/>
      <c r="AE34" s="202">
        <f>+AE13*$K13</f>
        <v>0</v>
      </c>
      <c r="AF34" s="203"/>
      <c r="AG34" s="202">
        <f>+AG13*$K13</f>
        <v>0</v>
      </c>
      <c r="AH34" s="204"/>
      <c r="AI34" s="202">
        <f>+AI13*$K13</f>
        <v>0</v>
      </c>
      <c r="AJ34" s="204"/>
      <c r="AK34" s="202">
        <f>+AK13*$K13</f>
        <v>0</v>
      </c>
      <c r="AL34" s="202"/>
      <c r="AM34" s="202">
        <f>+AM13*$K13</f>
        <v>0</v>
      </c>
      <c r="AN34" s="203"/>
      <c r="AO34" s="202">
        <f>+AO13*$K13</f>
        <v>0</v>
      </c>
      <c r="AP34" s="205"/>
      <c r="AQ34" s="205">
        <f>SUM(Q34:AK34)</f>
        <v>188644</v>
      </c>
      <c r="AR34" s="205">
        <f>AQ34-O34</f>
        <v>0</v>
      </c>
      <c r="AS34" s="205"/>
      <c r="AT34" s="196">
        <f>O34*SUM(AU34:AV34)</f>
        <v>962.08440000000007</v>
      </c>
      <c r="AU34" s="206"/>
      <c r="AV34" s="207">
        <f>D34</f>
        <v>5.1000000000000004E-3</v>
      </c>
      <c r="AW34" s="196">
        <f>O34</f>
        <v>188644</v>
      </c>
      <c r="AX34" s="245">
        <f t="shared" si="0"/>
        <v>188644</v>
      </c>
      <c r="AY34" s="245">
        <f t="shared" si="1"/>
        <v>0</v>
      </c>
      <c r="AZ34" s="36"/>
      <c r="BA34" s="36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</row>
    <row r="35" spans="1:70" x14ac:dyDescent="0.2">
      <c r="A35" s="195" t="s">
        <v>210</v>
      </c>
      <c r="B35" s="196">
        <v>175</v>
      </c>
      <c r="C35" s="196"/>
      <c r="D35" s="197">
        <v>4.7999999999999996E-3</v>
      </c>
      <c r="E35" s="198"/>
      <c r="F35" s="198"/>
      <c r="G35" s="199">
        <v>37028</v>
      </c>
      <c r="H35" s="196"/>
      <c r="I35" s="200"/>
      <c r="J35" s="196" t="s">
        <v>283</v>
      </c>
      <c r="K35" s="196"/>
      <c r="L35" s="196"/>
      <c r="M35" s="103">
        <v>0</v>
      </c>
      <c r="N35" s="196"/>
      <c r="O35" s="202">
        <f>+O14*$K14</f>
        <v>188644</v>
      </c>
      <c r="P35" s="203"/>
      <c r="Q35" s="202">
        <f>+Q14*$K14</f>
        <v>0</v>
      </c>
      <c r="R35" s="203"/>
      <c r="S35" s="202">
        <f>+S14*$K14</f>
        <v>188644</v>
      </c>
      <c r="T35" s="203"/>
      <c r="U35" s="202">
        <f>+U14*$K14</f>
        <v>0</v>
      </c>
      <c r="V35" s="203"/>
      <c r="W35" s="202">
        <f>+W14*$K14</f>
        <v>0</v>
      </c>
      <c r="X35" s="203"/>
      <c r="Y35" s="202">
        <f>+Y14*$K14</f>
        <v>0</v>
      </c>
      <c r="Z35" s="203"/>
      <c r="AA35" s="202">
        <f>+AA14*$K14</f>
        <v>0</v>
      </c>
      <c r="AB35" s="203"/>
      <c r="AC35" s="202">
        <f>+AC14*$K14</f>
        <v>0</v>
      </c>
      <c r="AD35" s="203"/>
      <c r="AE35" s="202">
        <f>+AE14*$K14</f>
        <v>0</v>
      </c>
      <c r="AF35" s="203"/>
      <c r="AG35" s="202">
        <f>+AG14*$K14</f>
        <v>0</v>
      </c>
      <c r="AH35" s="204"/>
      <c r="AI35" s="202">
        <f>+AI14*$K14</f>
        <v>0</v>
      </c>
      <c r="AJ35" s="204"/>
      <c r="AK35" s="202">
        <f>+AK14*$K14</f>
        <v>0</v>
      </c>
      <c r="AL35" s="202"/>
      <c r="AM35" s="202">
        <f>+AM14*$K14</f>
        <v>0</v>
      </c>
      <c r="AN35" s="203"/>
      <c r="AO35" s="202">
        <f>+AO14*$K14</f>
        <v>0</v>
      </c>
      <c r="AP35" s="205"/>
      <c r="AQ35" s="205">
        <f>SUM(Q35:AK35)</f>
        <v>188644</v>
      </c>
      <c r="AR35" s="205">
        <f>AQ35-O35</f>
        <v>0</v>
      </c>
      <c r="AS35" s="205"/>
      <c r="AT35" s="196">
        <f>O35*SUM(AU35:AV35)</f>
        <v>905.49119999999994</v>
      </c>
      <c r="AU35" s="206"/>
      <c r="AV35" s="207">
        <f>D35</f>
        <v>4.7999999999999996E-3</v>
      </c>
      <c r="AW35" s="196">
        <f>O35</f>
        <v>188644</v>
      </c>
      <c r="AX35" s="245">
        <f t="shared" si="0"/>
        <v>188644</v>
      </c>
      <c r="AY35" s="245">
        <f t="shared" si="1"/>
        <v>0</v>
      </c>
      <c r="AZ35" s="36"/>
      <c r="BA35" s="36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</row>
    <row r="36" spans="1:70" x14ac:dyDescent="0.2">
      <c r="A36" s="195" t="s">
        <v>210</v>
      </c>
      <c r="B36" s="196">
        <v>157</v>
      </c>
      <c r="C36" s="196"/>
      <c r="D36" s="209">
        <v>4.3749999999999997E-2</v>
      </c>
      <c r="E36" s="198"/>
      <c r="F36" s="198"/>
      <c r="G36" s="210" t="s">
        <v>59</v>
      </c>
      <c r="H36" s="196"/>
      <c r="I36" s="198" t="s">
        <v>43</v>
      </c>
      <c r="J36" s="211" t="s">
        <v>191</v>
      </c>
      <c r="K36" s="196"/>
      <c r="L36" s="196"/>
      <c r="M36" s="103">
        <v>430000</v>
      </c>
      <c r="N36" s="196"/>
      <c r="O36" s="202">
        <f>+O$10*$K$10</f>
        <v>430000</v>
      </c>
      <c r="P36" s="213"/>
      <c r="Q36" s="202">
        <f>+Q$10*$K$10</f>
        <v>0</v>
      </c>
      <c r="R36" s="213"/>
      <c r="S36" s="202">
        <f>+S$10*$K$10</f>
        <v>0</v>
      </c>
      <c r="T36" s="213"/>
      <c r="U36" s="202">
        <f>+U$10*$K$10</f>
        <v>0</v>
      </c>
      <c r="V36" s="213"/>
      <c r="W36" s="202">
        <f>+W$10*$K$10</f>
        <v>0</v>
      </c>
      <c r="X36" s="213"/>
      <c r="Y36" s="202">
        <f>+Y$10*$K$10</f>
        <v>0</v>
      </c>
      <c r="Z36" s="213"/>
      <c r="AA36" s="202">
        <f>+AA$10*$K$10</f>
        <v>430000</v>
      </c>
      <c r="AB36" s="213"/>
      <c r="AC36" s="202">
        <f>+AC$10*$K$10</f>
        <v>0</v>
      </c>
      <c r="AD36" s="213"/>
      <c r="AE36" s="202">
        <f>+AE$10*$K$10</f>
        <v>0</v>
      </c>
      <c r="AF36" s="213"/>
      <c r="AG36" s="202">
        <f>+AG$10*$K$10</f>
        <v>0</v>
      </c>
      <c r="AH36" s="213"/>
      <c r="AI36" s="202">
        <f>+AI$10*$K$10</f>
        <v>0</v>
      </c>
      <c r="AJ36" s="213"/>
      <c r="AK36" s="202">
        <f>+AK$10*$K$10</f>
        <v>0</v>
      </c>
      <c r="AL36" s="202"/>
      <c r="AM36" s="202">
        <f>+AM$10*$K$10</f>
        <v>0</v>
      </c>
      <c r="AN36" s="213"/>
      <c r="AO36" s="202">
        <f>+AO$10*$K$10</f>
        <v>0</v>
      </c>
      <c r="AP36" s="196"/>
      <c r="AQ36" s="196">
        <f>SUM(Q36:AK36)</f>
        <v>430000</v>
      </c>
      <c r="AR36" s="196">
        <f>AQ36-O36</f>
        <v>0</v>
      </c>
      <c r="AS36" s="196"/>
      <c r="AT36" s="196">
        <f>O36*SUM(AU36:AV36)</f>
        <v>18812.5</v>
      </c>
      <c r="AU36" s="214"/>
      <c r="AV36" s="207">
        <f>D36</f>
        <v>4.3749999999999997E-2</v>
      </c>
      <c r="AW36" s="196">
        <f>O36</f>
        <v>430000</v>
      </c>
      <c r="AX36" s="245">
        <f t="shared" si="0"/>
        <v>430000</v>
      </c>
      <c r="AY36" s="245">
        <f t="shared" si="1"/>
        <v>0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</row>
    <row r="37" spans="1:70" ht="9.9499999999999993" customHeight="1" x14ac:dyDescent="0.2">
      <c r="A37" s="195"/>
      <c r="B37" s="196"/>
      <c r="C37" s="196"/>
      <c r="D37" s="197"/>
      <c r="E37" s="198"/>
      <c r="F37" s="198"/>
      <c r="G37" s="199"/>
      <c r="H37" s="196"/>
      <c r="I37" s="200"/>
      <c r="J37" s="196"/>
      <c r="K37" s="196"/>
      <c r="L37" s="196"/>
      <c r="M37" s="201" t="s">
        <v>288</v>
      </c>
      <c r="N37" s="196"/>
      <c r="O37" s="202">
        <v>-3</v>
      </c>
      <c r="P37" s="203"/>
      <c r="Q37" s="202"/>
      <c r="R37" s="203"/>
      <c r="S37" s="202">
        <f>+O37</f>
        <v>-3</v>
      </c>
      <c r="T37" s="203"/>
      <c r="U37" s="202"/>
      <c r="V37" s="203"/>
      <c r="W37" s="202"/>
      <c r="X37" s="203"/>
      <c r="Y37" s="202"/>
      <c r="Z37" s="203"/>
      <c r="AA37" s="202"/>
      <c r="AB37" s="203"/>
      <c r="AC37" s="202"/>
      <c r="AD37" s="203"/>
      <c r="AE37" s="202"/>
      <c r="AF37" s="203"/>
      <c r="AG37" s="202"/>
      <c r="AH37" s="204"/>
      <c r="AI37" s="202"/>
      <c r="AJ37" s="204"/>
      <c r="AK37" s="202"/>
      <c r="AL37" s="202"/>
      <c r="AM37" s="202"/>
      <c r="AN37" s="203"/>
      <c r="AO37" s="202"/>
      <c r="AP37" s="205"/>
      <c r="AQ37" s="205"/>
      <c r="AR37" s="205"/>
      <c r="AS37" s="205"/>
      <c r="AT37" s="196"/>
      <c r="AU37" s="206"/>
      <c r="AV37" s="207"/>
      <c r="AW37" s="196"/>
      <c r="AX37" s="245">
        <f t="shared" si="0"/>
        <v>-3</v>
      </c>
      <c r="AY37" s="245">
        <f t="shared" si="1"/>
        <v>0</v>
      </c>
      <c r="AZ37" s="36"/>
      <c r="BA37" s="36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</row>
    <row r="38" spans="1:70" x14ac:dyDescent="0.2">
      <c r="A38" s="122" t="s">
        <v>210</v>
      </c>
      <c r="B38" s="102">
        <v>121</v>
      </c>
      <c r="C38" s="102"/>
      <c r="D38" s="100">
        <v>9.6500000000000002E-2</v>
      </c>
      <c r="E38" s="101"/>
      <c r="F38" s="101"/>
      <c r="G38" s="101" t="s">
        <v>45</v>
      </c>
      <c r="H38" s="102"/>
      <c r="I38" s="101" t="s">
        <v>43</v>
      </c>
      <c r="J38" s="102"/>
      <c r="K38" s="101" t="s">
        <v>46</v>
      </c>
      <c r="M38" s="103">
        <v>99993</v>
      </c>
      <c r="O38" s="103">
        <v>99993</v>
      </c>
      <c r="P38" s="26"/>
      <c r="Q38" s="103">
        <v>0</v>
      </c>
      <c r="R38" s="26"/>
      <c r="S38" s="103">
        <f>+$O38</f>
        <v>99993</v>
      </c>
      <c r="T38" s="26"/>
      <c r="U38" s="103">
        <v>0</v>
      </c>
      <c r="V38" s="26"/>
      <c r="W38" s="103">
        <v>0</v>
      </c>
      <c r="X38" s="26"/>
      <c r="Y38" s="103">
        <v>0</v>
      </c>
      <c r="Z38" s="26"/>
      <c r="AA38" s="103">
        <v>0</v>
      </c>
      <c r="AB38" s="26"/>
      <c r="AC38" s="103">
        <v>0</v>
      </c>
      <c r="AD38" s="26"/>
      <c r="AE38" s="103">
        <v>0</v>
      </c>
      <c r="AF38" s="26"/>
      <c r="AG38" s="103">
        <v>0</v>
      </c>
      <c r="AH38" s="29"/>
      <c r="AI38" s="103">
        <v>0</v>
      </c>
      <c r="AJ38" s="29"/>
      <c r="AK38" s="103">
        <v>0</v>
      </c>
      <c r="AL38" s="103"/>
      <c r="AM38" s="103">
        <v>0</v>
      </c>
      <c r="AN38" s="29"/>
      <c r="AO38" s="103">
        <v>0</v>
      </c>
      <c r="AQ38">
        <f t="shared" ref="AQ38:AQ60" si="2">SUM(Q38:AK38)</f>
        <v>99993</v>
      </c>
      <c r="AR38" s="7">
        <f t="shared" ref="AR38:AR60" si="3">AQ38-O38</f>
        <v>0</v>
      </c>
      <c r="AT38" s="7">
        <f t="shared" ref="AT38:AT60" si="4">O38*SUM(AU38:AV38)</f>
        <v>9649.3245000000006</v>
      </c>
      <c r="AV38" s="12">
        <f t="shared" ref="AV38:AV60" si="5">D38</f>
        <v>9.6500000000000002E-2</v>
      </c>
      <c r="AW38" s="7">
        <f t="shared" ref="AW38:AW60" si="6">O38</f>
        <v>99993</v>
      </c>
      <c r="AX38" s="31">
        <f t="shared" ref="AX38:AX60" si="7">SUM(Q38:AP38)</f>
        <v>99993</v>
      </c>
      <c r="AY38" s="31">
        <f t="shared" ref="AY38:AY60" si="8">+O38-AX38</f>
        <v>0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</row>
    <row r="39" spans="1:70" x14ac:dyDescent="0.2">
      <c r="A39" s="122" t="s">
        <v>210</v>
      </c>
      <c r="B39" s="102">
        <v>122</v>
      </c>
      <c r="C39" s="102"/>
      <c r="D39" s="100">
        <v>9.5000000000000001E-2</v>
      </c>
      <c r="E39" s="112"/>
      <c r="F39" s="112"/>
      <c r="G39" s="101" t="s">
        <v>47</v>
      </c>
      <c r="H39" s="102"/>
      <c r="I39" s="101" t="s">
        <v>43</v>
      </c>
      <c r="J39" s="102"/>
      <c r="K39" s="101" t="s">
        <v>46</v>
      </c>
      <c r="M39" s="103">
        <v>100000</v>
      </c>
      <c r="O39" s="103">
        <v>100000</v>
      </c>
      <c r="P39" s="26"/>
      <c r="Q39" s="103">
        <v>0</v>
      </c>
      <c r="R39" s="26"/>
      <c r="S39" s="103">
        <f>+$O39</f>
        <v>100000</v>
      </c>
      <c r="T39" s="26"/>
      <c r="U39" s="103">
        <v>0</v>
      </c>
      <c r="V39" s="26"/>
      <c r="W39" s="103">
        <v>0</v>
      </c>
      <c r="X39" s="26"/>
      <c r="Y39" s="103">
        <v>0</v>
      </c>
      <c r="Z39" s="26"/>
      <c r="AA39" s="103">
        <v>0</v>
      </c>
      <c r="AB39" s="26"/>
      <c r="AC39" s="103">
        <v>0</v>
      </c>
      <c r="AD39" s="26"/>
      <c r="AE39" s="103">
        <v>0</v>
      </c>
      <c r="AF39" s="26"/>
      <c r="AG39" s="103">
        <v>0</v>
      </c>
      <c r="AH39" s="29"/>
      <c r="AI39" s="103">
        <v>0</v>
      </c>
      <c r="AJ39" s="29"/>
      <c r="AK39" s="103">
        <v>0</v>
      </c>
      <c r="AL39" s="103"/>
      <c r="AM39" s="103">
        <v>0</v>
      </c>
      <c r="AN39" s="29"/>
      <c r="AO39" s="103">
        <v>0</v>
      </c>
      <c r="AQ39">
        <f t="shared" si="2"/>
        <v>100000</v>
      </c>
      <c r="AR39" s="7">
        <f t="shared" si="3"/>
        <v>0</v>
      </c>
      <c r="AT39" s="7">
        <f t="shared" si="4"/>
        <v>9500</v>
      </c>
      <c r="AV39" s="12">
        <f t="shared" si="5"/>
        <v>9.5000000000000001E-2</v>
      </c>
      <c r="AW39" s="7">
        <f t="shared" si="6"/>
        <v>100000</v>
      </c>
      <c r="AX39" s="31">
        <f t="shared" si="7"/>
        <v>100000</v>
      </c>
      <c r="AY39" s="31">
        <f t="shared" si="8"/>
        <v>0</v>
      </c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</row>
    <row r="40" spans="1:70" x14ac:dyDescent="0.2">
      <c r="A40" s="122" t="s">
        <v>210</v>
      </c>
      <c r="B40" s="102">
        <v>148</v>
      </c>
      <c r="C40" s="102"/>
      <c r="D40" s="100">
        <v>6.4500000000000002E-2</v>
      </c>
      <c r="E40" s="112"/>
      <c r="F40" s="112"/>
      <c r="G40" s="115" t="s">
        <v>48</v>
      </c>
      <c r="H40" s="102"/>
      <c r="I40" s="101" t="s">
        <v>43</v>
      </c>
      <c r="J40" s="102"/>
      <c r="K40" s="101" t="s">
        <v>43</v>
      </c>
      <c r="M40" s="105">
        <v>297680</v>
      </c>
      <c r="O40" s="105">
        <v>297680</v>
      </c>
      <c r="P40" s="26"/>
      <c r="Q40" s="105">
        <v>0</v>
      </c>
      <c r="R40" s="26"/>
      <c r="S40" s="105">
        <f>+$O40</f>
        <v>297680</v>
      </c>
      <c r="T40" s="27"/>
      <c r="U40" s="105">
        <v>0</v>
      </c>
      <c r="V40" s="27"/>
      <c r="W40" s="105">
        <v>0</v>
      </c>
      <c r="X40" s="27"/>
      <c r="Y40" s="105">
        <v>0</v>
      </c>
      <c r="Z40" s="27"/>
      <c r="AA40" s="105">
        <v>0</v>
      </c>
      <c r="AB40" s="27"/>
      <c r="AC40" s="105">
        <v>0</v>
      </c>
      <c r="AD40" s="27"/>
      <c r="AE40" s="105">
        <v>0</v>
      </c>
      <c r="AF40" s="27"/>
      <c r="AG40" s="105">
        <v>0</v>
      </c>
      <c r="AH40" s="28"/>
      <c r="AI40" s="105">
        <v>0</v>
      </c>
      <c r="AJ40" s="29"/>
      <c r="AK40" s="105">
        <v>0</v>
      </c>
      <c r="AL40" s="105"/>
      <c r="AM40" s="105">
        <v>0</v>
      </c>
      <c r="AN40" s="29"/>
      <c r="AO40" s="105">
        <v>0</v>
      </c>
      <c r="AP40" s="30"/>
      <c r="AQ40">
        <f t="shared" si="2"/>
        <v>297680</v>
      </c>
      <c r="AR40" s="7">
        <f t="shared" si="3"/>
        <v>0</v>
      </c>
      <c r="AT40" s="7">
        <f t="shared" si="4"/>
        <v>19200.36</v>
      </c>
      <c r="AV40" s="12">
        <f t="shared" si="5"/>
        <v>6.4500000000000002E-2</v>
      </c>
      <c r="AW40" s="7">
        <f t="shared" si="6"/>
        <v>297680</v>
      </c>
      <c r="AX40" s="31">
        <f t="shared" si="7"/>
        <v>297680</v>
      </c>
      <c r="AY40" s="31">
        <f t="shared" si="8"/>
        <v>0</v>
      </c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</row>
    <row r="41" spans="1:70" x14ac:dyDescent="0.2">
      <c r="A41" s="122" t="s">
        <v>210</v>
      </c>
      <c r="B41" s="102">
        <v>143</v>
      </c>
      <c r="C41" s="102"/>
      <c r="D41" s="100">
        <v>6.5000000000000002E-2</v>
      </c>
      <c r="E41" s="112"/>
      <c r="F41" s="112"/>
      <c r="G41" s="115" t="s">
        <v>49</v>
      </c>
      <c r="H41" s="102"/>
      <c r="I41" s="101" t="s">
        <v>43</v>
      </c>
      <c r="J41" s="102"/>
      <c r="K41" s="101" t="s">
        <v>43</v>
      </c>
      <c r="M41" s="105">
        <v>150000</v>
      </c>
      <c r="O41" s="105">
        <v>150000</v>
      </c>
      <c r="P41" s="26"/>
      <c r="Q41" s="105">
        <v>0</v>
      </c>
      <c r="R41" s="26"/>
      <c r="S41" s="105">
        <v>0</v>
      </c>
      <c r="T41" s="27"/>
      <c r="U41" s="105">
        <f>+$O41</f>
        <v>150000</v>
      </c>
      <c r="V41" s="27"/>
      <c r="W41" s="105">
        <v>0</v>
      </c>
      <c r="X41" s="27"/>
      <c r="Y41" s="105">
        <v>0</v>
      </c>
      <c r="Z41" s="27"/>
      <c r="AA41" s="105">
        <v>0</v>
      </c>
      <c r="AB41" s="27"/>
      <c r="AC41" s="105">
        <v>0</v>
      </c>
      <c r="AD41" s="27"/>
      <c r="AE41" s="105">
        <v>0</v>
      </c>
      <c r="AF41" s="27"/>
      <c r="AG41" s="105">
        <v>0</v>
      </c>
      <c r="AH41" s="28"/>
      <c r="AI41" s="105">
        <v>0</v>
      </c>
      <c r="AJ41" s="29"/>
      <c r="AK41" s="105">
        <v>0</v>
      </c>
      <c r="AL41" s="105"/>
      <c r="AM41" s="105">
        <v>0</v>
      </c>
      <c r="AN41" s="29"/>
      <c r="AO41" s="105">
        <v>0</v>
      </c>
      <c r="AP41" s="30"/>
      <c r="AQ41">
        <f t="shared" si="2"/>
        <v>150000</v>
      </c>
      <c r="AR41" s="7">
        <f t="shared" si="3"/>
        <v>0</v>
      </c>
      <c r="AT41" s="7">
        <f t="shared" si="4"/>
        <v>9750</v>
      </c>
      <c r="AV41" s="12">
        <f t="shared" si="5"/>
        <v>6.5000000000000002E-2</v>
      </c>
      <c r="AW41" s="7">
        <f t="shared" si="6"/>
        <v>150000</v>
      </c>
      <c r="AX41" s="31">
        <f t="shared" si="7"/>
        <v>150000</v>
      </c>
      <c r="AY41" s="31">
        <f t="shared" si="8"/>
        <v>0</v>
      </c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1:70" x14ac:dyDescent="0.2">
      <c r="A42" s="122" t="s">
        <v>210</v>
      </c>
      <c r="B42" s="102">
        <v>124</v>
      </c>
      <c r="C42" s="102"/>
      <c r="D42" s="100">
        <v>9.1249999999999998E-2</v>
      </c>
      <c r="E42" s="112"/>
      <c r="F42" s="112"/>
      <c r="G42" s="101" t="s">
        <v>50</v>
      </c>
      <c r="H42" s="102"/>
      <c r="I42" s="101" t="s">
        <v>43</v>
      </c>
      <c r="J42" s="102"/>
      <c r="K42" s="101" t="s">
        <v>46</v>
      </c>
      <c r="M42" s="103">
        <v>194500</v>
      </c>
      <c r="O42" s="103">
        <v>187950</v>
      </c>
      <c r="P42" s="26"/>
      <c r="Q42" s="103">
        <v>0</v>
      </c>
      <c r="R42" s="26"/>
      <c r="S42" s="103">
        <v>0</v>
      </c>
      <c r="T42" s="26"/>
      <c r="U42" s="103">
        <v>0</v>
      </c>
      <c r="V42" s="26"/>
      <c r="W42" s="103">
        <f>+$O42</f>
        <v>187950</v>
      </c>
      <c r="X42" s="26"/>
      <c r="Y42" s="103">
        <v>0</v>
      </c>
      <c r="Z42" s="26"/>
      <c r="AA42" s="103">
        <v>0</v>
      </c>
      <c r="AB42" s="26"/>
      <c r="AC42" s="103">
        <v>0</v>
      </c>
      <c r="AD42" s="26"/>
      <c r="AE42" s="103">
        <v>0</v>
      </c>
      <c r="AF42" s="26"/>
      <c r="AG42" s="103">
        <v>0</v>
      </c>
      <c r="AH42" s="29"/>
      <c r="AI42" s="103">
        <v>0</v>
      </c>
      <c r="AJ42" s="29"/>
      <c r="AK42" s="103">
        <v>0</v>
      </c>
      <c r="AL42" s="103"/>
      <c r="AM42" s="103">
        <v>0</v>
      </c>
      <c r="AN42" s="29"/>
      <c r="AO42" s="103">
        <v>0</v>
      </c>
      <c r="AQ42">
        <f t="shared" si="2"/>
        <v>187950</v>
      </c>
      <c r="AR42" s="7">
        <f t="shared" si="3"/>
        <v>0</v>
      </c>
      <c r="AT42" s="7">
        <f t="shared" si="4"/>
        <v>17150.4375</v>
      </c>
      <c r="AV42" s="12">
        <f t="shared" si="5"/>
        <v>9.1249999999999998E-2</v>
      </c>
      <c r="AW42" s="7">
        <f t="shared" si="6"/>
        <v>187950</v>
      </c>
      <c r="AX42" s="31">
        <f t="shared" si="7"/>
        <v>187950</v>
      </c>
      <c r="AY42" s="31">
        <f t="shared" si="8"/>
        <v>0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1:70" x14ac:dyDescent="0.2">
      <c r="A43" s="122" t="s">
        <v>210</v>
      </c>
      <c r="B43" s="102">
        <v>101</v>
      </c>
      <c r="C43" s="102"/>
      <c r="D43" s="100">
        <v>9.8750000000000004E-2</v>
      </c>
      <c r="E43" s="112"/>
      <c r="F43" s="112"/>
      <c r="G43" s="101" t="s">
        <v>51</v>
      </c>
      <c r="H43" s="102"/>
      <c r="I43" s="101" t="s">
        <v>43</v>
      </c>
      <c r="J43" s="102"/>
      <c r="K43" s="101" t="s">
        <v>46</v>
      </c>
      <c r="M43" s="103">
        <v>100000</v>
      </c>
      <c r="O43" s="103">
        <v>100000</v>
      </c>
      <c r="P43" s="26"/>
      <c r="Q43" s="103">
        <v>0</v>
      </c>
      <c r="R43" s="26"/>
      <c r="S43" s="103">
        <v>0</v>
      </c>
      <c r="T43" s="26"/>
      <c r="U43" s="103">
        <v>0</v>
      </c>
      <c r="V43" s="26"/>
      <c r="W43" s="103">
        <f>+$O43</f>
        <v>100000</v>
      </c>
      <c r="X43" s="26"/>
      <c r="Y43" s="103">
        <v>0</v>
      </c>
      <c r="Z43" s="26"/>
      <c r="AA43" s="103">
        <v>0</v>
      </c>
      <c r="AB43" s="26"/>
      <c r="AC43" s="103">
        <v>0</v>
      </c>
      <c r="AD43" s="26"/>
      <c r="AE43" s="103">
        <v>0</v>
      </c>
      <c r="AF43" s="26"/>
      <c r="AG43" s="103">
        <v>0</v>
      </c>
      <c r="AH43" s="29"/>
      <c r="AI43" s="103">
        <v>0</v>
      </c>
      <c r="AJ43" s="29"/>
      <c r="AK43" s="103">
        <v>0</v>
      </c>
      <c r="AL43" s="103"/>
      <c r="AM43" s="103">
        <v>0</v>
      </c>
      <c r="AN43" s="29"/>
      <c r="AO43" s="103">
        <v>0</v>
      </c>
      <c r="AQ43">
        <f t="shared" si="2"/>
        <v>100000</v>
      </c>
      <c r="AR43" s="7">
        <f t="shared" si="3"/>
        <v>0</v>
      </c>
      <c r="AT43" s="7">
        <f t="shared" si="4"/>
        <v>9875</v>
      </c>
      <c r="AV43" s="12">
        <f t="shared" si="5"/>
        <v>9.8750000000000004E-2</v>
      </c>
      <c r="AW43" s="7">
        <f t="shared" si="6"/>
        <v>100000</v>
      </c>
      <c r="AX43" s="31">
        <f t="shared" si="7"/>
        <v>100000</v>
      </c>
      <c r="AY43" s="31">
        <f t="shared" si="8"/>
        <v>0</v>
      </c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</row>
    <row r="44" spans="1:70" x14ac:dyDescent="0.2">
      <c r="A44" s="122" t="s">
        <v>210</v>
      </c>
      <c r="B44" s="102">
        <v>145</v>
      </c>
      <c r="C44" s="102"/>
      <c r="D44" s="100">
        <v>6.6250000000000003E-2</v>
      </c>
      <c r="E44" s="120" t="s">
        <v>54</v>
      </c>
      <c r="F44" s="120"/>
      <c r="G44" s="115" t="s">
        <v>55</v>
      </c>
      <c r="H44" s="102"/>
      <c r="I44" s="115"/>
      <c r="J44" s="102"/>
      <c r="K44" s="115"/>
      <c r="M44" s="105">
        <v>74900</v>
      </c>
      <c r="O44" s="105">
        <v>74900</v>
      </c>
      <c r="P44" s="26"/>
      <c r="Q44" s="105">
        <v>0</v>
      </c>
      <c r="R44" s="26"/>
      <c r="S44" s="105">
        <v>0</v>
      </c>
      <c r="T44" s="27"/>
      <c r="U44" s="105">
        <v>0</v>
      </c>
      <c r="V44" s="27"/>
      <c r="W44" s="105">
        <f>+$O44</f>
        <v>74900</v>
      </c>
      <c r="X44" s="27"/>
      <c r="Y44" s="105">
        <v>0</v>
      </c>
      <c r="Z44" s="27"/>
      <c r="AA44" s="105">
        <v>0</v>
      </c>
      <c r="AB44" s="27"/>
      <c r="AC44" s="105">
        <v>0</v>
      </c>
      <c r="AD44" s="27"/>
      <c r="AE44" s="105">
        <v>0</v>
      </c>
      <c r="AF44" s="27"/>
      <c r="AG44" s="105">
        <v>0</v>
      </c>
      <c r="AH44" s="28"/>
      <c r="AI44" s="105">
        <v>0</v>
      </c>
      <c r="AJ44" s="29"/>
      <c r="AK44" s="105">
        <v>0</v>
      </c>
      <c r="AL44" s="105"/>
      <c r="AM44" s="105">
        <v>0</v>
      </c>
      <c r="AN44" s="29"/>
      <c r="AO44" s="105">
        <v>0</v>
      </c>
      <c r="AP44" s="30"/>
      <c r="AQ44">
        <f t="shared" si="2"/>
        <v>74900</v>
      </c>
      <c r="AR44" s="7">
        <f t="shared" si="3"/>
        <v>0</v>
      </c>
      <c r="AT44" s="7">
        <f t="shared" si="4"/>
        <v>4962.125</v>
      </c>
      <c r="AV44" s="12">
        <f t="shared" si="5"/>
        <v>6.6250000000000003E-2</v>
      </c>
      <c r="AW44" s="7">
        <f t="shared" si="6"/>
        <v>74900</v>
      </c>
      <c r="AX44" s="31">
        <f t="shared" si="7"/>
        <v>74900</v>
      </c>
      <c r="AY44" s="31">
        <f t="shared" si="8"/>
        <v>0</v>
      </c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</row>
    <row r="45" spans="1:70" x14ac:dyDescent="0.2">
      <c r="A45" s="122" t="s">
        <v>210</v>
      </c>
      <c r="B45" s="147">
        <v>163</v>
      </c>
      <c r="C45" s="147"/>
      <c r="D45" s="121">
        <v>7.0000000000000007E-2</v>
      </c>
      <c r="E45" s="112"/>
      <c r="F45" s="112"/>
      <c r="G45" s="133">
        <v>38001</v>
      </c>
      <c r="H45" s="102"/>
      <c r="I45" s="101" t="s">
        <v>43</v>
      </c>
      <c r="J45" s="142" t="s">
        <v>152</v>
      </c>
      <c r="K45" s="101" t="s">
        <v>46</v>
      </c>
      <c r="M45" s="103">
        <v>85000</v>
      </c>
      <c r="O45" s="103">
        <v>85000</v>
      </c>
      <c r="P45" s="26"/>
      <c r="Q45" s="103">
        <v>0</v>
      </c>
      <c r="R45" s="26"/>
      <c r="S45" s="103">
        <v>0</v>
      </c>
      <c r="T45" s="26"/>
      <c r="U45" s="103">
        <v>0</v>
      </c>
      <c r="V45" s="26"/>
      <c r="W45" s="103">
        <v>0</v>
      </c>
      <c r="X45" s="26"/>
      <c r="Y45" s="103">
        <v>85000</v>
      </c>
      <c r="Z45" s="26"/>
      <c r="AA45" s="103">
        <v>0</v>
      </c>
      <c r="AB45" s="26"/>
      <c r="AC45" s="103">
        <v>0</v>
      </c>
      <c r="AD45" s="26"/>
      <c r="AE45" s="103">
        <v>0</v>
      </c>
      <c r="AF45" s="26"/>
      <c r="AG45" s="103">
        <v>0</v>
      </c>
      <c r="AH45" s="29"/>
      <c r="AI45" s="103">
        <v>0</v>
      </c>
      <c r="AJ45" s="29"/>
      <c r="AK45" s="103">
        <v>0</v>
      </c>
      <c r="AL45" s="103"/>
      <c r="AM45" s="103">
        <v>0</v>
      </c>
      <c r="AN45" s="29"/>
      <c r="AO45" s="103">
        <v>0</v>
      </c>
      <c r="AQ45">
        <f t="shared" si="2"/>
        <v>85000</v>
      </c>
      <c r="AR45" s="7">
        <f t="shared" si="3"/>
        <v>0</v>
      </c>
      <c r="AT45" s="7" t="e">
        <f t="shared" si="4"/>
        <v>#REF!</v>
      </c>
      <c r="AV45" s="12" t="e">
        <f>#REF!</f>
        <v>#REF!</v>
      </c>
      <c r="AW45" s="7">
        <f>O45</f>
        <v>85000</v>
      </c>
      <c r="AX45" s="31">
        <f t="shared" si="7"/>
        <v>85000</v>
      </c>
      <c r="AY45" s="31">
        <f t="shared" si="8"/>
        <v>0</v>
      </c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1:70" x14ac:dyDescent="0.2">
      <c r="A46" s="122" t="s">
        <v>210</v>
      </c>
      <c r="B46" s="147"/>
      <c r="C46" s="147"/>
      <c r="D46" s="121">
        <v>7.0000000000000007E-2</v>
      </c>
      <c r="E46" s="112"/>
      <c r="F46" s="112"/>
      <c r="G46" s="133">
        <v>38001</v>
      </c>
      <c r="H46" s="102"/>
      <c r="I46" s="101" t="s">
        <v>43</v>
      </c>
      <c r="J46" s="142" t="s">
        <v>152</v>
      </c>
      <c r="K46" s="101" t="s">
        <v>43</v>
      </c>
      <c r="M46" s="103">
        <v>0</v>
      </c>
      <c r="O46" s="103">
        <v>49131</v>
      </c>
      <c r="P46" s="26"/>
      <c r="Q46" s="103">
        <v>0</v>
      </c>
      <c r="R46" s="26"/>
      <c r="S46" s="103">
        <v>0</v>
      </c>
      <c r="T46" s="26"/>
      <c r="U46" s="103">
        <v>0</v>
      </c>
      <c r="V46" s="26"/>
      <c r="W46" s="103">
        <v>0</v>
      </c>
      <c r="X46" s="26"/>
      <c r="Y46" s="103">
        <f>+O46</f>
        <v>49131</v>
      </c>
      <c r="Z46" s="26"/>
      <c r="AA46" s="103">
        <v>0</v>
      </c>
      <c r="AB46" s="26"/>
      <c r="AC46" s="103">
        <v>0</v>
      </c>
      <c r="AD46" s="26"/>
      <c r="AE46" s="103">
        <v>0</v>
      </c>
      <c r="AF46" s="26"/>
      <c r="AG46" s="103">
        <v>0</v>
      </c>
      <c r="AH46" s="29"/>
      <c r="AI46" s="103">
        <v>0</v>
      </c>
      <c r="AJ46" s="29"/>
      <c r="AK46" s="103">
        <v>0</v>
      </c>
      <c r="AL46" s="103"/>
      <c r="AM46" s="103">
        <v>0</v>
      </c>
      <c r="AN46" s="29"/>
      <c r="AO46" s="103">
        <v>0</v>
      </c>
      <c r="AQ46">
        <f>SUM(Q46:AK46)</f>
        <v>49131</v>
      </c>
      <c r="AR46" s="7">
        <f>AQ46-O46</f>
        <v>0</v>
      </c>
      <c r="AT46" s="7" t="e">
        <f>O46*SUM(AU46:AV46)</f>
        <v>#REF!</v>
      </c>
      <c r="AV46" s="12" t="e">
        <f>#REF!</f>
        <v>#REF!</v>
      </c>
      <c r="AW46" s="7">
        <f>O46</f>
        <v>49131</v>
      </c>
      <c r="AX46" s="31">
        <f>SUM(Q46:AP46)</f>
        <v>49131</v>
      </c>
      <c r="AY46" s="31">
        <f>+O46-AX46</f>
        <v>0</v>
      </c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1:70" x14ac:dyDescent="0.2">
      <c r="A47" s="122" t="s">
        <v>210</v>
      </c>
      <c r="B47" s="102">
        <v>144</v>
      </c>
      <c r="C47" s="102"/>
      <c r="D47" s="100">
        <v>6.7500000000000004E-2</v>
      </c>
      <c r="E47" s="112"/>
      <c r="F47" s="112"/>
      <c r="G47" s="115" t="s">
        <v>56</v>
      </c>
      <c r="H47" s="102"/>
      <c r="I47" s="101" t="s">
        <v>43</v>
      </c>
      <c r="J47" s="102"/>
      <c r="K47" s="101" t="s">
        <v>43</v>
      </c>
      <c r="M47" s="105">
        <v>84875</v>
      </c>
      <c r="O47" s="105">
        <v>84875</v>
      </c>
      <c r="P47" s="26"/>
      <c r="Q47" s="105">
        <v>0</v>
      </c>
      <c r="R47" s="26"/>
      <c r="S47" s="105">
        <v>0</v>
      </c>
      <c r="T47" s="27"/>
      <c r="U47" s="105">
        <v>0</v>
      </c>
      <c r="V47" s="27"/>
      <c r="W47" s="105">
        <v>0</v>
      </c>
      <c r="X47" s="27"/>
      <c r="Y47" s="105">
        <f>+$O47</f>
        <v>84875</v>
      </c>
      <c r="Z47" s="27"/>
      <c r="AA47" s="105">
        <v>0</v>
      </c>
      <c r="AB47" s="27"/>
      <c r="AC47" s="105">
        <v>0</v>
      </c>
      <c r="AD47" s="27"/>
      <c r="AE47" s="105">
        <v>0</v>
      </c>
      <c r="AF47" s="27"/>
      <c r="AG47" s="105">
        <v>0</v>
      </c>
      <c r="AH47" s="28"/>
      <c r="AI47" s="105">
        <v>0</v>
      </c>
      <c r="AJ47" s="29"/>
      <c r="AK47" s="105">
        <v>0</v>
      </c>
      <c r="AL47" s="105"/>
      <c r="AM47" s="105">
        <v>0</v>
      </c>
      <c r="AN47" s="29"/>
      <c r="AO47" s="105">
        <v>0</v>
      </c>
      <c r="AP47" s="30"/>
      <c r="AQ47">
        <f t="shared" si="2"/>
        <v>84875</v>
      </c>
      <c r="AR47" s="7">
        <f t="shared" si="3"/>
        <v>0</v>
      </c>
      <c r="AT47" s="7">
        <f t="shared" si="4"/>
        <v>5729.0625</v>
      </c>
      <c r="AV47" s="12">
        <f t="shared" si="5"/>
        <v>6.7500000000000004E-2</v>
      </c>
      <c r="AW47" s="7">
        <f t="shared" si="6"/>
        <v>84875</v>
      </c>
      <c r="AX47" s="31">
        <f t="shared" si="7"/>
        <v>84875</v>
      </c>
      <c r="AY47" s="31">
        <f t="shared" si="8"/>
        <v>0</v>
      </c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1:70" x14ac:dyDescent="0.2">
      <c r="A48" s="122" t="s">
        <v>210</v>
      </c>
      <c r="B48" s="102">
        <v>127</v>
      </c>
      <c r="C48" s="102"/>
      <c r="D48" s="100">
        <v>7.6249999999999998E-2</v>
      </c>
      <c r="E48" s="112"/>
      <c r="F48" s="112"/>
      <c r="G48" s="101" t="s">
        <v>57</v>
      </c>
      <c r="H48" s="102"/>
      <c r="I48" s="101" t="s">
        <v>43</v>
      </c>
      <c r="J48" s="102"/>
      <c r="K48" s="101" t="s">
        <v>46</v>
      </c>
      <c r="M48" s="103">
        <v>188085</v>
      </c>
      <c r="O48" s="103">
        <v>188085</v>
      </c>
      <c r="P48" s="26"/>
      <c r="Q48" s="103">
        <v>0</v>
      </c>
      <c r="R48" s="26"/>
      <c r="S48" s="103">
        <v>0</v>
      </c>
      <c r="T48" s="26"/>
      <c r="U48" s="103">
        <v>0</v>
      </c>
      <c r="V48" s="26"/>
      <c r="W48" s="103">
        <v>0</v>
      </c>
      <c r="X48" s="26"/>
      <c r="Y48" s="103">
        <f>+$O48</f>
        <v>188085</v>
      </c>
      <c r="Z48" s="26"/>
      <c r="AA48" s="103">
        <v>0</v>
      </c>
      <c r="AB48" s="26"/>
      <c r="AC48" s="103">
        <v>0</v>
      </c>
      <c r="AD48" s="26"/>
      <c r="AE48" s="103">
        <v>0</v>
      </c>
      <c r="AF48" s="26"/>
      <c r="AG48" s="103">
        <v>0</v>
      </c>
      <c r="AH48" s="29"/>
      <c r="AI48" s="103">
        <v>0</v>
      </c>
      <c r="AJ48" s="29"/>
      <c r="AK48" s="103">
        <v>0</v>
      </c>
      <c r="AL48" s="103"/>
      <c r="AM48" s="103">
        <v>0</v>
      </c>
      <c r="AN48" s="29"/>
      <c r="AO48" s="103">
        <v>0</v>
      </c>
      <c r="AQ48">
        <f t="shared" si="2"/>
        <v>188085</v>
      </c>
      <c r="AR48" s="7">
        <f t="shared" si="3"/>
        <v>0</v>
      </c>
      <c r="AT48" s="7">
        <f t="shared" si="4"/>
        <v>14341.481249999999</v>
      </c>
      <c r="AV48" s="12">
        <f t="shared" si="5"/>
        <v>7.6249999999999998E-2</v>
      </c>
      <c r="AW48" s="7">
        <f t="shared" si="6"/>
        <v>188085</v>
      </c>
      <c r="AX48" s="31">
        <f t="shared" si="7"/>
        <v>188085</v>
      </c>
      <c r="AY48" s="31">
        <f t="shared" si="8"/>
        <v>0</v>
      </c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</row>
    <row r="49" spans="1:70" x14ac:dyDescent="0.2">
      <c r="A49" s="122" t="s">
        <v>210</v>
      </c>
      <c r="B49" s="102">
        <v>139</v>
      </c>
      <c r="C49" s="102"/>
      <c r="D49" s="100">
        <v>6.7500000000000004E-2</v>
      </c>
      <c r="E49" s="101"/>
      <c r="F49" s="101"/>
      <c r="G49" s="115" t="s">
        <v>58</v>
      </c>
      <c r="H49" s="102"/>
      <c r="I49" s="101" t="s">
        <v>43</v>
      </c>
      <c r="J49" s="102"/>
      <c r="K49" s="101" t="s">
        <v>46</v>
      </c>
      <c r="M49" s="134">
        <v>40000</v>
      </c>
      <c r="O49" s="134">
        <v>40000</v>
      </c>
      <c r="P49" s="29"/>
      <c r="Q49" s="134">
        <v>0</v>
      </c>
      <c r="R49" s="29"/>
      <c r="S49" s="134">
        <v>0</v>
      </c>
      <c r="T49" s="29"/>
      <c r="U49" s="134">
        <v>0</v>
      </c>
      <c r="V49" s="29"/>
      <c r="W49" s="134">
        <v>0</v>
      </c>
      <c r="X49" s="29"/>
      <c r="Y49" s="134">
        <f>+$O49</f>
        <v>40000</v>
      </c>
      <c r="Z49" s="29"/>
      <c r="AA49" s="134">
        <v>0</v>
      </c>
      <c r="AB49" s="29"/>
      <c r="AC49" s="134">
        <v>0</v>
      </c>
      <c r="AD49" s="29"/>
      <c r="AE49" s="134">
        <v>0</v>
      </c>
      <c r="AF49" s="29"/>
      <c r="AG49" s="134">
        <v>0</v>
      </c>
      <c r="AH49" s="29"/>
      <c r="AI49" s="134">
        <v>0</v>
      </c>
      <c r="AJ49" s="29"/>
      <c r="AK49" s="134">
        <v>0</v>
      </c>
      <c r="AL49" s="134"/>
      <c r="AM49" s="134">
        <v>0</v>
      </c>
      <c r="AN49" s="29"/>
      <c r="AO49" s="134">
        <v>0</v>
      </c>
      <c r="AQ49">
        <f t="shared" si="2"/>
        <v>40000</v>
      </c>
      <c r="AR49" s="7">
        <f t="shared" si="3"/>
        <v>0</v>
      </c>
      <c r="AT49" s="7">
        <f t="shared" si="4"/>
        <v>2700</v>
      </c>
      <c r="AV49" s="12">
        <f t="shared" si="5"/>
        <v>6.7500000000000004E-2</v>
      </c>
      <c r="AW49" s="7">
        <f t="shared" si="6"/>
        <v>40000</v>
      </c>
      <c r="AX49" s="31">
        <f t="shared" si="7"/>
        <v>40000</v>
      </c>
      <c r="AY49" s="31">
        <f t="shared" si="8"/>
        <v>0</v>
      </c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</row>
    <row r="50" spans="1:70" x14ac:dyDescent="0.2">
      <c r="A50" s="122" t="s">
        <v>210</v>
      </c>
      <c r="B50" s="102">
        <v>149</v>
      </c>
      <c r="C50" s="102"/>
      <c r="D50" s="100">
        <v>6.6250000000000003E-2</v>
      </c>
      <c r="E50" s="112"/>
      <c r="F50" s="112"/>
      <c r="G50" s="115" t="s">
        <v>62</v>
      </c>
      <c r="H50" s="102"/>
      <c r="I50" s="101" t="s">
        <v>43</v>
      </c>
      <c r="J50" s="102"/>
      <c r="K50" s="101" t="s">
        <v>43</v>
      </c>
      <c r="M50" s="105">
        <v>250000</v>
      </c>
      <c r="O50" s="105">
        <v>250000</v>
      </c>
      <c r="P50" s="26"/>
      <c r="Q50" s="105">
        <v>0</v>
      </c>
      <c r="R50" s="26"/>
      <c r="S50" s="105">
        <v>0</v>
      </c>
      <c r="T50" s="27"/>
      <c r="U50" s="105">
        <v>0</v>
      </c>
      <c r="V50" s="27"/>
      <c r="W50" s="105">
        <v>0</v>
      </c>
      <c r="X50" s="27"/>
      <c r="Y50" s="105">
        <v>0</v>
      </c>
      <c r="Z50" s="27"/>
      <c r="AA50" s="105">
        <f>+$O50</f>
        <v>250000</v>
      </c>
      <c r="AB50" s="27"/>
      <c r="AC50" s="105">
        <v>0</v>
      </c>
      <c r="AD50" s="27"/>
      <c r="AE50" s="105">
        <v>0</v>
      </c>
      <c r="AF50" s="27"/>
      <c r="AG50" s="105">
        <v>0</v>
      </c>
      <c r="AH50" s="28"/>
      <c r="AI50" s="105">
        <v>0</v>
      </c>
      <c r="AJ50" s="29"/>
      <c r="AK50" s="105">
        <v>0</v>
      </c>
      <c r="AL50" s="105"/>
      <c r="AM50" s="105">
        <v>0</v>
      </c>
      <c r="AN50" s="29"/>
      <c r="AO50" s="105">
        <v>0</v>
      </c>
      <c r="AP50" s="30"/>
      <c r="AQ50">
        <f t="shared" si="2"/>
        <v>250000</v>
      </c>
      <c r="AR50" s="7">
        <f t="shared" si="3"/>
        <v>0</v>
      </c>
      <c r="AT50" s="7">
        <f t="shared" si="4"/>
        <v>16562.5</v>
      </c>
      <c r="AV50" s="12">
        <f t="shared" si="5"/>
        <v>6.6250000000000003E-2</v>
      </c>
      <c r="AW50" s="7">
        <f t="shared" si="6"/>
        <v>250000</v>
      </c>
      <c r="AX50" s="31">
        <f t="shared" si="7"/>
        <v>250000</v>
      </c>
      <c r="AY50" s="31">
        <f t="shared" si="8"/>
        <v>0</v>
      </c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1:70" x14ac:dyDescent="0.2">
      <c r="A51" s="122" t="s">
        <v>210</v>
      </c>
      <c r="B51" s="102">
        <v>111</v>
      </c>
      <c r="C51" s="102"/>
      <c r="D51" s="100">
        <v>9.6250000000000002E-2</v>
      </c>
      <c r="E51" s="112"/>
      <c r="F51" s="112"/>
      <c r="G51" s="101" t="s">
        <v>63</v>
      </c>
      <c r="H51" s="102"/>
      <c r="I51" s="101" t="s">
        <v>43</v>
      </c>
      <c r="J51" s="102"/>
      <c r="K51" s="101" t="s">
        <v>46</v>
      </c>
      <c r="M51" s="103">
        <v>173800</v>
      </c>
      <c r="O51" s="103">
        <v>173800</v>
      </c>
      <c r="P51" s="26"/>
      <c r="Q51" s="103">
        <v>0</v>
      </c>
      <c r="R51" s="26"/>
      <c r="S51" s="103">
        <v>0</v>
      </c>
      <c r="T51" s="26"/>
      <c r="U51" s="103">
        <v>0</v>
      </c>
      <c r="V51" s="26"/>
      <c r="W51" s="103">
        <v>0</v>
      </c>
      <c r="X51" s="26"/>
      <c r="Y51" s="103">
        <v>0</v>
      </c>
      <c r="Z51" s="26"/>
      <c r="AA51" s="103">
        <v>0</v>
      </c>
      <c r="AB51" s="26"/>
      <c r="AC51" s="103">
        <f>+$O51</f>
        <v>173800</v>
      </c>
      <c r="AD51" s="26"/>
      <c r="AE51" s="103">
        <v>0</v>
      </c>
      <c r="AF51" s="26"/>
      <c r="AG51" s="103">
        <v>0</v>
      </c>
      <c r="AH51" s="29"/>
      <c r="AI51" s="103">
        <v>0</v>
      </c>
      <c r="AJ51" s="29"/>
      <c r="AK51" s="103">
        <v>0</v>
      </c>
      <c r="AL51" s="103"/>
      <c r="AM51" s="103">
        <v>0</v>
      </c>
      <c r="AN51" s="29"/>
      <c r="AO51" s="103">
        <v>0</v>
      </c>
      <c r="AQ51">
        <f t="shared" si="2"/>
        <v>173800</v>
      </c>
      <c r="AR51" s="7">
        <f t="shared" si="3"/>
        <v>0</v>
      </c>
      <c r="AT51" s="7">
        <f t="shared" si="4"/>
        <v>16728.25</v>
      </c>
      <c r="AV51" s="12">
        <f t="shared" si="5"/>
        <v>9.6250000000000002E-2</v>
      </c>
      <c r="AW51" s="7">
        <f t="shared" si="6"/>
        <v>173800</v>
      </c>
      <c r="AX51" s="31">
        <f t="shared" si="7"/>
        <v>173800</v>
      </c>
      <c r="AY51" s="31">
        <f t="shared" si="8"/>
        <v>0</v>
      </c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x14ac:dyDescent="0.2">
      <c r="A52" s="122" t="s">
        <v>210</v>
      </c>
      <c r="B52" s="102">
        <v>151</v>
      </c>
      <c r="C52" s="102"/>
      <c r="D52" s="100">
        <v>6.4000000000000001E-2</v>
      </c>
      <c r="E52" s="120" t="s">
        <v>64</v>
      </c>
      <c r="F52" s="120"/>
      <c r="G52" s="115" t="s">
        <v>65</v>
      </c>
      <c r="H52" s="102"/>
      <c r="I52" s="101"/>
      <c r="J52" s="102"/>
      <c r="K52" s="101"/>
      <c r="M52" s="103">
        <v>235730</v>
      </c>
      <c r="O52" s="103">
        <v>235730</v>
      </c>
      <c r="P52" s="26"/>
      <c r="Q52" s="103">
        <v>0</v>
      </c>
      <c r="R52" s="26"/>
      <c r="S52" s="103">
        <v>0</v>
      </c>
      <c r="T52" s="26"/>
      <c r="U52" s="103">
        <v>0</v>
      </c>
      <c r="V52" s="26"/>
      <c r="W52" s="103">
        <v>0</v>
      </c>
      <c r="X52" s="26"/>
      <c r="Y52" s="103">
        <v>0</v>
      </c>
      <c r="Z52" s="26"/>
      <c r="AA52" s="103">
        <v>0</v>
      </c>
      <c r="AB52" s="26"/>
      <c r="AC52" s="103">
        <f>+$O52</f>
        <v>235730</v>
      </c>
      <c r="AD52" s="26"/>
      <c r="AE52" s="103">
        <v>0</v>
      </c>
      <c r="AF52" s="26"/>
      <c r="AG52" s="103">
        <v>0</v>
      </c>
      <c r="AH52" s="29"/>
      <c r="AI52" s="103">
        <v>0</v>
      </c>
      <c r="AJ52" s="29"/>
      <c r="AK52" s="103">
        <v>0</v>
      </c>
      <c r="AL52" s="103"/>
      <c r="AM52" s="103">
        <v>0</v>
      </c>
      <c r="AN52" s="29"/>
      <c r="AO52" s="103">
        <v>0</v>
      </c>
      <c r="AQ52">
        <f t="shared" si="2"/>
        <v>235730</v>
      </c>
      <c r="AR52" s="7">
        <f t="shared" si="3"/>
        <v>0</v>
      </c>
      <c r="AT52" s="7">
        <f t="shared" si="4"/>
        <v>15086.720000000001</v>
      </c>
      <c r="AV52" s="12">
        <f t="shared" si="5"/>
        <v>6.4000000000000001E-2</v>
      </c>
      <c r="AW52" s="7">
        <f t="shared" si="6"/>
        <v>235730</v>
      </c>
      <c r="AX52" s="31">
        <f t="shared" si="7"/>
        <v>235730</v>
      </c>
      <c r="AY52" s="31">
        <f t="shared" si="8"/>
        <v>0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x14ac:dyDescent="0.2">
      <c r="A53" s="122" t="s">
        <v>210</v>
      </c>
      <c r="B53" s="102">
        <v>136</v>
      </c>
      <c r="C53" s="102"/>
      <c r="D53" s="100">
        <v>7.1249999999999994E-2</v>
      </c>
      <c r="E53" s="112"/>
      <c r="F53" s="112"/>
      <c r="G53" s="115" t="s">
        <v>66</v>
      </c>
      <c r="H53" s="102"/>
      <c r="I53" s="101" t="s">
        <v>43</v>
      </c>
      <c r="J53" s="102"/>
      <c r="K53" s="101" t="s">
        <v>46</v>
      </c>
      <c r="M53" s="134">
        <v>150000</v>
      </c>
      <c r="O53" s="134">
        <v>150000</v>
      </c>
      <c r="P53" s="29"/>
      <c r="Q53" s="134">
        <v>0</v>
      </c>
      <c r="R53" s="29"/>
      <c r="S53" s="134">
        <v>0</v>
      </c>
      <c r="T53" s="29"/>
      <c r="U53" s="134">
        <v>0</v>
      </c>
      <c r="V53" s="29"/>
      <c r="W53" s="134">
        <v>0</v>
      </c>
      <c r="X53" s="29"/>
      <c r="Y53" s="134">
        <v>0</v>
      </c>
      <c r="Z53" s="29"/>
      <c r="AA53" s="134">
        <v>0</v>
      </c>
      <c r="AB53" s="29"/>
      <c r="AC53" s="134">
        <v>0</v>
      </c>
      <c r="AD53" s="29"/>
      <c r="AE53" s="134">
        <f>+$O53</f>
        <v>150000</v>
      </c>
      <c r="AF53" s="29"/>
      <c r="AG53" s="134">
        <v>0</v>
      </c>
      <c r="AH53" s="29"/>
      <c r="AI53" s="134">
        <v>0</v>
      </c>
      <c r="AJ53" s="29"/>
      <c r="AK53" s="134">
        <v>0</v>
      </c>
      <c r="AL53" s="134"/>
      <c r="AM53" s="134">
        <v>0</v>
      </c>
      <c r="AN53" s="29"/>
      <c r="AO53" s="134">
        <v>0</v>
      </c>
      <c r="AQ53">
        <f t="shared" si="2"/>
        <v>150000</v>
      </c>
      <c r="AR53" s="7">
        <f t="shared" si="3"/>
        <v>0</v>
      </c>
      <c r="AT53" s="7">
        <f t="shared" si="4"/>
        <v>10687.499999999998</v>
      </c>
      <c r="AV53" s="12">
        <f t="shared" si="5"/>
        <v>7.1249999999999994E-2</v>
      </c>
      <c r="AW53" s="7">
        <f t="shared" si="6"/>
        <v>150000</v>
      </c>
      <c r="AX53" s="31">
        <f t="shared" si="7"/>
        <v>150000</v>
      </c>
      <c r="AY53" s="31">
        <f t="shared" si="8"/>
        <v>0</v>
      </c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x14ac:dyDescent="0.2">
      <c r="A54" s="122" t="s">
        <v>210</v>
      </c>
      <c r="B54" s="102">
        <v>140</v>
      </c>
      <c r="C54" s="102"/>
      <c r="D54" s="100">
        <v>6.8750000000000006E-2</v>
      </c>
      <c r="E54" s="101"/>
      <c r="F54" s="101"/>
      <c r="G54" s="115" t="s">
        <v>67</v>
      </c>
      <c r="H54" s="102"/>
      <c r="I54" s="101" t="s">
        <v>43</v>
      </c>
      <c r="J54" s="102"/>
      <c r="K54" s="101" t="s">
        <v>46</v>
      </c>
      <c r="M54" s="134">
        <v>90000</v>
      </c>
      <c r="O54" s="134">
        <v>90000</v>
      </c>
      <c r="P54" s="29"/>
      <c r="Q54" s="134">
        <v>0</v>
      </c>
      <c r="R54" s="29"/>
      <c r="S54" s="134">
        <v>0</v>
      </c>
      <c r="T54" s="29"/>
      <c r="U54" s="134">
        <v>0</v>
      </c>
      <c r="V54" s="29"/>
      <c r="W54" s="134">
        <v>0</v>
      </c>
      <c r="X54" s="29"/>
      <c r="Y54" s="134">
        <v>0</v>
      </c>
      <c r="Z54" s="29"/>
      <c r="AA54" s="134">
        <v>0</v>
      </c>
      <c r="AB54" s="29"/>
      <c r="AC54" s="134">
        <v>0</v>
      </c>
      <c r="AD54" s="29"/>
      <c r="AE54" s="134">
        <f>+$O54</f>
        <v>90000</v>
      </c>
      <c r="AF54" s="29"/>
      <c r="AG54" s="134">
        <v>0</v>
      </c>
      <c r="AH54" s="29"/>
      <c r="AI54" s="134">
        <v>0</v>
      </c>
      <c r="AJ54" s="29"/>
      <c r="AK54" s="134">
        <v>0</v>
      </c>
      <c r="AL54" s="134"/>
      <c r="AM54" s="134">
        <v>0</v>
      </c>
      <c r="AN54" s="29"/>
      <c r="AO54" s="134">
        <v>0</v>
      </c>
      <c r="AQ54">
        <f t="shared" si="2"/>
        <v>90000</v>
      </c>
      <c r="AR54" s="7">
        <f t="shared" si="3"/>
        <v>0</v>
      </c>
      <c r="AT54" s="7">
        <f t="shared" si="4"/>
        <v>6187.5000000000009</v>
      </c>
      <c r="AV54" s="12">
        <f t="shared" si="5"/>
        <v>6.8750000000000006E-2</v>
      </c>
      <c r="AW54" s="7">
        <f t="shared" si="6"/>
        <v>90000</v>
      </c>
      <c r="AX54" s="31">
        <f t="shared" si="7"/>
        <v>90000</v>
      </c>
      <c r="AY54" s="31">
        <f t="shared" si="8"/>
        <v>0</v>
      </c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</row>
    <row r="55" spans="1:70" x14ac:dyDescent="0.2">
      <c r="A55" s="122" t="s">
        <v>210</v>
      </c>
      <c r="B55" s="102">
        <v>146</v>
      </c>
      <c r="C55" s="102"/>
      <c r="D55" s="121">
        <v>6.7250000000000004E-2</v>
      </c>
      <c r="E55" s="101">
        <v>-17</v>
      </c>
      <c r="F55" s="101"/>
      <c r="G55" s="115" t="s">
        <v>68</v>
      </c>
      <c r="H55" s="102"/>
      <c r="I55" s="101" t="s">
        <v>43</v>
      </c>
      <c r="J55" s="102"/>
      <c r="K55" s="101" t="s">
        <v>43</v>
      </c>
      <c r="M55" s="105">
        <v>200000</v>
      </c>
      <c r="O55" s="105">
        <v>200000</v>
      </c>
      <c r="P55" s="26"/>
      <c r="Q55" s="105">
        <v>0</v>
      </c>
      <c r="R55" s="26"/>
      <c r="S55" s="105">
        <v>0</v>
      </c>
      <c r="T55" s="27"/>
      <c r="U55" s="105">
        <v>0</v>
      </c>
      <c r="V55" s="27"/>
      <c r="W55" s="105">
        <v>0</v>
      </c>
      <c r="X55" s="27"/>
      <c r="Y55" s="105">
        <v>0</v>
      </c>
      <c r="Z55" s="27"/>
      <c r="AA55" s="105">
        <v>0</v>
      </c>
      <c r="AB55" s="27"/>
      <c r="AC55" s="105">
        <v>0</v>
      </c>
      <c r="AD55" s="27"/>
      <c r="AE55" s="105">
        <v>0</v>
      </c>
      <c r="AF55" s="27"/>
      <c r="AG55" s="105">
        <f>+$O55</f>
        <v>200000</v>
      </c>
      <c r="AH55" s="28"/>
      <c r="AI55" s="105">
        <v>0</v>
      </c>
      <c r="AJ55" s="29"/>
      <c r="AK55" s="105">
        <v>0</v>
      </c>
      <c r="AL55" s="105"/>
      <c r="AM55" s="105">
        <v>0</v>
      </c>
      <c r="AN55" s="27"/>
      <c r="AO55" s="105">
        <v>0</v>
      </c>
      <c r="AP55" s="30"/>
      <c r="AQ55">
        <f t="shared" si="2"/>
        <v>200000</v>
      </c>
      <c r="AR55" s="7">
        <f t="shared" si="3"/>
        <v>0</v>
      </c>
      <c r="AT55" s="7">
        <f t="shared" si="4"/>
        <v>13450</v>
      </c>
      <c r="AV55" s="12">
        <f t="shared" si="5"/>
        <v>6.7250000000000004E-2</v>
      </c>
      <c r="AW55" s="7">
        <f t="shared" si="6"/>
        <v>200000</v>
      </c>
      <c r="AX55" s="31">
        <f t="shared" si="7"/>
        <v>200000</v>
      </c>
      <c r="AY55" s="31">
        <f t="shared" si="8"/>
        <v>0</v>
      </c>
      <c r="AZ55" s="36"/>
      <c r="BA55" s="36"/>
      <c r="BB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</row>
    <row r="56" spans="1:70" x14ac:dyDescent="0.2">
      <c r="A56" s="122" t="s">
        <v>210</v>
      </c>
      <c r="B56" s="102">
        <v>142</v>
      </c>
      <c r="C56" s="102"/>
      <c r="D56" s="100">
        <v>6.7500000000000004E-2</v>
      </c>
      <c r="E56" s="112" t="s">
        <v>69</v>
      </c>
      <c r="F56" s="112"/>
      <c r="G56" s="115" t="s">
        <v>70</v>
      </c>
      <c r="H56" s="102"/>
      <c r="I56" s="101" t="s">
        <v>43</v>
      </c>
      <c r="J56" s="102"/>
      <c r="K56" s="101" t="s">
        <v>46</v>
      </c>
      <c r="M56" s="105">
        <v>178500</v>
      </c>
      <c r="O56" s="105">
        <v>178500</v>
      </c>
      <c r="P56" s="26"/>
      <c r="Q56" s="105">
        <v>0</v>
      </c>
      <c r="R56" s="26"/>
      <c r="S56" s="105">
        <v>0</v>
      </c>
      <c r="T56" s="27"/>
      <c r="U56" s="105">
        <v>0</v>
      </c>
      <c r="V56" s="27"/>
      <c r="W56" s="105">
        <v>0</v>
      </c>
      <c r="X56" s="27"/>
      <c r="Y56" s="105">
        <v>0</v>
      </c>
      <c r="Z56" s="27"/>
      <c r="AA56" s="105">
        <v>0</v>
      </c>
      <c r="AB56" s="27"/>
      <c r="AC56" s="105">
        <v>0</v>
      </c>
      <c r="AD56" s="27"/>
      <c r="AE56" s="105">
        <v>0</v>
      </c>
      <c r="AF56" s="27"/>
      <c r="AG56" s="105">
        <v>0</v>
      </c>
      <c r="AH56" s="28"/>
      <c r="AI56" s="105">
        <f>+$O56</f>
        <v>178500</v>
      </c>
      <c r="AJ56" s="29"/>
      <c r="AK56" s="105">
        <v>0</v>
      </c>
      <c r="AL56" s="105"/>
      <c r="AM56" s="105">
        <v>0</v>
      </c>
      <c r="AN56" s="29"/>
      <c r="AO56" s="105">
        <v>0</v>
      </c>
      <c r="AP56" s="30"/>
      <c r="AQ56">
        <f t="shared" si="2"/>
        <v>178500</v>
      </c>
      <c r="AR56" s="7">
        <f t="shared" si="3"/>
        <v>0</v>
      </c>
      <c r="AT56" s="7">
        <f t="shared" si="4"/>
        <v>12048.75</v>
      </c>
      <c r="AV56" s="12">
        <f t="shared" si="5"/>
        <v>6.7500000000000004E-2</v>
      </c>
      <c r="AW56" s="7">
        <f t="shared" si="6"/>
        <v>178500</v>
      </c>
      <c r="AX56" s="31">
        <f t="shared" si="7"/>
        <v>178500</v>
      </c>
      <c r="AY56" s="31">
        <f t="shared" si="8"/>
        <v>0</v>
      </c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</row>
    <row r="57" spans="1:70" x14ac:dyDescent="0.2">
      <c r="A57" s="122" t="s">
        <v>210</v>
      </c>
      <c r="B57" s="102">
        <v>158</v>
      </c>
      <c r="C57" s="102"/>
      <c r="D57" s="100">
        <v>7.3749999999999996E-2</v>
      </c>
      <c r="E57" s="101"/>
      <c r="F57" s="101"/>
      <c r="G57" s="115" t="s">
        <v>72</v>
      </c>
      <c r="H57" s="102"/>
      <c r="I57" s="101" t="s">
        <v>43</v>
      </c>
      <c r="J57" s="102"/>
      <c r="K57" s="101" t="s">
        <v>46</v>
      </c>
      <c r="M57" s="103">
        <v>444800</v>
      </c>
      <c r="O57" s="103">
        <v>444800</v>
      </c>
      <c r="P57" s="26"/>
      <c r="Q57" s="103">
        <v>0</v>
      </c>
      <c r="R57" s="26"/>
      <c r="S57" s="103">
        <v>0</v>
      </c>
      <c r="T57" s="26"/>
      <c r="U57" s="103">
        <v>0</v>
      </c>
      <c r="V57" s="26"/>
      <c r="W57" s="103">
        <v>0</v>
      </c>
      <c r="X57" s="26"/>
      <c r="Y57" s="103">
        <v>0</v>
      </c>
      <c r="Z57" s="26"/>
      <c r="AA57" s="103">
        <v>0</v>
      </c>
      <c r="AB57" s="26"/>
      <c r="AC57" s="103">
        <v>0</v>
      </c>
      <c r="AD57" s="26"/>
      <c r="AE57" s="103">
        <v>0</v>
      </c>
      <c r="AF57" s="26"/>
      <c r="AG57" s="103">
        <v>0</v>
      </c>
      <c r="AH57" s="29"/>
      <c r="AI57" s="103">
        <v>0</v>
      </c>
      <c r="AJ57" s="29"/>
      <c r="AK57" s="105">
        <v>0</v>
      </c>
      <c r="AL57" s="103"/>
      <c r="AM57" s="103">
        <f>+$O57</f>
        <v>444800</v>
      </c>
      <c r="AN57" s="27"/>
      <c r="AO57" s="105">
        <v>0</v>
      </c>
      <c r="AQ57">
        <f t="shared" si="2"/>
        <v>0</v>
      </c>
      <c r="AR57" s="7">
        <f t="shared" si="3"/>
        <v>-444800</v>
      </c>
      <c r="AT57" s="7">
        <f t="shared" si="4"/>
        <v>32804</v>
      </c>
      <c r="AV57" s="12">
        <f t="shared" si="5"/>
        <v>7.3749999999999996E-2</v>
      </c>
      <c r="AW57" s="7">
        <f t="shared" si="6"/>
        <v>444800</v>
      </c>
      <c r="AX57" s="31">
        <f t="shared" si="7"/>
        <v>444800</v>
      </c>
      <c r="AY57" s="31">
        <f t="shared" si="8"/>
        <v>0</v>
      </c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</row>
    <row r="58" spans="1:70" x14ac:dyDescent="0.2">
      <c r="A58" s="122" t="s">
        <v>210</v>
      </c>
      <c r="B58" s="102">
        <v>133</v>
      </c>
      <c r="C58" s="102"/>
      <c r="D58" s="100">
        <v>7.0000000000000007E-2</v>
      </c>
      <c r="E58" s="112">
        <v>-1</v>
      </c>
      <c r="F58" s="112"/>
      <c r="G58" s="101" t="s">
        <v>75</v>
      </c>
      <c r="H58" s="102"/>
      <c r="I58" s="101"/>
      <c r="J58" s="102"/>
      <c r="K58" s="101"/>
      <c r="M58" s="134">
        <v>65000</v>
      </c>
      <c r="O58" s="134">
        <v>65000</v>
      </c>
      <c r="P58" s="29"/>
      <c r="Q58" s="134">
        <v>0</v>
      </c>
      <c r="R58" s="29"/>
      <c r="S58" s="134">
        <v>0</v>
      </c>
      <c r="T58" s="29"/>
      <c r="U58" s="134">
        <v>0</v>
      </c>
      <c r="V58" s="29"/>
      <c r="W58" s="134">
        <v>0</v>
      </c>
      <c r="X58" s="29"/>
      <c r="Y58" s="134">
        <v>0</v>
      </c>
      <c r="Z58" s="29"/>
      <c r="AA58" s="134">
        <v>0</v>
      </c>
      <c r="AB58" s="29"/>
      <c r="AC58" s="134">
        <v>0</v>
      </c>
      <c r="AD58" s="29"/>
      <c r="AE58" s="134">
        <v>0</v>
      </c>
      <c r="AF58" s="29"/>
      <c r="AG58" s="134">
        <v>0</v>
      </c>
      <c r="AH58" s="29"/>
      <c r="AI58" s="134">
        <v>0</v>
      </c>
      <c r="AJ58" s="29"/>
      <c r="AK58" s="105">
        <v>0</v>
      </c>
      <c r="AL58" s="134"/>
      <c r="AM58" s="134">
        <f>+$O58</f>
        <v>65000</v>
      </c>
      <c r="AN58" s="27"/>
      <c r="AO58" s="105">
        <v>0</v>
      </c>
      <c r="AQ58">
        <f t="shared" si="2"/>
        <v>0</v>
      </c>
      <c r="AR58" s="7">
        <f t="shared" si="3"/>
        <v>-65000</v>
      </c>
      <c r="AT58" s="7">
        <f t="shared" si="4"/>
        <v>4550</v>
      </c>
      <c r="AV58" s="12">
        <f t="shared" si="5"/>
        <v>7.0000000000000007E-2</v>
      </c>
      <c r="AW58" s="7">
        <f t="shared" si="6"/>
        <v>65000</v>
      </c>
      <c r="AX58" s="31">
        <f t="shared" si="7"/>
        <v>65000</v>
      </c>
      <c r="AY58" s="31">
        <f t="shared" si="8"/>
        <v>0</v>
      </c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</row>
    <row r="59" spans="1:70" x14ac:dyDescent="0.2">
      <c r="A59" s="122" t="s">
        <v>210</v>
      </c>
      <c r="B59" s="102">
        <v>152</v>
      </c>
      <c r="C59" s="102"/>
      <c r="D59" s="100">
        <v>6.9500000000000006E-2</v>
      </c>
      <c r="E59" s="120">
        <v>-14</v>
      </c>
      <c r="F59" s="120"/>
      <c r="G59" s="115" t="s">
        <v>76</v>
      </c>
      <c r="H59" s="102"/>
      <c r="I59" s="101"/>
      <c r="J59" s="102"/>
      <c r="K59" s="101"/>
      <c r="M59" s="134">
        <v>233710</v>
      </c>
      <c r="O59" s="134">
        <v>233710</v>
      </c>
      <c r="P59" s="29"/>
      <c r="Q59" s="134">
        <v>0</v>
      </c>
      <c r="R59" s="29"/>
      <c r="S59" s="134">
        <v>0</v>
      </c>
      <c r="T59" s="29"/>
      <c r="U59" s="134">
        <v>0</v>
      </c>
      <c r="V59" s="29"/>
      <c r="W59" s="134">
        <v>0</v>
      </c>
      <c r="X59" s="29"/>
      <c r="Y59" s="134">
        <v>0</v>
      </c>
      <c r="Z59" s="29"/>
      <c r="AA59" s="134">
        <v>0</v>
      </c>
      <c r="AB59" s="29"/>
      <c r="AC59" s="134">
        <v>0</v>
      </c>
      <c r="AD59" s="29"/>
      <c r="AE59" s="134">
        <v>0</v>
      </c>
      <c r="AF59" s="29"/>
      <c r="AG59" s="134">
        <v>0</v>
      </c>
      <c r="AH59" s="29"/>
      <c r="AI59" s="134">
        <v>0</v>
      </c>
      <c r="AJ59" s="29"/>
      <c r="AK59" s="105">
        <v>0</v>
      </c>
      <c r="AL59" s="134"/>
      <c r="AM59" s="134">
        <f>+$O59</f>
        <v>233710</v>
      </c>
      <c r="AN59" s="27"/>
      <c r="AO59" s="105">
        <v>0</v>
      </c>
      <c r="AQ59">
        <f t="shared" si="2"/>
        <v>0</v>
      </c>
      <c r="AR59" s="7">
        <f t="shared" si="3"/>
        <v>-233710</v>
      </c>
      <c r="AT59" s="7">
        <f t="shared" si="4"/>
        <v>16242.845000000001</v>
      </c>
      <c r="AV59" s="12">
        <f t="shared" si="5"/>
        <v>6.9500000000000006E-2</v>
      </c>
      <c r="AW59" s="7">
        <f t="shared" si="6"/>
        <v>233710</v>
      </c>
      <c r="AX59" s="31">
        <f t="shared" si="7"/>
        <v>233710</v>
      </c>
      <c r="AY59" s="31">
        <f t="shared" si="8"/>
        <v>0</v>
      </c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x14ac:dyDescent="0.2">
      <c r="A60" s="122" t="s">
        <v>210</v>
      </c>
      <c r="B60" s="102">
        <v>156</v>
      </c>
      <c r="C60" s="102"/>
      <c r="D60" s="100">
        <v>6.9500000000000006E-2</v>
      </c>
      <c r="E60" s="120"/>
      <c r="F60" s="120"/>
      <c r="G60" s="115" t="s">
        <v>76</v>
      </c>
      <c r="H60" s="102"/>
      <c r="I60" s="101"/>
      <c r="J60" s="102"/>
      <c r="K60" s="101"/>
      <c r="M60" s="134">
        <v>247450</v>
      </c>
      <c r="O60" s="134">
        <v>247450</v>
      </c>
      <c r="P60" s="29"/>
      <c r="Q60" s="134">
        <v>0</v>
      </c>
      <c r="R60" s="29"/>
      <c r="S60" s="134">
        <v>0</v>
      </c>
      <c r="T60" s="29"/>
      <c r="U60" s="134">
        <v>0</v>
      </c>
      <c r="V60" s="29"/>
      <c r="W60" s="134">
        <v>0</v>
      </c>
      <c r="X60" s="29"/>
      <c r="Y60" s="134">
        <v>0</v>
      </c>
      <c r="Z60" s="29"/>
      <c r="AA60" s="134">
        <v>0</v>
      </c>
      <c r="AB60" s="29"/>
      <c r="AC60" s="134">
        <v>0</v>
      </c>
      <c r="AD60" s="29"/>
      <c r="AE60" s="134">
        <v>0</v>
      </c>
      <c r="AF60" s="29"/>
      <c r="AG60" s="134">
        <v>0</v>
      </c>
      <c r="AH60" s="29"/>
      <c r="AI60" s="134">
        <v>0</v>
      </c>
      <c r="AJ60" s="29"/>
      <c r="AK60" s="105">
        <v>0</v>
      </c>
      <c r="AL60" s="134"/>
      <c r="AM60" s="134">
        <f>+$O60</f>
        <v>247450</v>
      </c>
      <c r="AN60" s="27"/>
      <c r="AO60" s="105">
        <v>0</v>
      </c>
      <c r="AQ60">
        <f t="shared" si="2"/>
        <v>0</v>
      </c>
      <c r="AR60" s="7">
        <f t="shared" si="3"/>
        <v>-247450</v>
      </c>
      <c r="AT60" s="7">
        <f t="shared" si="4"/>
        <v>17197.775000000001</v>
      </c>
      <c r="AV60" s="12">
        <f t="shared" si="5"/>
        <v>6.9500000000000006E-2</v>
      </c>
      <c r="AW60" s="7">
        <f t="shared" si="6"/>
        <v>247450</v>
      </c>
      <c r="AX60" s="31">
        <f t="shared" si="7"/>
        <v>247450</v>
      </c>
      <c r="AY60" s="31">
        <f t="shared" si="8"/>
        <v>0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</row>
    <row r="61" spans="1:70" x14ac:dyDescent="0.2">
      <c r="A61" s="122" t="s">
        <v>210</v>
      </c>
      <c r="B61" s="102">
        <v>174</v>
      </c>
      <c r="C61" s="102"/>
      <c r="D61" s="100">
        <v>8.3750000000000005E-2</v>
      </c>
      <c r="E61" s="120"/>
      <c r="F61" s="120"/>
      <c r="G61" s="133">
        <v>38495</v>
      </c>
      <c r="H61" s="102"/>
      <c r="I61" s="101"/>
      <c r="J61" s="102"/>
      <c r="K61" s="101"/>
      <c r="M61" s="134">
        <v>0</v>
      </c>
      <c r="O61" s="134">
        <v>175000</v>
      </c>
      <c r="P61" s="29"/>
      <c r="Q61" s="134">
        <v>0</v>
      </c>
      <c r="R61" s="29"/>
      <c r="S61" s="134">
        <v>0</v>
      </c>
      <c r="T61" s="29"/>
      <c r="U61" s="134">
        <v>0</v>
      </c>
      <c r="V61" s="29"/>
      <c r="W61" s="134">
        <v>0</v>
      </c>
      <c r="X61" s="29"/>
      <c r="Y61" s="134">
        <v>0</v>
      </c>
      <c r="Z61" s="29"/>
      <c r="AA61" s="134">
        <f>+O61</f>
        <v>175000</v>
      </c>
      <c r="AB61" s="29"/>
      <c r="AC61" s="134">
        <v>0</v>
      </c>
      <c r="AD61" s="29"/>
      <c r="AE61" s="134">
        <v>0</v>
      </c>
      <c r="AF61" s="29"/>
      <c r="AG61" s="134">
        <v>0</v>
      </c>
      <c r="AH61" s="29"/>
      <c r="AI61" s="134">
        <v>0</v>
      </c>
      <c r="AJ61" s="29"/>
      <c r="AK61" s="105">
        <v>0</v>
      </c>
      <c r="AL61" s="134"/>
      <c r="AM61" s="134">
        <v>0</v>
      </c>
      <c r="AN61" s="27"/>
      <c r="AO61" s="105">
        <v>0</v>
      </c>
      <c r="AQ61">
        <f>SUM(Q61:AK61)</f>
        <v>175000</v>
      </c>
      <c r="AR61" s="7">
        <f>AQ61-O61</f>
        <v>0</v>
      </c>
      <c r="AT61" s="7">
        <f>O61*SUM(AU61:AV61)</f>
        <v>14656.25</v>
      </c>
      <c r="AV61" s="12">
        <f>D61</f>
        <v>8.3750000000000005E-2</v>
      </c>
      <c r="AW61" s="7">
        <f>O61</f>
        <v>175000</v>
      </c>
      <c r="AX61" s="31">
        <f>SUM(Q61:AP61)</f>
        <v>175000</v>
      </c>
      <c r="AY61" s="31">
        <f>+O61-AX61</f>
        <v>0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x14ac:dyDescent="0.2">
      <c r="A62" s="122" t="s">
        <v>277</v>
      </c>
      <c r="B62" s="102"/>
      <c r="C62" s="102"/>
      <c r="D62" s="121">
        <v>8.7400000000000005E-2</v>
      </c>
      <c r="E62" s="101"/>
      <c r="F62" s="101"/>
      <c r="G62" s="133">
        <v>38474</v>
      </c>
      <c r="H62" s="139"/>
      <c r="I62" s="102"/>
      <c r="J62" s="141" t="s">
        <v>279</v>
      </c>
      <c r="K62" s="140"/>
      <c r="L62" s="56"/>
      <c r="M62" s="116">
        <v>0</v>
      </c>
      <c r="N62" s="56"/>
      <c r="O62" s="116">
        <v>-1978405</v>
      </c>
      <c r="P62" s="29"/>
      <c r="Q62" s="105">
        <v>0</v>
      </c>
      <c r="R62" s="26"/>
      <c r="S62" s="105">
        <v>0</v>
      </c>
      <c r="T62" s="27"/>
      <c r="U62" s="105">
        <v>0</v>
      </c>
      <c r="V62" s="27"/>
      <c r="W62" s="105">
        <v>0</v>
      </c>
      <c r="X62" s="27"/>
      <c r="Y62" s="105">
        <v>0</v>
      </c>
      <c r="Z62" s="27"/>
      <c r="AA62" s="105">
        <f>+O62</f>
        <v>-1978405</v>
      </c>
      <c r="AB62" s="27"/>
      <c r="AC62" s="105">
        <v>0</v>
      </c>
      <c r="AD62" s="27"/>
      <c r="AE62" s="105">
        <v>0</v>
      </c>
      <c r="AF62" s="27"/>
      <c r="AG62" s="105">
        <v>0</v>
      </c>
      <c r="AH62" s="28"/>
      <c r="AI62" s="105">
        <v>0</v>
      </c>
      <c r="AJ62" s="29"/>
      <c r="AK62" s="105">
        <v>0</v>
      </c>
      <c r="AL62" s="105"/>
      <c r="AM62" s="105">
        <v>0</v>
      </c>
      <c r="AN62" s="29"/>
      <c r="AO62" s="4">
        <v>0</v>
      </c>
      <c r="AP62" s="51"/>
      <c r="AQ62"/>
      <c r="AS62" s="51"/>
      <c r="AU62" s="52"/>
      <c r="AX62" s="31">
        <f>SUM(Q62:AP62)</f>
        <v>-1978405</v>
      </c>
      <c r="AY62" s="31">
        <f>+O62-AX62</f>
        <v>0</v>
      </c>
      <c r="BB62"/>
    </row>
    <row r="63" spans="1:70" x14ac:dyDescent="0.2">
      <c r="A63" s="102" t="s">
        <v>278</v>
      </c>
      <c r="B63" s="102"/>
      <c r="C63" s="102"/>
      <c r="D63" s="121">
        <v>7.6999999999999999E-2</v>
      </c>
      <c r="E63" s="101"/>
      <c r="F63" s="101"/>
      <c r="G63" s="133">
        <v>38474</v>
      </c>
      <c r="H63" s="139"/>
      <c r="I63" s="102"/>
      <c r="J63" s="141" t="s">
        <v>280</v>
      </c>
      <c r="K63" s="140"/>
      <c r="L63" s="56"/>
      <c r="M63" s="116">
        <v>0</v>
      </c>
      <c r="N63" s="56"/>
      <c r="O63" s="116">
        <v>2025667</v>
      </c>
      <c r="P63" s="29"/>
      <c r="Q63" s="105">
        <v>0</v>
      </c>
      <c r="R63" s="26"/>
      <c r="S63" s="105">
        <v>0</v>
      </c>
      <c r="T63" s="27"/>
      <c r="U63" s="105">
        <v>0</v>
      </c>
      <c r="V63" s="27"/>
      <c r="W63" s="105">
        <v>0</v>
      </c>
      <c r="X63" s="27"/>
      <c r="Y63" s="105">
        <v>0</v>
      </c>
      <c r="Z63" s="27"/>
      <c r="AA63" s="105">
        <f>+O63</f>
        <v>2025667</v>
      </c>
      <c r="AB63" s="27"/>
      <c r="AC63" s="105">
        <v>0</v>
      </c>
      <c r="AD63" s="27"/>
      <c r="AE63" s="105">
        <v>0</v>
      </c>
      <c r="AF63" s="27"/>
      <c r="AG63" s="105">
        <v>0</v>
      </c>
      <c r="AH63" s="28"/>
      <c r="AI63" s="105">
        <v>0</v>
      </c>
      <c r="AJ63" s="29"/>
      <c r="AK63" s="105">
        <v>0</v>
      </c>
      <c r="AL63" s="105"/>
      <c r="AM63" s="105">
        <v>0</v>
      </c>
      <c r="AN63" s="29"/>
      <c r="AO63" s="4">
        <v>0</v>
      </c>
      <c r="AP63" s="51"/>
      <c r="AQ63"/>
      <c r="AS63" s="51"/>
      <c r="AU63" s="52"/>
      <c r="AX63" s="31">
        <f>SUM(Q63:AP63)</f>
        <v>2025667</v>
      </c>
      <c r="AY63" s="31">
        <f>+O63-AX63</f>
        <v>0</v>
      </c>
      <c r="BB63"/>
    </row>
    <row r="64" spans="1:70" x14ac:dyDescent="0.2">
      <c r="A64" s="122" t="s">
        <v>289</v>
      </c>
      <c r="B64" s="102"/>
      <c r="C64" s="102"/>
      <c r="D64" s="121">
        <v>7.0000000000000007E-2</v>
      </c>
      <c r="E64" s="101"/>
      <c r="F64" s="101"/>
      <c r="G64" s="133">
        <v>38460</v>
      </c>
      <c r="H64" s="139"/>
      <c r="I64" s="102"/>
      <c r="J64" s="141" t="s">
        <v>270</v>
      </c>
      <c r="K64" s="140"/>
      <c r="L64" s="56"/>
      <c r="M64" s="116">
        <v>0</v>
      </c>
      <c r="N64" s="56"/>
      <c r="O64" s="116">
        <v>50000</v>
      </c>
      <c r="P64" s="29"/>
      <c r="Q64" s="105">
        <v>0</v>
      </c>
      <c r="R64" s="26"/>
      <c r="S64" s="105">
        <v>0</v>
      </c>
      <c r="T64" s="27"/>
      <c r="U64" s="105">
        <v>0</v>
      </c>
      <c r="V64" s="27"/>
      <c r="W64" s="105">
        <v>0</v>
      </c>
      <c r="X64" s="27"/>
      <c r="Y64" s="105">
        <v>0</v>
      </c>
      <c r="Z64" s="27"/>
      <c r="AA64" s="105">
        <f>+O64</f>
        <v>50000</v>
      </c>
      <c r="AB64" s="27"/>
      <c r="AC64" s="105">
        <v>0</v>
      </c>
      <c r="AD64" s="27"/>
      <c r="AE64" s="105">
        <v>0</v>
      </c>
      <c r="AF64" s="27"/>
      <c r="AG64" s="105">
        <v>0</v>
      </c>
      <c r="AH64" s="28"/>
      <c r="AI64" s="105">
        <v>0</v>
      </c>
      <c r="AJ64" s="29"/>
      <c r="AK64" s="105">
        <v>0</v>
      </c>
      <c r="AL64" s="105"/>
      <c r="AM64" s="105">
        <v>0</v>
      </c>
      <c r="AN64" s="29"/>
      <c r="AO64" s="4">
        <v>0</v>
      </c>
      <c r="AP64" s="51"/>
      <c r="AQ64"/>
      <c r="AS64" s="51"/>
      <c r="AU64" s="52"/>
      <c r="AX64" s="31">
        <f>SUM(Q64:AP64)</f>
        <v>50000</v>
      </c>
      <c r="AY64" s="31">
        <f>+O64-AX64</f>
        <v>0</v>
      </c>
      <c r="BB64"/>
    </row>
    <row r="65" spans="1:70" x14ac:dyDescent="0.2">
      <c r="A65" s="122" t="s">
        <v>290</v>
      </c>
      <c r="B65" s="102"/>
      <c r="C65" s="102"/>
      <c r="D65" s="121">
        <v>7.0000000000000007E-2</v>
      </c>
      <c r="E65" s="101"/>
      <c r="F65" s="101"/>
      <c r="G65" s="115"/>
      <c r="H65" s="139"/>
      <c r="I65" s="102"/>
      <c r="J65" s="141" t="s">
        <v>281</v>
      </c>
      <c r="K65" s="140"/>
      <c r="L65" s="56"/>
      <c r="M65" s="116">
        <v>0</v>
      </c>
      <c r="N65" s="56"/>
      <c r="O65" s="116">
        <v>50000</v>
      </c>
      <c r="P65" s="29"/>
      <c r="Q65" s="105">
        <v>0</v>
      </c>
      <c r="R65" s="26"/>
      <c r="S65" s="105">
        <v>0</v>
      </c>
      <c r="T65" s="27"/>
      <c r="U65" s="105">
        <v>0</v>
      </c>
      <c r="V65" s="27"/>
      <c r="W65" s="105">
        <v>0</v>
      </c>
      <c r="X65" s="27"/>
      <c r="Y65" s="105">
        <v>0</v>
      </c>
      <c r="Z65" s="27"/>
      <c r="AA65" s="105">
        <f>+O65</f>
        <v>50000</v>
      </c>
      <c r="AB65" s="27"/>
      <c r="AC65" s="105">
        <v>0</v>
      </c>
      <c r="AD65" s="27"/>
      <c r="AE65" s="105">
        <v>0</v>
      </c>
      <c r="AF65" s="27"/>
      <c r="AG65" s="105">
        <v>0</v>
      </c>
      <c r="AH65" s="28"/>
      <c r="AI65" s="105">
        <v>0</v>
      </c>
      <c r="AJ65" s="29"/>
      <c r="AK65" s="105">
        <v>0</v>
      </c>
      <c r="AL65" s="105"/>
      <c r="AM65" s="105">
        <v>0</v>
      </c>
      <c r="AN65" s="29"/>
      <c r="AO65" s="4">
        <v>0</v>
      </c>
      <c r="AP65" s="51"/>
      <c r="AQ65"/>
      <c r="AS65" s="51"/>
      <c r="AU65" s="52"/>
      <c r="AX65" s="31">
        <f>SUM(Q65:AP65)</f>
        <v>50000</v>
      </c>
      <c r="AY65" s="31">
        <f>+O65-AX65</f>
        <v>0</v>
      </c>
      <c r="BB65"/>
    </row>
    <row r="66" spans="1:70" ht="8.1" customHeight="1" x14ac:dyDescent="0.2">
      <c r="A66" s="102"/>
      <c r="B66" s="102"/>
      <c r="C66" s="102"/>
      <c r="D66" s="100"/>
      <c r="E66" s="120"/>
      <c r="F66" s="120"/>
      <c r="G66" s="115"/>
      <c r="H66" s="102"/>
      <c r="I66" s="101"/>
      <c r="J66" s="102"/>
      <c r="K66" s="101"/>
      <c r="M66" s="143"/>
      <c r="O66" s="143"/>
      <c r="P66" s="29"/>
      <c r="Q66" s="143"/>
      <c r="R66" s="29"/>
      <c r="S66" s="143"/>
      <c r="T66" s="29"/>
      <c r="U66" s="143"/>
      <c r="V66" s="29"/>
      <c r="W66" s="143"/>
      <c r="X66" s="29"/>
      <c r="Y66" s="143"/>
      <c r="Z66" s="29"/>
      <c r="AA66" s="143"/>
      <c r="AB66" s="29"/>
      <c r="AC66" s="143"/>
      <c r="AD66" s="29"/>
      <c r="AE66" s="143"/>
      <c r="AF66" s="29"/>
      <c r="AG66" s="143"/>
      <c r="AH66" s="29"/>
      <c r="AI66" s="143"/>
      <c r="AJ66" s="29"/>
      <c r="AK66" s="143"/>
      <c r="AL66" s="116"/>
      <c r="AM66" s="143"/>
      <c r="AN66" s="27"/>
      <c r="AO66" s="143"/>
      <c r="AQ66"/>
      <c r="AX66" s="143"/>
      <c r="AY66" s="143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</row>
    <row r="67" spans="1:70" x14ac:dyDescent="0.2">
      <c r="A67" s="102"/>
      <c r="B67" s="102"/>
      <c r="C67" s="102"/>
      <c r="D67" s="158" t="s">
        <v>198</v>
      </c>
      <c r="E67" s="120"/>
      <c r="F67" s="120"/>
      <c r="G67" s="115"/>
      <c r="H67" s="102"/>
      <c r="I67" s="101"/>
      <c r="J67" s="102"/>
      <c r="K67" s="101"/>
      <c r="M67" s="149">
        <f>SUM(M31:M66)</f>
        <v>4209125</v>
      </c>
      <c r="O67" s="149">
        <f>SUM(O31:O66)</f>
        <v>5139117</v>
      </c>
      <c r="P67" s="29"/>
      <c r="Q67" s="149">
        <f>SUM(Q31:Q66)</f>
        <v>94322</v>
      </c>
      <c r="R67" s="29"/>
      <c r="S67" s="149">
        <f>SUM(S31:S66)</f>
        <v>1063602</v>
      </c>
      <c r="T67" s="29"/>
      <c r="U67" s="149">
        <f>SUM(U31:U66)</f>
        <v>150000</v>
      </c>
      <c r="V67" s="29"/>
      <c r="W67" s="149">
        <f>SUM(W31:W66)</f>
        <v>362850</v>
      </c>
      <c r="X67" s="29"/>
      <c r="Y67" s="149">
        <f>SUM(Y31:Y66)</f>
        <v>447091</v>
      </c>
      <c r="Z67" s="29"/>
      <c r="AA67" s="149">
        <f>SUM(AA31:AA66)</f>
        <v>1002262</v>
      </c>
      <c r="AB67" s="29"/>
      <c r="AC67" s="149">
        <f>SUM(AC31:AC66)</f>
        <v>409530</v>
      </c>
      <c r="AD67" s="29"/>
      <c r="AE67" s="149">
        <f>SUM(AE31:AE66)</f>
        <v>240000</v>
      </c>
      <c r="AF67" s="29"/>
      <c r="AG67" s="149">
        <f>SUM(AG31:AG66)</f>
        <v>200000</v>
      </c>
      <c r="AH67" s="29"/>
      <c r="AI67" s="149">
        <f>SUM(AI31:AI66)</f>
        <v>178500</v>
      </c>
      <c r="AJ67" s="29"/>
      <c r="AK67" s="149">
        <f>SUM(AK31:AK66)</f>
        <v>0</v>
      </c>
      <c r="AL67" s="149"/>
      <c r="AM67" s="149">
        <f>SUM(AM31:AM66)</f>
        <v>990960</v>
      </c>
      <c r="AN67" s="27"/>
      <c r="AO67" s="149">
        <f>SUM(AO31:AO66)</f>
        <v>0</v>
      </c>
      <c r="AQ67"/>
      <c r="AX67" s="149">
        <f>SUM(AX31:AX66)</f>
        <v>5139117</v>
      </c>
      <c r="AY67" s="149">
        <f>SUM(AY31:AY66)</f>
        <v>0</v>
      </c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</row>
    <row r="68" spans="1:70" x14ac:dyDescent="0.2">
      <c r="A68" s="102"/>
      <c r="B68" s="102"/>
      <c r="C68" s="102"/>
      <c r="D68" s="100"/>
      <c r="E68" s="101"/>
      <c r="F68" s="101"/>
      <c r="G68" s="133"/>
      <c r="H68" s="102"/>
      <c r="I68" s="102"/>
      <c r="J68" s="102"/>
      <c r="K68" s="101"/>
      <c r="O68" s="105"/>
      <c r="P68" s="27"/>
      <c r="Q68" s="105"/>
      <c r="R68" s="27"/>
      <c r="S68" s="105"/>
      <c r="T68" s="27"/>
      <c r="U68" s="105"/>
      <c r="V68" s="27"/>
      <c r="W68" s="105"/>
      <c r="X68" s="27"/>
      <c r="Y68" s="105"/>
      <c r="Z68" s="27"/>
      <c r="AA68" s="105"/>
      <c r="AB68" s="27"/>
      <c r="AC68" s="105"/>
      <c r="AD68" s="27"/>
      <c r="AE68" s="105"/>
      <c r="AF68" s="27"/>
      <c r="AG68" s="105"/>
      <c r="AH68" s="28"/>
      <c r="AI68" s="105"/>
      <c r="AJ68" s="28"/>
      <c r="AK68" s="105"/>
      <c r="AL68" s="105"/>
      <c r="AM68" s="105"/>
      <c r="AN68" s="27"/>
      <c r="AO68" s="105"/>
      <c r="AP68" s="30"/>
      <c r="AQ68" s="38"/>
      <c r="AR68" s="30"/>
      <c r="AS68" s="30"/>
      <c r="AU68" s="39"/>
      <c r="AX68" s="31"/>
      <c r="AY68" s="31"/>
      <c r="AZ68" s="36"/>
      <c r="BA68" s="36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</row>
    <row r="69" spans="1:70" x14ac:dyDescent="0.2">
      <c r="A69" s="102"/>
      <c r="B69" s="37" t="s">
        <v>189</v>
      </c>
      <c r="C69" s="37"/>
      <c r="D69" s="100"/>
      <c r="E69" s="101"/>
      <c r="F69" s="101"/>
      <c r="G69" s="133"/>
      <c r="H69" s="102"/>
      <c r="I69" s="102"/>
      <c r="J69" s="102"/>
      <c r="K69" s="101"/>
      <c r="O69" s="105"/>
      <c r="P69" s="27"/>
      <c r="Q69" s="105"/>
      <c r="R69" s="27"/>
      <c r="S69" s="105"/>
      <c r="T69" s="27"/>
      <c r="U69" s="105"/>
      <c r="V69" s="27"/>
      <c r="W69" s="105"/>
      <c r="X69" s="27"/>
      <c r="Y69" s="105"/>
      <c r="Z69" s="27"/>
      <c r="AA69" s="105"/>
      <c r="AB69" s="27"/>
      <c r="AC69" s="105"/>
      <c r="AD69" s="27"/>
      <c r="AE69" s="105"/>
      <c r="AF69" s="27"/>
      <c r="AG69" s="105"/>
      <c r="AH69" s="28"/>
      <c r="AI69" s="105"/>
      <c r="AJ69" s="28"/>
      <c r="AK69" s="105"/>
      <c r="AL69" s="105"/>
      <c r="AM69" s="105"/>
      <c r="AN69" s="27"/>
      <c r="AO69" s="105"/>
      <c r="AP69" s="30"/>
      <c r="AQ69" s="38"/>
      <c r="AR69" s="30"/>
      <c r="AS69" s="30"/>
      <c r="AU69" s="39"/>
      <c r="AX69" s="31"/>
      <c r="AY69" s="31"/>
      <c r="AZ69" s="36"/>
      <c r="BA69" s="36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 x14ac:dyDescent="0.2">
      <c r="A70" s="122" t="s">
        <v>210</v>
      </c>
      <c r="B70" s="102">
        <v>147</v>
      </c>
      <c r="C70" s="102"/>
      <c r="D70" s="121" t="s">
        <v>41</v>
      </c>
      <c r="E70" s="101">
        <v>-16</v>
      </c>
      <c r="F70" s="101"/>
      <c r="G70" s="115" t="s">
        <v>42</v>
      </c>
      <c r="H70" s="102"/>
      <c r="I70" s="101" t="s">
        <v>43</v>
      </c>
      <c r="J70" s="102"/>
      <c r="K70" s="101" t="s">
        <v>43</v>
      </c>
      <c r="M70" s="105">
        <v>0</v>
      </c>
      <c r="O70" s="105">
        <v>0</v>
      </c>
      <c r="P70" s="26"/>
      <c r="Q70" s="105">
        <v>0</v>
      </c>
      <c r="R70" s="26"/>
      <c r="S70" s="105">
        <v>0</v>
      </c>
      <c r="T70" s="27"/>
      <c r="U70" s="105">
        <v>0</v>
      </c>
      <c r="V70" s="27"/>
      <c r="W70" s="105">
        <v>0</v>
      </c>
      <c r="X70" s="27"/>
      <c r="Y70" s="105">
        <v>0</v>
      </c>
      <c r="Z70" s="27"/>
      <c r="AA70" s="105">
        <v>0</v>
      </c>
      <c r="AB70" s="27"/>
      <c r="AC70" s="105">
        <v>0</v>
      </c>
      <c r="AD70" s="27"/>
      <c r="AE70" s="105">
        <v>0</v>
      </c>
      <c r="AF70" s="27"/>
      <c r="AG70" s="105">
        <v>0</v>
      </c>
      <c r="AH70" s="28"/>
      <c r="AI70" s="105">
        <v>0</v>
      </c>
      <c r="AJ70" s="29"/>
      <c r="AK70" s="105">
        <v>0</v>
      </c>
      <c r="AL70" s="105"/>
      <c r="AM70" s="105">
        <v>0</v>
      </c>
      <c r="AN70" s="29"/>
      <c r="AO70" s="105">
        <v>0</v>
      </c>
      <c r="AP70" s="30"/>
      <c r="AQ70">
        <f t="shared" ref="AQ70:AQ76" si="9">SUM(Q70:AK70)</f>
        <v>0</v>
      </c>
      <c r="AR70" s="7">
        <f t="shared" ref="AR70:AR76" si="10">AQ70-O70</f>
        <v>0</v>
      </c>
      <c r="AT70" s="7">
        <f t="shared" ref="AT70:AT76" si="11">O70*SUM(AU70:AV70)</f>
        <v>0</v>
      </c>
      <c r="AV70" s="12">
        <v>5.3100000000000001E-2</v>
      </c>
      <c r="AW70" s="7">
        <f t="shared" ref="AW70:AW76" si="12">O70</f>
        <v>0</v>
      </c>
      <c r="AX70" s="31">
        <f t="shared" ref="AX70:AX76" si="13">SUM(Q70:AP70)</f>
        <v>0</v>
      </c>
      <c r="AY70" s="31">
        <f t="shared" ref="AY70:AY76" si="14">+O70-AX70</f>
        <v>0</v>
      </c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 x14ac:dyDescent="0.2">
      <c r="A71" s="122" t="s">
        <v>210</v>
      </c>
      <c r="B71" s="102">
        <v>154</v>
      </c>
      <c r="C71" s="102"/>
      <c r="D71" s="121" t="s">
        <v>41</v>
      </c>
      <c r="E71" s="101">
        <v>-9</v>
      </c>
      <c r="F71" s="101"/>
      <c r="G71" s="115" t="s">
        <v>44</v>
      </c>
      <c r="H71" s="102"/>
      <c r="I71" s="101" t="s">
        <v>43</v>
      </c>
      <c r="J71" s="102"/>
      <c r="K71" s="101" t="s">
        <v>43</v>
      </c>
      <c r="M71" s="105">
        <v>250000</v>
      </c>
      <c r="O71" s="105">
        <v>0</v>
      </c>
      <c r="P71" s="26"/>
      <c r="Q71" s="105">
        <f>+$O71</f>
        <v>0</v>
      </c>
      <c r="R71" s="26"/>
      <c r="S71" s="105">
        <v>0</v>
      </c>
      <c r="T71" s="27"/>
      <c r="U71" s="105">
        <v>0</v>
      </c>
      <c r="V71" s="27"/>
      <c r="W71" s="105">
        <v>0</v>
      </c>
      <c r="X71" s="27"/>
      <c r="Y71" s="105">
        <v>0</v>
      </c>
      <c r="Z71" s="27"/>
      <c r="AA71" s="105">
        <v>0</v>
      </c>
      <c r="AB71" s="27"/>
      <c r="AC71" s="105">
        <v>0</v>
      </c>
      <c r="AD71" s="27"/>
      <c r="AE71" s="105">
        <v>0</v>
      </c>
      <c r="AF71" s="27"/>
      <c r="AG71" s="105">
        <v>0</v>
      </c>
      <c r="AH71" s="28"/>
      <c r="AI71" s="105">
        <v>0</v>
      </c>
      <c r="AJ71" s="29"/>
      <c r="AK71" s="105">
        <v>0</v>
      </c>
      <c r="AL71" s="105"/>
      <c r="AM71" s="105">
        <v>0</v>
      </c>
      <c r="AN71" s="29"/>
      <c r="AO71" s="105">
        <v>0</v>
      </c>
      <c r="AP71" s="30"/>
      <c r="AQ71">
        <f t="shared" si="9"/>
        <v>0</v>
      </c>
      <c r="AR71" s="7">
        <f t="shared" si="10"/>
        <v>0</v>
      </c>
      <c r="AT71" s="7" t="e">
        <f t="shared" si="11"/>
        <v>#REF!</v>
      </c>
      <c r="AV71" s="12" t="e">
        <f>#REF!</f>
        <v>#REF!</v>
      </c>
      <c r="AW71" s="7">
        <f t="shared" si="12"/>
        <v>0</v>
      </c>
      <c r="AX71" s="31">
        <f t="shared" si="13"/>
        <v>0</v>
      </c>
      <c r="AY71" s="31">
        <f t="shared" si="14"/>
        <v>0</v>
      </c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 x14ac:dyDescent="0.2">
      <c r="A72" s="102"/>
      <c r="B72" s="147" t="s">
        <v>53</v>
      </c>
      <c r="C72" s="147"/>
      <c r="D72" s="121" t="s">
        <v>41</v>
      </c>
      <c r="E72" s="112">
        <v>-19</v>
      </c>
      <c r="F72" s="112"/>
      <c r="G72" s="133"/>
      <c r="H72" s="102"/>
      <c r="I72" s="101" t="s">
        <v>43</v>
      </c>
      <c r="J72" s="101"/>
      <c r="K72" s="101" t="s">
        <v>46</v>
      </c>
      <c r="M72" s="103">
        <v>54196</v>
      </c>
      <c r="O72" s="103">
        <v>0</v>
      </c>
      <c r="P72" s="26"/>
      <c r="Q72" s="103">
        <v>0</v>
      </c>
      <c r="R72" s="26"/>
      <c r="S72" s="103">
        <v>0</v>
      </c>
      <c r="T72" s="26"/>
      <c r="U72" s="103">
        <v>0</v>
      </c>
      <c r="V72" s="26"/>
      <c r="W72" s="103">
        <f>+$O72</f>
        <v>0</v>
      </c>
      <c r="X72" s="26"/>
      <c r="Y72" s="103">
        <v>0</v>
      </c>
      <c r="Z72" s="26"/>
      <c r="AA72" s="103">
        <v>0</v>
      </c>
      <c r="AB72" s="26"/>
      <c r="AC72" s="103">
        <v>0</v>
      </c>
      <c r="AD72" s="26"/>
      <c r="AE72" s="103">
        <v>0</v>
      </c>
      <c r="AF72" s="26"/>
      <c r="AG72" s="103">
        <v>0</v>
      </c>
      <c r="AH72" s="29"/>
      <c r="AI72" s="103">
        <v>0</v>
      </c>
      <c r="AJ72" s="29"/>
      <c r="AK72" s="103">
        <v>0</v>
      </c>
      <c r="AL72" s="103"/>
      <c r="AM72" s="103">
        <v>0</v>
      </c>
      <c r="AN72" s="29"/>
      <c r="AO72" s="103">
        <v>0</v>
      </c>
      <c r="AQ72">
        <f t="shared" si="9"/>
        <v>0</v>
      </c>
      <c r="AR72" s="7">
        <f t="shared" si="10"/>
        <v>0</v>
      </c>
      <c r="AT72" s="7" t="e">
        <f t="shared" si="11"/>
        <v>#REF!</v>
      </c>
      <c r="AV72" s="12" t="e">
        <f>#REF!</f>
        <v>#REF!</v>
      </c>
      <c r="AW72" s="7">
        <f t="shared" si="12"/>
        <v>0</v>
      </c>
      <c r="AX72" s="31">
        <f t="shared" si="13"/>
        <v>0</v>
      </c>
      <c r="AY72" s="31">
        <f t="shared" si="14"/>
        <v>0</v>
      </c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</row>
    <row r="73" spans="1:70" x14ac:dyDescent="0.2">
      <c r="A73" s="122" t="s">
        <v>210</v>
      </c>
      <c r="B73" s="102">
        <v>168</v>
      </c>
      <c r="C73" s="102"/>
      <c r="D73" s="121" t="s">
        <v>41</v>
      </c>
      <c r="E73" s="101"/>
      <c r="F73" s="101"/>
      <c r="G73" s="133">
        <v>37144</v>
      </c>
      <c r="H73" s="102"/>
      <c r="I73" s="299">
        <v>36770</v>
      </c>
      <c r="J73" s="102"/>
      <c r="K73" s="101" t="s">
        <v>43</v>
      </c>
      <c r="M73" s="105">
        <v>0</v>
      </c>
      <c r="O73" s="105">
        <v>1000000</v>
      </c>
      <c r="P73" s="26"/>
      <c r="Q73" s="105">
        <v>0</v>
      </c>
      <c r="R73" s="26"/>
      <c r="S73" s="105">
        <f>+O73</f>
        <v>1000000</v>
      </c>
      <c r="T73" s="27"/>
      <c r="U73" s="105">
        <v>0</v>
      </c>
      <c r="V73" s="27"/>
      <c r="W73" s="105">
        <v>0</v>
      </c>
      <c r="X73" s="27"/>
      <c r="Y73" s="105">
        <v>0</v>
      </c>
      <c r="Z73" s="27"/>
      <c r="AA73" s="105">
        <v>0</v>
      </c>
      <c r="AB73" s="27"/>
      <c r="AC73" s="105">
        <v>0</v>
      </c>
      <c r="AD73" s="27"/>
      <c r="AE73" s="105">
        <v>0</v>
      </c>
      <c r="AF73" s="27"/>
      <c r="AG73" s="105">
        <v>0</v>
      </c>
      <c r="AH73" s="28"/>
      <c r="AI73" s="105">
        <v>0</v>
      </c>
      <c r="AJ73" s="29"/>
      <c r="AK73" s="105">
        <v>0</v>
      </c>
      <c r="AL73" s="105"/>
      <c r="AM73" s="105">
        <v>0</v>
      </c>
      <c r="AN73" s="29"/>
      <c r="AO73" s="105">
        <v>0</v>
      </c>
      <c r="AP73" s="30"/>
      <c r="AQ73">
        <f t="shared" si="9"/>
        <v>1000000</v>
      </c>
      <c r="AR73" s="7">
        <f t="shared" si="10"/>
        <v>0</v>
      </c>
      <c r="AT73" s="7" t="e">
        <f t="shared" si="11"/>
        <v>#REF!</v>
      </c>
      <c r="AV73" s="12" t="e">
        <f>#REF!</f>
        <v>#REF!</v>
      </c>
      <c r="AW73" s="7">
        <f t="shared" si="12"/>
        <v>1000000</v>
      </c>
      <c r="AX73" s="31">
        <f t="shared" si="13"/>
        <v>1000000</v>
      </c>
      <c r="AY73" s="31">
        <f t="shared" si="14"/>
        <v>0</v>
      </c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</row>
    <row r="74" spans="1:70" x14ac:dyDescent="0.2">
      <c r="A74" s="122" t="s">
        <v>210</v>
      </c>
      <c r="B74" s="102">
        <v>167</v>
      </c>
      <c r="C74" s="102"/>
      <c r="D74" s="100" t="s">
        <v>151</v>
      </c>
      <c r="E74" s="101"/>
      <c r="F74" s="101"/>
      <c r="G74" s="133">
        <v>38040</v>
      </c>
      <c r="H74" s="102"/>
      <c r="I74" s="142" t="s">
        <v>259</v>
      </c>
      <c r="J74" s="102"/>
      <c r="K74" s="101" t="s">
        <v>43</v>
      </c>
      <c r="M74" s="105">
        <v>0</v>
      </c>
      <c r="O74" s="105">
        <v>23200</v>
      </c>
      <c r="P74" s="26"/>
      <c r="Q74" s="105">
        <v>0</v>
      </c>
      <c r="R74" s="26"/>
      <c r="S74" s="105">
        <v>0</v>
      </c>
      <c r="T74" s="27"/>
      <c r="U74" s="105">
        <v>0</v>
      </c>
      <c r="V74" s="27"/>
      <c r="W74" s="105">
        <v>0</v>
      </c>
      <c r="X74" s="27"/>
      <c r="Y74" s="105">
        <f>+O74</f>
        <v>23200</v>
      </c>
      <c r="Z74" s="27"/>
      <c r="AA74" s="105">
        <v>0</v>
      </c>
      <c r="AB74" s="27"/>
      <c r="AC74" s="105">
        <v>0</v>
      </c>
      <c r="AD74" s="27"/>
      <c r="AE74" s="105">
        <v>0</v>
      </c>
      <c r="AF74" s="27"/>
      <c r="AG74" s="105">
        <v>0</v>
      </c>
      <c r="AH74" s="28"/>
      <c r="AI74" s="105">
        <v>0</v>
      </c>
      <c r="AJ74" s="29"/>
      <c r="AK74" s="105">
        <v>0</v>
      </c>
      <c r="AL74" s="105"/>
      <c r="AM74" s="105">
        <v>0</v>
      </c>
      <c r="AN74" s="29"/>
      <c r="AO74" s="105">
        <v>0</v>
      </c>
      <c r="AP74" s="30"/>
      <c r="AQ74">
        <f t="shared" si="9"/>
        <v>23200</v>
      </c>
      <c r="AR74" s="7">
        <f t="shared" si="10"/>
        <v>0</v>
      </c>
      <c r="AT74" s="7" t="e">
        <f t="shared" si="11"/>
        <v>#REF!</v>
      </c>
      <c r="AV74" s="12" t="e">
        <f>#REF!</f>
        <v>#REF!</v>
      </c>
      <c r="AW74" s="7">
        <f t="shared" si="12"/>
        <v>23200</v>
      </c>
      <c r="AX74" s="31">
        <f t="shared" si="13"/>
        <v>23200</v>
      </c>
      <c r="AY74" s="31">
        <f t="shared" si="14"/>
        <v>0</v>
      </c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 x14ac:dyDescent="0.2">
      <c r="A75" s="122" t="s">
        <v>210</v>
      </c>
      <c r="B75" s="102">
        <v>162</v>
      </c>
      <c r="C75" s="102"/>
      <c r="D75" s="100" t="s">
        <v>151</v>
      </c>
      <c r="E75" s="101"/>
      <c r="F75" s="101"/>
      <c r="G75" s="133">
        <v>38306</v>
      </c>
      <c r="H75" s="102"/>
      <c r="I75" s="102" t="s">
        <v>259</v>
      </c>
      <c r="J75" s="102"/>
      <c r="K75" s="101" t="s">
        <v>43</v>
      </c>
      <c r="M75" s="105">
        <v>25000</v>
      </c>
      <c r="O75" s="105">
        <v>25000</v>
      </c>
      <c r="P75" s="27"/>
      <c r="Q75" s="105">
        <v>0</v>
      </c>
      <c r="R75" s="27"/>
      <c r="S75" s="105">
        <v>0</v>
      </c>
      <c r="T75" s="27"/>
      <c r="U75" s="105">
        <v>0</v>
      </c>
      <c r="V75" s="27"/>
      <c r="W75" s="105">
        <v>0</v>
      </c>
      <c r="X75" s="27"/>
      <c r="Y75" s="105">
        <v>25000</v>
      </c>
      <c r="Z75" s="27"/>
      <c r="AA75" s="105">
        <v>0</v>
      </c>
      <c r="AB75" s="27"/>
      <c r="AC75" s="105">
        <v>0</v>
      </c>
      <c r="AD75" s="27"/>
      <c r="AE75" s="105">
        <v>0</v>
      </c>
      <c r="AF75" s="27"/>
      <c r="AG75" s="105">
        <v>0</v>
      </c>
      <c r="AH75" s="28"/>
      <c r="AI75" s="105">
        <v>0</v>
      </c>
      <c r="AJ75" s="28"/>
      <c r="AK75" s="105">
        <v>0</v>
      </c>
      <c r="AL75" s="105"/>
      <c r="AM75" s="105">
        <v>0</v>
      </c>
      <c r="AN75" s="27"/>
      <c r="AO75" s="105">
        <v>0</v>
      </c>
      <c r="AP75" s="30"/>
      <c r="AQ75" s="38">
        <f t="shared" si="9"/>
        <v>25000</v>
      </c>
      <c r="AR75" s="30">
        <f t="shared" si="10"/>
        <v>0</v>
      </c>
      <c r="AS75" s="30"/>
      <c r="AT75" s="7">
        <f t="shared" si="11"/>
        <v>0</v>
      </c>
      <c r="AU75" s="39"/>
      <c r="AV75" s="12" t="str">
        <f>D75</f>
        <v>Swap</v>
      </c>
      <c r="AW75" s="7">
        <f t="shared" si="12"/>
        <v>25000</v>
      </c>
      <c r="AX75" s="31">
        <f t="shared" si="13"/>
        <v>25000</v>
      </c>
      <c r="AY75" s="31">
        <f t="shared" si="14"/>
        <v>0</v>
      </c>
      <c r="AZ75" s="36"/>
      <c r="BA75" s="36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x14ac:dyDescent="0.2">
      <c r="A76" s="122" t="s">
        <v>210</v>
      </c>
      <c r="B76" s="102">
        <v>173</v>
      </c>
      <c r="C76" s="102"/>
      <c r="D76" s="100"/>
      <c r="E76" s="120"/>
      <c r="F76" s="120"/>
      <c r="G76" s="115"/>
      <c r="H76" s="102"/>
      <c r="I76" s="7"/>
      <c r="J76" s="101" t="s">
        <v>287</v>
      </c>
      <c r="K76" s="101"/>
      <c r="M76" s="134">
        <v>0</v>
      </c>
      <c r="O76" s="134">
        <v>71000</v>
      </c>
      <c r="P76" s="29"/>
      <c r="Q76" s="134">
        <v>0</v>
      </c>
      <c r="R76" s="29"/>
      <c r="S76" s="134">
        <v>0</v>
      </c>
      <c r="T76" s="29"/>
      <c r="U76" s="134">
        <v>0</v>
      </c>
      <c r="V76" s="29"/>
      <c r="W76" s="134">
        <f>+O76</f>
        <v>71000</v>
      </c>
      <c r="X76" s="29"/>
      <c r="Y76" s="134">
        <v>0</v>
      </c>
      <c r="Z76" s="29"/>
      <c r="AA76" s="134">
        <v>0</v>
      </c>
      <c r="AB76" s="29"/>
      <c r="AC76" s="134">
        <v>0</v>
      </c>
      <c r="AD76" s="29"/>
      <c r="AE76" s="134">
        <v>0</v>
      </c>
      <c r="AF76" s="29"/>
      <c r="AG76" s="134">
        <v>0</v>
      </c>
      <c r="AH76" s="29"/>
      <c r="AI76" s="134">
        <v>0</v>
      </c>
      <c r="AJ76" s="29"/>
      <c r="AK76" s="105">
        <v>0</v>
      </c>
      <c r="AL76" s="134"/>
      <c r="AM76" s="134">
        <v>0</v>
      </c>
      <c r="AN76" s="27"/>
      <c r="AO76" s="105">
        <v>0</v>
      </c>
      <c r="AQ76">
        <f t="shared" si="9"/>
        <v>71000</v>
      </c>
      <c r="AR76" s="7">
        <f t="shared" si="10"/>
        <v>0</v>
      </c>
      <c r="AT76" s="7">
        <f t="shared" si="11"/>
        <v>0</v>
      </c>
      <c r="AV76" s="12">
        <f>D76</f>
        <v>0</v>
      </c>
      <c r="AW76" s="7">
        <f t="shared" si="12"/>
        <v>71000</v>
      </c>
      <c r="AX76" s="31">
        <f t="shared" si="13"/>
        <v>71000</v>
      </c>
      <c r="AY76" s="31">
        <f t="shared" si="14"/>
        <v>0</v>
      </c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</row>
    <row r="77" spans="1:70" ht="8.1" customHeight="1" x14ac:dyDescent="0.2">
      <c r="A77" s="102"/>
      <c r="B77" s="102"/>
      <c r="C77" s="102"/>
      <c r="D77" s="100"/>
      <c r="E77" s="101"/>
      <c r="F77" s="101"/>
      <c r="G77" s="133"/>
      <c r="H77" s="102"/>
      <c r="I77" s="102"/>
      <c r="J77" s="102"/>
      <c r="K77" s="101"/>
      <c r="M77" s="153"/>
      <c r="O77" s="153"/>
      <c r="P77" s="27"/>
      <c r="Q77" s="153"/>
      <c r="R77" s="27"/>
      <c r="S77" s="153"/>
      <c r="T77" s="27"/>
      <c r="U77" s="153"/>
      <c r="V77" s="27"/>
      <c r="W77" s="153"/>
      <c r="X77" s="27"/>
      <c r="Y77" s="153"/>
      <c r="Z77" s="27"/>
      <c r="AA77" s="153"/>
      <c r="AB77" s="27"/>
      <c r="AC77" s="153"/>
      <c r="AD77" s="27"/>
      <c r="AE77" s="153"/>
      <c r="AF77" s="27"/>
      <c r="AG77" s="153"/>
      <c r="AH77" s="28"/>
      <c r="AI77" s="153"/>
      <c r="AJ77" s="28"/>
      <c r="AK77" s="153"/>
      <c r="AL77" s="105"/>
      <c r="AM77" s="153"/>
      <c r="AN77" s="27"/>
      <c r="AO77" s="153"/>
      <c r="AP77" s="30"/>
      <c r="AQ77" s="38"/>
      <c r="AR77" s="30"/>
      <c r="AS77" s="30"/>
      <c r="AU77" s="39"/>
      <c r="AX77" s="153"/>
      <c r="AY77" s="153"/>
      <c r="AZ77" s="36"/>
      <c r="BA77" s="36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x14ac:dyDescent="0.2">
      <c r="A78" s="102"/>
      <c r="B78" s="102"/>
      <c r="C78" s="102"/>
      <c r="D78" s="158" t="s">
        <v>199</v>
      </c>
      <c r="E78" s="101"/>
      <c r="F78" s="101"/>
      <c r="G78" s="133"/>
      <c r="H78" s="102"/>
      <c r="I78" s="102"/>
      <c r="J78" s="102"/>
      <c r="K78" s="101"/>
      <c r="M78" s="99">
        <f>SUM(M69:M77)</f>
        <v>329196</v>
      </c>
      <c r="O78" s="99">
        <f>SUM(O69:O77)</f>
        <v>1119200</v>
      </c>
      <c r="P78" s="27"/>
      <c r="Q78" s="99">
        <f>SUM(Q69:Q77)</f>
        <v>0</v>
      </c>
      <c r="R78" s="27"/>
      <c r="S78" s="99">
        <f>SUM(S69:S77)</f>
        <v>1000000</v>
      </c>
      <c r="T78" s="27"/>
      <c r="U78" s="99">
        <f>SUM(U69:U77)</f>
        <v>0</v>
      </c>
      <c r="V78" s="27"/>
      <c r="W78" s="99">
        <f>SUM(W69:W77)</f>
        <v>71000</v>
      </c>
      <c r="X78" s="27"/>
      <c r="Y78" s="99">
        <f>SUM(Y69:Y77)</f>
        <v>48200</v>
      </c>
      <c r="Z78" s="27"/>
      <c r="AA78" s="99">
        <f>SUM(AA69:AA77)</f>
        <v>0</v>
      </c>
      <c r="AB78" s="27"/>
      <c r="AC78" s="99">
        <f>SUM(AC69:AC77)</f>
        <v>0</v>
      </c>
      <c r="AD78" s="27"/>
      <c r="AE78" s="99">
        <f>SUM(AE69:AE77)</f>
        <v>0</v>
      </c>
      <c r="AF78" s="27"/>
      <c r="AG78" s="99">
        <f>SUM(AG69:AG77)</f>
        <v>0</v>
      </c>
      <c r="AH78" s="28"/>
      <c r="AI78" s="99">
        <f>SUM(AI69:AI77)</f>
        <v>0</v>
      </c>
      <c r="AJ78" s="28"/>
      <c r="AK78" s="99">
        <f>SUM(AK69:AK77)</f>
        <v>0</v>
      </c>
      <c r="AL78" s="99"/>
      <c r="AM78" s="99">
        <f>SUM(AM69:AM77)</f>
        <v>0</v>
      </c>
      <c r="AN78" s="27"/>
      <c r="AO78" s="99">
        <f>SUM(AO69:AO77)</f>
        <v>0</v>
      </c>
      <c r="AP78" s="30"/>
      <c r="AQ78" s="38"/>
      <c r="AR78" s="30"/>
      <c r="AS78" s="30"/>
      <c r="AU78" s="39"/>
      <c r="AX78" s="99">
        <f>SUM(AX69:AX77)</f>
        <v>1119200</v>
      </c>
      <c r="AY78" s="99">
        <f>SUM(AY69:AY77)</f>
        <v>0</v>
      </c>
      <c r="AZ78" s="36"/>
      <c r="BA78" s="36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 x14ac:dyDescent="0.2">
      <c r="A79" s="102"/>
      <c r="B79" s="102"/>
      <c r="C79" s="102"/>
      <c r="D79" s="100"/>
      <c r="E79" s="101"/>
      <c r="F79" s="101"/>
      <c r="G79" s="133"/>
      <c r="H79" s="102"/>
      <c r="I79" s="102"/>
      <c r="J79" s="102"/>
      <c r="K79" s="101"/>
      <c r="O79" s="105"/>
      <c r="P79" s="27"/>
      <c r="Q79" s="105"/>
      <c r="R79" s="27"/>
      <c r="S79" s="105"/>
      <c r="T79" s="27"/>
      <c r="U79" s="105"/>
      <c r="V79" s="27"/>
      <c r="W79" s="105"/>
      <c r="X79" s="27"/>
      <c r="Y79" s="105"/>
      <c r="Z79" s="27"/>
      <c r="AA79" s="105"/>
      <c r="AB79" s="27"/>
      <c r="AC79" s="105"/>
      <c r="AD79" s="27"/>
      <c r="AE79" s="105"/>
      <c r="AF79" s="27"/>
      <c r="AG79" s="105"/>
      <c r="AH79" s="28"/>
      <c r="AI79" s="105"/>
      <c r="AJ79" s="28"/>
      <c r="AK79" s="105"/>
      <c r="AL79" s="105"/>
      <c r="AM79" s="105"/>
      <c r="AN79" s="27"/>
      <c r="AO79" s="105"/>
      <c r="AP79" s="30"/>
      <c r="AQ79" s="38"/>
      <c r="AR79" s="30"/>
      <c r="AS79" s="30"/>
      <c r="AU79" s="39"/>
      <c r="AX79" s="31"/>
      <c r="AY79" s="31"/>
      <c r="AZ79" s="36"/>
      <c r="BA79" s="36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 x14ac:dyDescent="0.2">
      <c r="A80" s="102"/>
      <c r="B80" s="37" t="s">
        <v>190</v>
      </c>
      <c r="C80" s="37"/>
      <c r="D80" s="100"/>
      <c r="E80" s="101"/>
      <c r="F80" s="101"/>
      <c r="G80" s="133"/>
      <c r="H80" s="102"/>
      <c r="I80" s="102"/>
      <c r="J80" s="102"/>
      <c r="K80" s="101"/>
      <c r="O80" s="105"/>
      <c r="P80" s="27"/>
      <c r="Q80" s="105"/>
      <c r="R80" s="27"/>
      <c r="S80" s="105"/>
      <c r="T80" s="27"/>
      <c r="U80" s="105"/>
      <c r="V80" s="27"/>
      <c r="W80" s="105"/>
      <c r="X80" s="27"/>
      <c r="Y80" s="105"/>
      <c r="Z80" s="27"/>
      <c r="AA80" s="105"/>
      <c r="AB80" s="27"/>
      <c r="AC80" s="105"/>
      <c r="AD80" s="27"/>
      <c r="AE80" s="105"/>
      <c r="AF80" s="27"/>
      <c r="AG80" s="105"/>
      <c r="AH80" s="28"/>
      <c r="AI80" s="105"/>
      <c r="AJ80" s="28"/>
      <c r="AK80" s="105"/>
      <c r="AL80" s="105"/>
      <c r="AM80" s="105"/>
      <c r="AN80" s="27"/>
      <c r="AO80" s="105"/>
      <c r="AP80" s="30"/>
      <c r="AQ80" s="38"/>
      <c r="AR80" s="30"/>
      <c r="AS80" s="30"/>
      <c r="AU80" s="39"/>
      <c r="AX80" s="31"/>
      <c r="AY80" s="31"/>
      <c r="AZ80" s="36"/>
      <c r="BA80" s="36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:70" x14ac:dyDescent="0.2">
      <c r="A81" s="122" t="s">
        <v>211</v>
      </c>
      <c r="D81" s="121">
        <v>0</v>
      </c>
      <c r="E81" s="101">
        <v>-15</v>
      </c>
      <c r="F81" s="101"/>
      <c r="G81" s="115" t="s">
        <v>81</v>
      </c>
      <c r="H81" s="102"/>
      <c r="I81" s="102"/>
      <c r="J81" s="102" t="s">
        <v>82</v>
      </c>
      <c r="K81" s="101"/>
      <c r="M81" s="105">
        <v>18256</v>
      </c>
      <c r="O81" s="105">
        <v>18256</v>
      </c>
      <c r="P81" s="26"/>
      <c r="Q81" s="105">
        <v>0</v>
      </c>
      <c r="R81" s="26"/>
      <c r="S81" s="105">
        <v>0</v>
      </c>
      <c r="T81" s="27"/>
      <c r="U81" s="105">
        <v>0</v>
      </c>
      <c r="V81" s="27"/>
      <c r="W81" s="105">
        <v>0</v>
      </c>
      <c r="X81" s="27"/>
      <c r="Y81" s="105">
        <v>0</v>
      </c>
      <c r="Z81" s="27"/>
      <c r="AA81" s="105">
        <v>0</v>
      </c>
      <c r="AB81" s="27"/>
      <c r="AC81" s="105">
        <v>0</v>
      </c>
      <c r="AD81" s="27"/>
      <c r="AE81" s="105">
        <v>0</v>
      </c>
      <c r="AF81" s="27"/>
      <c r="AG81" s="105">
        <v>0</v>
      </c>
      <c r="AH81" s="28"/>
      <c r="AI81" s="105">
        <v>0</v>
      </c>
      <c r="AJ81" s="29"/>
      <c r="AK81" s="105">
        <v>0</v>
      </c>
      <c r="AL81" s="105"/>
      <c r="AM81" s="105">
        <v>18256</v>
      </c>
      <c r="AN81" s="28"/>
      <c r="AO81" s="105">
        <v>0</v>
      </c>
      <c r="AP81" s="30"/>
      <c r="AQ81">
        <f>SUM(Q81:AK81)</f>
        <v>0</v>
      </c>
      <c r="AR81" s="7">
        <f>AQ81-O81</f>
        <v>-18256</v>
      </c>
      <c r="AT81" s="7">
        <f>O81*SUM(AU81:AV81)</f>
        <v>0</v>
      </c>
      <c r="AV81" s="12">
        <f>D81</f>
        <v>0</v>
      </c>
      <c r="AW81" s="7">
        <f>O81</f>
        <v>18256</v>
      </c>
      <c r="AX81" s="31">
        <f>SUM(Q81:AP81)</f>
        <v>18256</v>
      </c>
      <c r="AY81" s="31">
        <f>+O81-AX81</f>
        <v>0</v>
      </c>
      <c r="AZ81" s="36"/>
      <c r="BA81" s="36"/>
      <c r="BB81"/>
    </row>
    <row r="82" spans="1:70" x14ac:dyDescent="0.2">
      <c r="A82" s="122">
        <v>285</v>
      </c>
      <c r="D82" s="121"/>
      <c r="E82" s="101"/>
      <c r="F82" s="101"/>
      <c r="G82" s="115"/>
      <c r="H82" s="102"/>
      <c r="I82" s="102"/>
      <c r="J82" s="102" t="s">
        <v>260</v>
      </c>
      <c r="K82" s="101"/>
      <c r="M82" s="105">
        <v>0</v>
      </c>
      <c r="O82" s="105">
        <v>0</v>
      </c>
      <c r="P82" s="26"/>
      <c r="Q82" s="105">
        <v>0</v>
      </c>
      <c r="R82" s="26"/>
      <c r="S82" s="105">
        <v>0</v>
      </c>
      <c r="T82" s="27"/>
      <c r="U82" s="105">
        <v>0</v>
      </c>
      <c r="V82" s="27"/>
      <c r="W82" s="105">
        <v>0</v>
      </c>
      <c r="X82" s="27"/>
      <c r="Y82" s="105">
        <v>0</v>
      </c>
      <c r="Z82" s="27"/>
      <c r="AA82" s="105">
        <v>0</v>
      </c>
      <c r="AB82" s="27"/>
      <c r="AC82" s="105">
        <v>0</v>
      </c>
      <c r="AD82" s="27"/>
      <c r="AE82" s="105">
        <v>0</v>
      </c>
      <c r="AF82" s="27"/>
      <c r="AG82" s="105">
        <v>0</v>
      </c>
      <c r="AH82" s="28"/>
      <c r="AI82" s="105">
        <v>0</v>
      </c>
      <c r="AJ82" s="29"/>
      <c r="AK82" s="105">
        <v>0</v>
      </c>
      <c r="AL82" s="105"/>
      <c r="AM82" s="105">
        <f>+O82</f>
        <v>0</v>
      </c>
      <c r="AN82" s="28"/>
      <c r="AO82" s="105">
        <v>0</v>
      </c>
      <c r="AP82" s="30"/>
      <c r="AQ82">
        <f>SUM(Q82:AK82)</f>
        <v>0</v>
      </c>
      <c r="AR82" s="7">
        <f>AQ82-O82</f>
        <v>0</v>
      </c>
      <c r="AT82" s="7">
        <f>O82*SUM(AU82:AV82)</f>
        <v>0</v>
      </c>
      <c r="AV82" s="12">
        <f>D82</f>
        <v>0</v>
      </c>
      <c r="AW82" s="7">
        <f>O82</f>
        <v>0</v>
      </c>
      <c r="AX82" s="31">
        <f>SUM(Q82:AP82)</f>
        <v>0</v>
      </c>
      <c r="AY82" s="31">
        <f>+O82-AX82</f>
        <v>0</v>
      </c>
      <c r="AZ82" s="36"/>
      <c r="BA82" s="36"/>
      <c r="BB82"/>
    </row>
    <row r="83" spans="1:70" x14ac:dyDescent="0.2">
      <c r="A83" s="122" t="s">
        <v>210</v>
      </c>
      <c r="B83" s="102"/>
      <c r="C83" s="102"/>
      <c r="D83" s="100" t="s">
        <v>73</v>
      </c>
      <c r="E83" s="101">
        <v>-5</v>
      </c>
      <c r="F83" s="101"/>
      <c r="G83" s="101" t="s">
        <v>74</v>
      </c>
      <c r="H83" s="102"/>
      <c r="I83" s="101" t="s">
        <v>43</v>
      </c>
      <c r="J83" s="102"/>
      <c r="K83" s="132" t="s">
        <v>46</v>
      </c>
      <c r="L83" s="37"/>
      <c r="M83" s="134">
        <v>13729</v>
      </c>
      <c r="N83" s="37"/>
      <c r="O83" s="134">
        <v>11500</v>
      </c>
      <c r="P83" s="29"/>
      <c r="Q83" s="134">
        <v>0</v>
      </c>
      <c r="R83" s="29"/>
      <c r="S83" s="134">
        <f>17890-17540</f>
        <v>350</v>
      </c>
      <c r="T83" s="29"/>
      <c r="U83" s="134">
        <f>17540-16982</f>
        <v>558</v>
      </c>
      <c r="V83" s="29"/>
      <c r="W83" s="134">
        <f>16982-16392</f>
        <v>590</v>
      </c>
      <c r="X83" s="29"/>
      <c r="Y83" s="134">
        <f>16392-15769</f>
        <v>623</v>
      </c>
      <c r="Z83" s="29"/>
      <c r="AA83" s="134">
        <f>15769-15167</f>
        <v>602</v>
      </c>
      <c r="AB83" s="29"/>
      <c r="AC83" s="134">
        <f>15167-14599</f>
        <v>568</v>
      </c>
      <c r="AD83" s="29"/>
      <c r="AE83" s="134">
        <f>14599-14085</f>
        <v>514</v>
      </c>
      <c r="AF83" s="29"/>
      <c r="AG83" s="134">
        <f>14085-13538</f>
        <v>547</v>
      </c>
      <c r="AH83" s="29"/>
      <c r="AI83" s="134">
        <f>13538-12991</f>
        <v>547</v>
      </c>
      <c r="AJ83" s="29"/>
      <c r="AK83" s="134">
        <v>0</v>
      </c>
      <c r="AL83" s="134"/>
      <c r="AM83" s="134">
        <f>+$O83-SUM(S83:AK83)</f>
        <v>6601</v>
      </c>
      <c r="AN83" s="29"/>
      <c r="AO83" s="105">
        <v>0</v>
      </c>
      <c r="AQ83">
        <f>SUM(Q83:AK83)</f>
        <v>4899</v>
      </c>
      <c r="AR83" s="7">
        <f>AQ83-O83</f>
        <v>-6601</v>
      </c>
      <c r="AT83" s="7">
        <f>O83*SUM(AU83:AV83)</f>
        <v>822.24999999999989</v>
      </c>
      <c r="AV83" s="12">
        <v>7.1499999999999994E-2</v>
      </c>
      <c r="AW83" s="7">
        <f>O83</f>
        <v>11500</v>
      </c>
      <c r="AX83" s="31">
        <f>SUM(Q83:AP83)</f>
        <v>11500</v>
      </c>
      <c r="AY83" s="31">
        <f>+O83-AX83</f>
        <v>0</v>
      </c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:70" x14ac:dyDescent="0.2">
      <c r="A84" s="122" t="s">
        <v>212</v>
      </c>
      <c r="B84" s="102"/>
      <c r="C84" s="102"/>
      <c r="D84" s="121"/>
      <c r="E84" s="101"/>
      <c r="F84" s="101"/>
      <c r="G84" s="115"/>
      <c r="H84" s="139"/>
      <c r="I84" s="102"/>
      <c r="J84" s="141" t="s">
        <v>3</v>
      </c>
      <c r="K84" s="140"/>
      <c r="L84" s="56"/>
      <c r="M84" s="116">
        <v>1732</v>
      </c>
      <c r="N84" s="56"/>
      <c r="O84" s="116">
        <v>1785</v>
      </c>
      <c r="P84" s="29"/>
      <c r="Q84" s="105">
        <v>0</v>
      </c>
      <c r="R84" s="26"/>
      <c r="S84" s="105">
        <v>0</v>
      </c>
      <c r="T84" s="27"/>
      <c r="U84" s="105">
        <v>0</v>
      </c>
      <c r="V84" s="27"/>
      <c r="W84" s="105">
        <v>0</v>
      </c>
      <c r="X84" s="27"/>
      <c r="Y84" s="105">
        <v>0</v>
      </c>
      <c r="Z84" s="27"/>
      <c r="AA84" s="105">
        <v>0</v>
      </c>
      <c r="AB84" s="27"/>
      <c r="AC84" s="105">
        <v>0</v>
      </c>
      <c r="AD84" s="27"/>
      <c r="AE84" s="105">
        <v>0</v>
      </c>
      <c r="AF84" s="27"/>
      <c r="AG84" s="105">
        <v>0</v>
      </c>
      <c r="AH84" s="28"/>
      <c r="AI84" s="105">
        <v>0</v>
      </c>
      <c r="AJ84" s="29"/>
      <c r="AK84" s="105">
        <v>0</v>
      </c>
      <c r="AL84" s="105"/>
      <c r="AM84" s="105">
        <f>+O84</f>
        <v>1785</v>
      </c>
      <c r="AN84" s="29"/>
      <c r="AO84" s="4">
        <v>0</v>
      </c>
      <c r="AP84" s="51"/>
      <c r="AQ84"/>
      <c r="AS84" s="51"/>
      <c r="AU84" s="52"/>
      <c r="AX84" s="31">
        <f>SUM(Q84:AP84)</f>
        <v>1785</v>
      </c>
      <c r="AY84" s="31">
        <f>+O84-AX84</f>
        <v>0</v>
      </c>
      <c r="BB84"/>
    </row>
    <row r="85" spans="1:70" ht="8.1" customHeight="1" x14ac:dyDescent="0.2">
      <c r="A85" s="122"/>
      <c r="B85" s="102"/>
      <c r="C85" s="102"/>
      <c r="E85" s="101"/>
      <c r="F85" s="101"/>
      <c r="G85" s="101"/>
      <c r="H85" s="102"/>
      <c r="I85" s="101"/>
      <c r="J85" s="102"/>
      <c r="K85" s="132"/>
      <c r="L85" s="37"/>
      <c r="M85" s="134"/>
      <c r="N85" s="37"/>
      <c r="O85" s="134"/>
      <c r="P85" s="29"/>
      <c r="Q85" s="134"/>
      <c r="R85" s="29"/>
      <c r="S85" s="134"/>
      <c r="T85" s="29"/>
      <c r="U85" s="134"/>
      <c r="V85" s="29"/>
      <c r="W85" s="134"/>
      <c r="X85" s="29"/>
      <c r="Y85" s="134"/>
      <c r="Z85" s="29"/>
      <c r="AA85" s="134"/>
      <c r="AB85" s="29"/>
      <c r="AC85" s="134"/>
      <c r="AD85" s="29"/>
      <c r="AE85" s="134"/>
      <c r="AF85" s="29"/>
      <c r="AG85" s="134"/>
      <c r="AH85" s="29"/>
      <c r="AI85" s="134"/>
      <c r="AJ85" s="29"/>
      <c r="AK85" s="134"/>
      <c r="AL85" s="134"/>
      <c r="AM85" s="134"/>
      <c r="AN85" s="29"/>
      <c r="AO85" s="134"/>
      <c r="AQ85"/>
      <c r="AX85" s="134"/>
      <c r="AY85" s="134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:70" x14ac:dyDescent="0.2">
      <c r="A86" s="122"/>
      <c r="B86" s="102"/>
      <c r="C86" s="102"/>
      <c r="D86" s="158" t="s">
        <v>200</v>
      </c>
      <c r="E86" s="101"/>
      <c r="F86" s="101"/>
      <c r="G86" s="101"/>
      <c r="H86" s="102"/>
      <c r="I86" s="101"/>
      <c r="J86" s="102"/>
      <c r="K86" s="132"/>
      <c r="L86" s="37"/>
      <c r="M86" s="154">
        <f>SUM(M80:M85)</f>
        <v>33717</v>
      </c>
      <c r="N86" s="37"/>
      <c r="O86" s="154">
        <f>SUM(O80:O85)</f>
        <v>31541</v>
      </c>
      <c r="P86" s="29"/>
      <c r="Q86" s="154">
        <f>SUM(Q80:Q85)</f>
        <v>0</v>
      </c>
      <c r="R86" s="29"/>
      <c r="S86" s="154">
        <f>SUM(S80:S85)</f>
        <v>350</v>
      </c>
      <c r="T86" s="29"/>
      <c r="U86" s="154">
        <f>SUM(U80:U85)</f>
        <v>558</v>
      </c>
      <c r="V86" s="29"/>
      <c r="W86" s="154">
        <f>SUM(W80:W85)</f>
        <v>590</v>
      </c>
      <c r="X86" s="29"/>
      <c r="Y86" s="154">
        <f>SUM(Y80:Y85)</f>
        <v>623</v>
      </c>
      <c r="Z86" s="29"/>
      <c r="AA86" s="154">
        <f>SUM(AA80:AA85)</f>
        <v>602</v>
      </c>
      <c r="AB86" s="29"/>
      <c r="AC86" s="154">
        <f>SUM(AC80:AC85)</f>
        <v>568</v>
      </c>
      <c r="AD86" s="29"/>
      <c r="AE86" s="154">
        <f>SUM(AE80:AE85)</f>
        <v>514</v>
      </c>
      <c r="AF86" s="29"/>
      <c r="AG86" s="154">
        <f>SUM(AG80:AG85)</f>
        <v>547</v>
      </c>
      <c r="AH86" s="29"/>
      <c r="AI86" s="154">
        <f>SUM(AI80:AI85)</f>
        <v>547</v>
      </c>
      <c r="AJ86" s="29"/>
      <c r="AK86" s="154">
        <f>SUM(AK80:AK85)</f>
        <v>0</v>
      </c>
      <c r="AL86" s="67"/>
      <c r="AM86" s="154">
        <f>SUM(AM80:AM85)</f>
        <v>26642</v>
      </c>
      <c r="AN86" s="29"/>
      <c r="AO86" s="154">
        <f>SUM(AO80:AO85)</f>
        <v>0</v>
      </c>
      <c r="AQ86"/>
      <c r="AX86" s="154">
        <f>SUM(AX80:AX85)</f>
        <v>31541</v>
      </c>
      <c r="AY86" s="154">
        <f>SUM(AY80:AY85)</f>
        <v>0</v>
      </c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:70" x14ac:dyDescent="0.2">
      <c r="A87" s="122"/>
      <c r="B87" s="102"/>
      <c r="C87" s="102"/>
      <c r="D87" s="100"/>
      <c r="E87" s="101"/>
      <c r="F87" s="101"/>
      <c r="G87" s="133"/>
      <c r="H87" s="102"/>
      <c r="I87" s="102"/>
      <c r="J87" s="102"/>
      <c r="K87" s="101"/>
      <c r="O87" s="105"/>
      <c r="P87" s="27"/>
      <c r="Q87" s="105"/>
      <c r="R87" s="27"/>
      <c r="S87" s="105"/>
      <c r="T87" s="27"/>
      <c r="U87" s="105"/>
      <c r="V87" s="27"/>
      <c r="W87" s="105"/>
      <c r="X87" s="27"/>
      <c r="Y87" s="105"/>
      <c r="Z87" s="27"/>
      <c r="AA87" s="105"/>
      <c r="AB87" s="27"/>
      <c r="AC87" s="105"/>
      <c r="AD87" s="27"/>
      <c r="AE87" s="105"/>
      <c r="AF87" s="27"/>
      <c r="AG87" s="105"/>
      <c r="AH87" s="28"/>
      <c r="AI87" s="105"/>
      <c r="AJ87" s="28"/>
      <c r="AK87" s="105"/>
      <c r="AL87" s="105"/>
      <c r="AM87" s="105"/>
      <c r="AN87" s="27"/>
      <c r="AO87" s="105"/>
      <c r="AP87" s="30"/>
      <c r="AQ87" s="38"/>
      <c r="AR87" s="30"/>
      <c r="AS87" s="30"/>
      <c r="AU87" s="39"/>
      <c r="AX87" s="31"/>
      <c r="AY87" s="31"/>
      <c r="AZ87" s="36"/>
      <c r="BA87" s="36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:70" ht="8.1" customHeight="1" x14ac:dyDescent="0.2">
      <c r="A88" s="122"/>
      <c r="D88" s="22"/>
      <c r="E88" s="23"/>
      <c r="F88" s="23"/>
      <c r="I88" s="7"/>
      <c r="K88" s="23"/>
      <c r="M88" s="40"/>
      <c r="O88" s="40"/>
      <c r="P88" s="26"/>
      <c r="Q88" s="41"/>
      <c r="R88" s="26"/>
      <c r="S88" s="41"/>
      <c r="T88" s="27"/>
      <c r="U88" s="41"/>
      <c r="V88" s="27"/>
      <c r="W88" s="41"/>
      <c r="X88" s="27"/>
      <c r="Y88" s="41"/>
      <c r="Z88" s="27"/>
      <c r="AA88" s="41"/>
      <c r="AB88" s="27"/>
      <c r="AC88" s="41"/>
      <c r="AD88" s="27"/>
      <c r="AE88" s="41"/>
      <c r="AF88" s="27"/>
      <c r="AG88" s="41"/>
      <c r="AH88" s="28"/>
      <c r="AI88" s="41"/>
      <c r="AJ88" s="29"/>
      <c r="AK88" s="42"/>
      <c r="AL88" s="28"/>
      <c r="AM88" s="42"/>
      <c r="AN88" s="28"/>
      <c r="AO88" s="42"/>
      <c r="AP88" s="30"/>
      <c r="AQ88"/>
      <c r="AX88" s="42"/>
      <c r="AY88" s="42"/>
      <c r="AZ88" s="36"/>
      <c r="BA88" s="36"/>
      <c r="BB88"/>
    </row>
    <row r="89" spans="1:70" x14ac:dyDescent="0.2">
      <c r="A89" s="122"/>
      <c r="K89" s="43"/>
      <c r="M89" s="44">
        <f>+M22+M29+M67+M78+M86</f>
        <v>5269382</v>
      </c>
      <c r="O89" s="44">
        <f>+O22+O29+O67+O78+O86</f>
        <v>7256904</v>
      </c>
      <c r="P89" s="45"/>
      <c r="Q89" s="44">
        <f>+Q22+Q29+Q67+Q78+Q86</f>
        <v>94322</v>
      </c>
      <c r="R89" s="45"/>
      <c r="S89" s="44">
        <f>+S22+S29+S67+S78+S86</f>
        <v>2063952</v>
      </c>
      <c r="T89" s="45"/>
      <c r="U89" s="44">
        <f>+U22+U29+U67+U78+U86</f>
        <v>474604</v>
      </c>
      <c r="V89" s="45"/>
      <c r="W89" s="44">
        <f>+W22+W29+W67+W78+W86</f>
        <v>759440</v>
      </c>
      <c r="X89" s="45"/>
      <c r="Y89" s="44">
        <f>+Y22+Y29+Y67+Y78+Y86</f>
        <v>495914</v>
      </c>
      <c r="Z89" s="45"/>
      <c r="AA89" s="44">
        <f>+AA22+AA29+AA67+AA78+AA86</f>
        <v>1180864</v>
      </c>
      <c r="AB89" s="45"/>
      <c r="AC89" s="44">
        <f>+AC22+AC29+AC67+AC78+AC86</f>
        <v>410098</v>
      </c>
      <c r="AD89" s="45"/>
      <c r="AE89" s="44">
        <f>+AE22+AE29+AE67+AE78+AE86</f>
        <v>240514</v>
      </c>
      <c r="AF89" s="45"/>
      <c r="AG89" s="44">
        <f>+AG22+AG29+AG67+AG78+AG86</f>
        <v>200547</v>
      </c>
      <c r="AH89" s="45"/>
      <c r="AI89" s="44">
        <f>+AI29+AI67+AI78+AI86</f>
        <v>179047</v>
      </c>
      <c r="AJ89" s="29"/>
      <c r="AK89" s="44">
        <f>+AK22+AK29+AK67+AK78+AK86</f>
        <v>0</v>
      </c>
      <c r="AL89" s="44"/>
      <c r="AM89" s="44">
        <f>+AM22+AM29+AM67+AM78+AM86</f>
        <v>1157602</v>
      </c>
      <c r="AN89" s="46"/>
      <c r="AO89" s="44">
        <f>+AO22+AO29+AO67+AO78+AO86</f>
        <v>0</v>
      </c>
      <c r="AP89" s="47"/>
      <c r="AQ89">
        <f>SUM(Q89:AK89)</f>
        <v>6099302</v>
      </c>
      <c r="AR89" s="7">
        <f>AQ89-O89</f>
        <v>-1157602</v>
      </c>
      <c r="AS89" s="48"/>
      <c r="AT89" s="49" t="e">
        <f>SUM(AT38:AT88)</f>
        <v>#REF!</v>
      </c>
      <c r="AU89" s="50"/>
      <c r="AX89" s="44">
        <f>+AX22+AX29+AX67+AX78+AX86</f>
        <v>7256904</v>
      </c>
      <c r="AY89" s="44">
        <f>+AY22+AY29+AY67+AY78+AY86</f>
        <v>0</v>
      </c>
      <c r="BB89"/>
    </row>
    <row r="90" spans="1:70" x14ac:dyDescent="0.2">
      <c r="A90" s="122" t="s">
        <v>213</v>
      </c>
      <c r="D90" s="57"/>
      <c r="E90" s="53"/>
      <c r="F90" s="53"/>
      <c r="G90" s="54"/>
      <c r="H90" s="56" t="s">
        <v>83</v>
      </c>
      <c r="I90" s="7"/>
      <c r="J90" s="56"/>
      <c r="K90" s="55"/>
      <c r="L90" s="56"/>
      <c r="M90" s="116">
        <v>-52859</v>
      </c>
      <c r="N90" s="56"/>
      <c r="O90" s="116">
        <v>-53546</v>
      </c>
      <c r="P90" s="29"/>
      <c r="Q90" s="105">
        <v>0</v>
      </c>
      <c r="R90" s="26"/>
      <c r="S90" s="105">
        <v>0</v>
      </c>
      <c r="T90" s="27"/>
      <c r="U90" s="105">
        <v>0</v>
      </c>
      <c r="V90" s="27"/>
      <c r="W90" s="105">
        <v>0</v>
      </c>
      <c r="X90" s="27"/>
      <c r="Y90" s="105">
        <v>0</v>
      </c>
      <c r="Z90" s="27"/>
      <c r="AA90" s="105">
        <v>0</v>
      </c>
      <c r="AB90" s="27"/>
      <c r="AC90" s="105">
        <v>0</v>
      </c>
      <c r="AD90" s="27"/>
      <c r="AE90" s="105">
        <v>0</v>
      </c>
      <c r="AF90" s="27"/>
      <c r="AG90" s="105">
        <v>0</v>
      </c>
      <c r="AH90" s="28"/>
      <c r="AI90" s="105">
        <v>0</v>
      </c>
      <c r="AJ90" s="29"/>
      <c r="AK90" s="105">
        <v>0</v>
      </c>
      <c r="AL90" s="105"/>
      <c r="AM90" s="105">
        <v>0</v>
      </c>
      <c r="AN90" s="29"/>
      <c r="AO90" s="105">
        <f>+O90</f>
        <v>-53546</v>
      </c>
      <c r="AP90" s="51"/>
      <c r="AQ90"/>
      <c r="AS90" s="51"/>
      <c r="AU90" s="52"/>
      <c r="AX90" s="31">
        <f>SUM(Q90:AP90)</f>
        <v>-53546</v>
      </c>
      <c r="AY90" s="31">
        <f>+O90-AX90</f>
        <v>0</v>
      </c>
      <c r="BB90"/>
    </row>
    <row r="91" spans="1:70" x14ac:dyDescent="0.2">
      <c r="A91" s="122"/>
      <c r="D91" s="57"/>
      <c r="E91" s="53"/>
      <c r="F91" s="53"/>
      <c r="G91" s="54"/>
      <c r="H91" s="56" t="s">
        <v>257</v>
      </c>
      <c r="I91" s="7"/>
      <c r="J91" s="56"/>
      <c r="K91" s="55"/>
      <c r="L91" s="56"/>
      <c r="M91" s="116">
        <f>1355205-1001044</f>
        <v>354161</v>
      </c>
      <c r="N91" s="56"/>
      <c r="O91" s="116">
        <v>0</v>
      </c>
      <c r="P91" s="29"/>
      <c r="Q91" s="105"/>
      <c r="R91" s="26"/>
      <c r="S91" s="105"/>
      <c r="T91" s="27"/>
      <c r="U91" s="105"/>
      <c r="V91" s="27"/>
      <c r="W91" s="105"/>
      <c r="X91" s="27"/>
      <c r="Y91" s="105"/>
      <c r="Z91" s="27"/>
      <c r="AA91" s="105"/>
      <c r="AB91" s="27"/>
      <c r="AC91" s="105"/>
      <c r="AD91" s="27"/>
      <c r="AE91" s="105"/>
      <c r="AF91" s="27"/>
      <c r="AG91" s="105"/>
      <c r="AH91" s="28"/>
      <c r="AI91" s="105"/>
      <c r="AJ91" s="29"/>
      <c r="AK91" s="105"/>
      <c r="AL91" s="105"/>
      <c r="AM91" s="105"/>
      <c r="AN91" s="29"/>
      <c r="AO91" s="105"/>
      <c r="AP91" s="51"/>
      <c r="AQ91"/>
      <c r="AS91" s="51"/>
      <c r="AU91" s="52"/>
      <c r="AX91" s="31"/>
      <c r="AY91" s="31"/>
      <c r="BB91"/>
    </row>
    <row r="92" spans="1:70" ht="8.1" customHeight="1" x14ac:dyDescent="0.2">
      <c r="A92" s="122"/>
      <c r="D92" s="57"/>
      <c r="E92" s="53"/>
      <c r="F92" s="53"/>
      <c r="G92" s="54"/>
      <c r="H92" s="56"/>
      <c r="I92" s="7"/>
      <c r="J92" s="56"/>
      <c r="K92" s="55"/>
      <c r="L92" s="56"/>
      <c r="M92" s="62"/>
      <c r="N92" s="56"/>
      <c r="O92" s="62"/>
      <c r="P92" s="29"/>
      <c r="Q92" s="62"/>
      <c r="R92" s="29"/>
      <c r="S92" s="62"/>
      <c r="T92" s="29"/>
      <c r="U92" s="62"/>
      <c r="V92" s="29"/>
      <c r="W92" s="62"/>
      <c r="X92" s="29"/>
      <c r="Y92" s="62"/>
      <c r="Z92" s="29"/>
      <c r="AA92" s="62"/>
      <c r="AB92" s="29"/>
      <c r="AC92" s="62"/>
      <c r="AD92" s="29"/>
      <c r="AE92" s="62"/>
      <c r="AF92" s="29"/>
      <c r="AG92" s="62"/>
      <c r="AH92" s="29"/>
      <c r="AI92" s="62"/>
      <c r="AJ92" s="29"/>
      <c r="AK92" s="62"/>
      <c r="AL92" s="44"/>
      <c r="AM92" s="62"/>
      <c r="AN92" s="44"/>
      <c r="AO92" s="62"/>
      <c r="AP92" s="51"/>
      <c r="AQ92"/>
      <c r="AS92" s="51"/>
      <c r="AU92" s="52"/>
      <c r="AX92" s="62"/>
      <c r="AY92" s="62"/>
      <c r="BB92"/>
    </row>
    <row r="93" spans="1:70" x14ac:dyDescent="0.2">
      <c r="D93" s="57" t="s">
        <v>84</v>
      </c>
      <c r="E93" s="53"/>
      <c r="F93" s="53"/>
      <c r="G93" s="54" t="s">
        <v>153</v>
      </c>
      <c r="H93" s="56"/>
      <c r="I93" s="7"/>
      <c r="J93" s="56"/>
      <c r="K93" s="55"/>
      <c r="L93" s="56"/>
      <c r="M93" s="44">
        <f>SUM(M89:M92)</f>
        <v>5570684</v>
      </c>
      <c r="N93" s="56"/>
      <c r="O93" s="44">
        <f>SUM(O89:O92)</f>
        <v>7203358</v>
      </c>
      <c r="P93" s="29"/>
      <c r="Q93" s="44">
        <f>SUM(Q89:Q92)</f>
        <v>94322</v>
      </c>
      <c r="R93" s="29"/>
      <c r="S93" s="44">
        <f>SUM(S89:S92)</f>
        <v>2063952</v>
      </c>
      <c r="T93" s="29"/>
      <c r="U93" s="44">
        <f>SUM(U89:U92)</f>
        <v>474604</v>
      </c>
      <c r="V93" s="29"/>
      <c r="W93" s="44">
        <f>SUM(W89:W92)</f>
        <v>759440</v>
      </c>
      <c r="X93" s="29"/>
      <c r="Y93" s="44">
        <f>SUM(Y89:Y92)</f>
        <v>495914</v>
      </c>
      <c r="Z93" s="29"/>
      <c r="AA93" s="44">
        <f>SUM(AA89:AA92)</f>
        <v>1180864</v>
      </c>
      <c r="AB93" s="29"/>
      <c r="AC93" s="44">
        <f>SUM(AC89:AC92)</f>
        <v>410098</v>
      </c>
      <c r="AD93" s="29"/>
      <c r="AE93" s="44">
        <f>SUM(AE89:AE92)</f>
        <v>240514</v>
      </c>
      <c r="AF93" s="29"/>
      <c r="AG93" s="44">
        <f>SUM(AG89:AG92)</f>
        <v>200547</v>
      </c>
      <c r="AH93" s="29"/>
      <c r="AI93" s="44">
        <f>SUM(AI89:AI92)</f>
        <v>179047</v>
      </c>
      <c r="AJ93" s="29"/>
      <c r="AK93" s="44">
        <f>SUM(AK89:AK92)</f>
        <v>0</v>
      </c>
      <c r="AL93" s="44"/>
      <c r="AM93" s="44">
        <f>SUM(AM89:AM92)</f>
        <v>1157602</v>
      </c>
      <c r="AN93" s="44"/>
      <c r="AO93" s="44">
        <f>SUM(AO89:AO92)</f>
        <v>-53546</v>
      </c>
      <c r="AP93" s="51"/>
      <c r="AQ93"/>
      <c r="AS93" s="51"/>
      <c r="AU93" s="52"/>
      <c r="AX93" s="44">
        <f>SUM(AX89:AX92)</f>
        <v>7203358</v>
      </c>
      <c r="AY93" s="44">
        <f>SUM(AY89:AY92)</f>
        <v>0</v>
      </c>
      <c r="BB93"/>
    </row>
    <row r="94" spans="1:70" x14ac:dyDescent="0.2">
      <c r="D94" s="58"/>
      <c r="K94" s="43"/>
      <c r="O94" s="5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51"/>
      <c r="AQ94">
        <f>SUM(Q94:AK94)</f>
        <v>0</v>
      </c>
      <c r="AR94" s="7">
        <f>AQ94-O94</f>
        <v>0</v>
      </c>
      <c r="AS94" s="51"/>
      <c r="AU94" s="52"/>
      <c r="BB94"/>
    </row>
    <row r="95" spans="1:70" x14ac:dyDescent="0.2">
      <c r="D95" s="96" t="s">
        <v>133</v>
      </c>
      <c r="K95" s="43"/>
      <c r="O95" s="5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51"/>
      <c r="AQ95"/>
      <c r="AS95" s="51"/>
      <c r="AU95" s="52"/>
      <c r="BB95"/>
    </row>
    <row r="96" spans="1:70" x14ac:dyDescent="0.2">
      <c r="A96" s="102">
        <v>179</v>
      </c>
      <c r="B96" s="102"/>
      <c r="C96" s="102"/>
      <c r="D96" s="100">
        <v>6.8750000000000006E-2</v>
      </c>
      <c r="E96" s="112"/>
      <c r="F96" s="112"/>
      <c r="G96" s="115" t="s">
        <v>85</v>
      </c>
      <c r="H96" s="102"/>
      <c r="I96" s="101" t="s">
        <v>43</v>
      </c>
      <c r="J96" s="102"/>
      <c r="K96" s="101" t="s">
        <v>46</v>
      </c>
      <c r="M96" s="105">
        <v>100000</v>
      </c>
      <c r="O96" s="105">
        <v>100000</v>
      </c>
      <c r="P96" s="27"/>
      <c r="Q96" s="105">
        <v>0</v>
      </c>
      <c r="R96" s="27"/>
      <c r="S96" s="105">
        <v>0</v>
      </c>
      <c r="T96" s="27"/>
      <c r="U96" s="105">
        <v>0</v>
      </c>
      <c r="V96" s="27"/>
      <c r="W96" s="105">
        <v>0</v>
      </c>
      <c r="X96" s="27"/>
      <c r="Y96" s="105">
        <v>0</v>
      </c>
      <c r="Z96" s="27"/>
      <c r="AA96" s="105">
        <v>100000</v>
      </c>
      <c r="AB96" s="27"/>
      <c r="AC96" s="105">
        <v>0</v>
      </c>
      <c r="AD96" s="27"/>
      <c r="AE96" s="105">
        <v>0</v>
      </c>
      <c r="AF96" s="27"/>
      <c r="AG96" s="105">
        <v>0</v>
      </c>
      <c r="AH96" s="28"/>
      <c r="AI96" s="105">
        <v>0</v>
      </c>
      <c r="AJ96" s="28"/>
      <c r="AK96" s="105">
        <v>0</v>
      </c>
      <c r="AL96" s="105"/>
      <c r="AM96" s="105">
        <v>0</v>
      </c>
      <c r="AN96" s="28"/>
      <c r="AO96" s="105">
        <v>0</v>
      </c>
      <c r="AP96" s="30"/>
      <c r="AQ96" s="38">
        <v>100000</v>
      </c>
      <c r="AR96" s="30">
        <v>0</v>
      </c>
      <c r="AS96" s="30"/>
      <c r="AT96" s="7">
        <f>O96*SUM(AU96:AV96)</f>
        <v>6875.0000000000009</v>
      </c>
      <c r="AU96" s="39"/>
      <c r="AV96" s="12">
        <f>D96</f>
        <v>6.8750000000000006E-2</v>
      </c>
      <c r="AW96" s="7">
        <f>O96</f>
        <v>100000</v>
      </c>
      <c r="AX96" s="31">
        <f>SUM(Q96:AP96)</f>
        <v>100000</v>
      </c>
      <c r="AY96" s="31">
        <f>+O96-AX96</f>
        <v>0</v>
      </c>
      <c r="AZ96" s="30"/>
    </row>
    <row r="97" spans="1:54" x14ac:dyDescent="0.2">
      <c r="A97" s="102">
        <v>179</v>
      </c>
      <c r="B97" s="102"/>
      <c r="C97" s="102"/>
      <c r="D97" s="100">
        <v>6.7500000000000004E-2</v>
      </c>
      <c r="E97" s="112"/>
      <c r="F97" s="112"/>
      <c r="G97" s="115" t="s">
        <v>86</v>
      </c>
      <c r="H97" s="102"/>
      <c r="I97" s="101" t="s">
        <v>43</v>
      </c>
      <c r="J97" s="102"/>
      <c r="K97" s="101" t="s">
        <v>46</v>
      </c>
      <c r="M97" s="116">
        <v>150000</v>
      </c>
      <c r="O97" s="116">
        <v>150000</v>
      </c>
      <c r="P97" s="27"/>
      <c r="Q97" s="116">
        <v>0</v>
      </c>
      <c r="R97" s="28"/>
      <c r="S97" s="116">
        <v>0</v>
      </c>
      <c r="T97" s="28"/>
      <c r="U97" s="116">
        <v>0</v>
      </c>
      <c r="V97" s="28"/>
      <c r="W97" s="116">
        <v>0</v>
      </c>
      <c r="X97" s="28"/>
      <c r="Y97" s="116">
        <v>0</v>
      </c>
      <c r="Z97" s="28"/>
      <c r="AA97" s="116">
        <v>0</v>
      </c>
      <c r="AB97" s="28"/>
      <c r="AC97" s="116">
        <v>0</v>
      </c>
      <c r="AD97" s="28"/>
      <c r="AE97" s="116">
        <v>0</v>
      </c>
      <c r="AF97" s="28"/>
      <c r="AG97" s="116">
        <v>150000</v>
      </c>
      <c r="AH97" s="28"/>
      <c r="AI97" s="116">
        <v>0</v>
      </c>
      <c r="AJ97" s="28"/>
      <c r="AK97" s="116">
        <v>0</v>
      </c>
      <c r="AL97" s="116"/>
      <c r="AM97" s="116">
        <v>0</v>
      </c>
      <c r="AN97" s="28"/>
      <c r="AO97" s="116">
        <v>0</v>
      </c>
      <c r="AP97" s="60"/>
      <c r="AQ97" s="38">
        <f>SUM(Q97:AK97)</f>
        <v>150000</v>
      </c>
      <c r="AR97" s="30">
        <f>AQ97-O97</f>
        <v>0</v>
      </c>
      <c r="AS97" s="60"/>
      <c r="AT97" s="7">
        <f>O97*SUM(AU97:AV97)</f>
        <v>10125</v>
      </c>
      <c r="AU97" s="61"/>
      <c r="AV97" s="12">
        <f>D97</f>
        <v>6.7500000000000004E-2</v>
      </c>
      <c r="AW97" s="7">
        <f>O97</f>
        <v>150000</v>
      </c>
      <c r="AX97" s="31">
        <f>SUM(Q97:AP97)</f>
        <v>150000</v>
      </c>
      <c r="AY97" s="31">
        <f>+O97-AX97</f>
        <v>0</v>
      </c>
      <c r="AZ97" s="30"/>
      <c r="BA97" s="30"/>
      <c r="BB97" s="30"/>
    </row>
    <row r="98" spans="1:54" x14ac:dyDescent="0.2">
      <c r="A98" s="102">
        <v>179</v>
      </c>
      <c r="B98" s="102"/>
      <c r="C98" s="102"/>
      <c r="D98" s="100">
        <v>7.0000000000000007E-2</v>
      </c>
      <c r="E98" s="112"/>
      <c r="F98" s="112"/>
      <c r="G98" s="115" t="s">
        <v>87</v>
      </c>
      <c r="H98" s="102"/>
      <c r="I98" s="101" t="s">
        <v>43</v>
      </c>
      <c r="J98" s="102"/>
      <c r="K98" s="101" t="s">
        <v>46</v>
      </c>
      <c r="M98" s="116">
        <v>250000</v>
      </c>
      <c r="O98" s="116">
        <v>250000</v>
      </c>
      <c r="P98" s="26"/>
      <c r="Q98" s="116">
        <v>0</v>
      </c>
      <c r="R98" s="29"/>
      <c r="S98" s="116">
        <v>0</v>
      </c>
      <c r="T98" s="29"/>
      <c r="U98" s="116">
        <v>0</v>
      </c>
      <c r="V98" s="29"/>
      <c r="W98" s="116">
        <v>0</v>
      </c>
      <c r="X98" s="29"/>
      <c r="Y98" s="116">
        <v>0</v>
      </c>
      <c r="Z98" s="29"/>
      <c r="AA98" s="116">
        <v>0</v>
      </c>
      <c r="AB98" s="29"/>
      <c r="AC98" s="116">
        <v>0</v>
      </c>
      <c r="AD98" s="29"/>
      <c r="AE98" s="116">
        <v>0</v>
      </c>
      <c r="AF98" s="29"/>
      <c r="AG98" s="116">
        <v>0</v>
      </c>
      <c r="AH98" s="29"/>
      <c r="AI98" s="116">
        <v>0</v>
      </c>
      <c r="AJ98" s="29"/>
      <c r="AK98" s="116">
        <v>0</v>
      </c>
      <c r="AL98" s="116"/>
      <c r="AM98" s="116">
        <f>+O98</f>
        <v>250000</v>
      </c>
      <c r="AN98" s="28"/>
      <c r="AO98" s="116">
        <v>0</v>
      </c>
      <c r="AP98" s="51"/>
      <c r="AQ98">
        <f>SUM(Q98:AK98)</f>
        <v>0</v>
      </c>
      <c r="AR98" s="7">
        <f>AQ98-O98</f>
        <v>-250000</v>
      </c>
      <c r="AS98" s="51"/>
      <c r="AT98" s="7">
        <f>O98*SUM(AU98:AV98)</f>
        <v>17500</v>
      </c>
      <c r="AU98" s="52"/>
      <c r="AV98" s="12">
        <f>D98</f>
        <v>7.0000000000000007E-2</v>
      </c>
      <c r="AW98" s="7">
        <f>O98</f>
        <v>250000</v>
      </c>
      <c r="AX98" s="31">
        <f>SUM(Q98:AP98)</f>
        <v>250000</v>
      </c>
      <c r="AY98" s="31">
        <f>+O98-AX98</f>
        <v>0</v>
      </c>
    </row>
    <row r="99" spans="1:54" ht="8.1" customHeight="1" x14ac:dyDescent="0.2">
      <c r="D99" s="100"/>
      <c r="E99" s="112"/>
      <c r="F99" s="112"/>
      <c r="G99" s="115"/>
      <c r="H99" s="102"/>
      <c r="I99" s="101"/>
      <c r="J99" s="102"/>
      <c r="K99" s="101"/>
      <c r="M99" s="62"/>
      <c r="O99" s="62"/>
      <c r="P99" s="26"/>
      <c r="Q99" s="62"/>
      <c r="R99" s="29"/>
      <c r="S99" s="62"/>
      <c r="T99" s="29"/>
      <c r="U99" s="62"/>
      <c r="V99" s="29"/>
      <c r="W99" s="62"/>
      <c r="X99" s="29"/>
      <c r="Y99" s="62"/>
      <c r="Z99" s="29"/>
      <c r="AA99" s="62"/>
      <c r="AB99" s="29"/>
      <c r="AC99" s="62"/>
      <c r="AD99" s="29"/>
      <c r="AE99" s="62"/>
      <c r="AF99" s="29"/>
      <c r="AG99" s="62"/>
      <c r="AH99" s="29"/>
      <c r="AI99" s="62"/>
      <c r="AJ99" s="29"/>
      <c r="AK99" s="62"/>
      <c r="AL99" s="44"/>
      <c r="AM99" s="62"/>
      <c r="AN99" s="28"/>
      <c r="AO99" s="62"/>
      <c r="AP99" s="51"/>
      <c r="AQ99"/>
      <c r="AS99" s="51"/>
      <c r="AU99" s="52"/>
      <c r="AX99" s="62"/>
      <c r="AY99" s="62"/>
    </row>
    <row r="100" spans="1:54" x14ac:dyDescent="0.2">
      <c r="K100" s="6"/>
      <c r="M100" s="35">
        <f>SUM(M95:M99)</f>
        <v>500000</v>
      </c>
      <c r="O100" s="35">
        <f>SUM(O95:O99)</f>
        <v>500000</v>
      </c>
      <c r="P100" s="45"/>
      <c r="Q100" s="35">
        <f>SUM(Q95:Q99)</f>
        <v>0</v>
      </c>
      <c r="R100" s="45"/>
      <c r="S100" s="35">
        <f>SUM(S95:S99)</f>
        <v>0</v>
      </c>
      <c r="T100" s="45"/>
      <c r="U100" s="35">
        <f>SUM(U95:U99)</f>
        <v>0</v>
      </c>
      <c r="V100" s="45"/>
      <c r="W100" s="35">
        <f>SUM(W95:W99)</f>
        <v>0</v>
      </c>
      <c r="X100" s="45"/>
      <c r="Y100" s="35">
        <f>SUM(Y95:Y99)</f>
        <v>0</v>
      </c>
      <c r="Z100" s="45"/>
      <c r="AA100" s="35">
        <f>SUM(AA95:AA99)</f>
        <v>100000</v>
      </c>
      <c r="AB100" s="45"/>
      <c r="AC100" s="35">
        <f>SUM(AC95:AC99)</f>
        <v>0</v>
      </c>
      <c r="AD100" s="45"/>
      <c r="AE100" s="35">
        <f>SUM(AE95:AE99)</f>
        <v>0</v>
      </c>
      <c r="AF100" s="45"/>
      <c r="AG100" s="35">
        <f>SUM(AG95:AG99)</f>
        <v>150000</v>
      </c>
      <c r="AH100" s="45"/>
      <c r="AI100" s="35">
        <f>SUM(AI95:AI99)</f>
        <v>0</v>
      </c>
      <c r="AJ100" s="29"/>
      <c r="AK100" s="35">
        <f>SUM(AK95:AK99)</f>
        <v>0</v>
      </c>
      <c r="AL100" s="35"/>
      <c r="AM100" s="35">
        <f>SUM(AM95:AM99)</f>
        <v>250000</v>
      </c>
      <c r="AN100" s="46"/>
      <c r="AO100" s="35">
        <f>SUM(AO95:AO99)</f>
        <v>0</v>
      </c>
      <c r="AP100" s="47"/>
      <c r="AQ100">
        <f>SUM(Q100:AK100)</f>
        <v>250000</v>
      </c>
      <c r="AR100" s="7">
        <f>AQ100-O100</f>
        <v>-250000</v>
      </c>
      <c r="AS100" s="51"/>
      <c r="AT100" s="49">
        <f>SUM(AT96:AT98)</f>
        <v>34500</v>
      </c>
      <c r="AU100" s="52"/>
      <c r="AX100" s="35">
        <f>SUM(AX95:AX99)</f>
        <v>500000</v>
      </c>
      <c r="AY100" s="35">
        <f>SUM(AY95:AY99)</f>
        <v>0</v>
      </c>
    </row>
    <row r="101" spans="1:54" x14ac:dyDescent="0.2">
      <c r="A101" s="102">
        <v>179</v>
      </c>
      <c r="B101" s="102"/>
      <c r="C101" s="102"/>
      <c r="D101" s="8" t="s">
        <v>79</v>
      </c>
      <c r="K101" s="6"/>
      <c r="M101" s="116">
        <v>-412</v>
      </c>
      <c r="O101" s="116">
        <v>-373</v>
      </c>
      <c r="P101" s="29"/>
      <c r="Q101" s="116">
        <v>0</v>
      </c>
      <c r="R101" s="29"/>
      <c r="S101" s="116">
        <v>0</v>
      </c>
      <c r="T101" s="29"/>
      <c r="U101" s="116">
        <v>0</v>
      </c>
      <c r="V101" s="29"/>
      <c r="W101" s="116">
        <v>0</v>
      </c>
      <c r="X101" s="29"/>
      <c r="Y101" s="116">
        <v>0</v>
      </c>
      <c r="Z101" s="29"/>
      <c r="AA101" s="116">
        <v>0</v>
      </c>
      <c r="AB101" s="29"/>
      <c r="AC101" s="116">
        <v>0</v>
      </c>
      <c r="AD101" s="29"/>
      <c r="AE101" s="116">
        <v>0</v>
      </c>
      <c r="AF101" s="29"/>
      <c r="AG101" s="116">
        <v>0</v>
      </c>
      <c r="AH101" s="29"/>
      <c r="AI101" s="116">
        <v>0</v>
      </c>
      <c r="AJ101" s="29"/>
      <c r="AK101" s="116">
        <v>0</v>
      </c>
      <c r="AL101" s="116"/>
      <c r="AM101" s="116">
        <v>0</v>
      </c>
      <c r="AN101" s="29"/>
      <c r="AO101" s="116">
        <f>+O101</f>
        <v>-373</v>
      </c>
      <c r="AP101" s="51"/>
      <c r="AQ101">
        <f>SUM(Q101:AK101)</f>
        <v>0</v>
      </c>
      <c r="AR101" s="7">
        <f>AQ101-O101</f>
        <v>373</v>
      </c>
      <c r="AS101" s="51"/>
      <c r="AU101" s="52"/>
      <c r="AX101" s="31">
        <f>SUM(Q101:AP101)</f>
        <v>-373</v>
      </c>
      <c r="AY101" s="31">
        <f>+O101-AX101</f>
        <v>0</v>
      </c>
    </row>
    <row r="102" spans="1:54" ht="8.1" customHeight="1" x14ac:dyDescent="0.2">
      <c r="A102" s="102"/>
      <c r="B102" s="102"/>
      <c r="C102" s="102"/>
      <c r="D102" s="8"/>
      <c r="K102" s="6"/>
      <c r="M102" s="62"/>
      <c r="O102" s="62"/>
      <c r="P102" s="29"/>
      <c r="Q102" s="62"/>
      <c r="R102" s="29"/>
      <c r="S102" s="62"/>
      <c r="T102" s="29"/>
      <c r="U102" s="62"/>
      <c r="V102" s="29"/>
      <c r="W102" s="62"/>
      <c r="X102" s="29"/>
      <c r="Y102" s="62"/>
      <c r="Z102" s="29"/>
      <c r="AA102" s="62"/>
      <c r="AB102" s="29"/>
      <c r="AC102" s="62"/>
      <c r="AD102" s="29"/>
      <c r="AE102" s="62"/>
      <c r="AF102" s="29"/>
      <c r="AG102" s="62"/>
      <c r="AH102" s="29"/>
      <c r="AI102" s="62"/>
      <c r="AJ102" s="29"/>
      <c r="AK102" s="62"/>
      <c r="AL102" s="44"/>
      <c r="AM102" s="62"/>
      <c r="AN102" s="29"/>
      <c r="AO102" s="62"/>
      <c r="AP102" s="51"/>
      <c r="AQ102"/>
      <c r="AS102" s="51"/>
      <c r="AU102" s="52"/>
      <c r="AX102" s="62"/>
      <c r="AY102" s="62"/>
    </row>
    <row r="103" spans="1:54" x14ac:dyDescent="0.2">
      <c r="A103" s="102"/>
      <c r="B103" s="102"/>
      <c r="C103" s="102"/>
      <c r="D103" s="63" t="s">
        <v>88</v>
      </c>
      <c r="E103" s="53"/>
      <c r="F103" s="53"/>
      <c r="G103" s="56"/>
      <c r="H103" s="56"/>
      <c r="I103" s="53"/>
      <c r="J103" s="56"/>
      <c r="K103" s="53"/>
      <c r="L103" s="56"/>
      <c r="M103" s="44">
        <f>SUM(M100:M102)</f>
        <v>499588</v>
      </c>
      <c r="N103" s="56"/>
      <c r="O103" s="44">
        <f>SUM(O100:O102)</f>
        <v>499627</v>
      </c>
      <c r="P103" s="29"/>
      <c r="Q103" s="44">
        <f>SUM(Q100:Q102)</f>
        <v>0</v>
      </c>
      <c r="R103" s="29"/>
      <c r="S103" s="44">
        <f>SUM(S100:S102)</f>
        <v>0</v>
      </c>
      <c r="T103" s="29"/>
      <c r="U103" s="44">
        <f>SUM(U100:U102)</f>
        <v>0</v>
      </c>
      <c r="V103" s="29"/>
      <c r="W103" s="44">
        <f>SUM(W100:W102)</f>
        <v>0</v>
      </c>
      <c r="X103" s="29"/>
      <c r="Y103" s="44">
        <f>SUM(Y100:Y102)</f>
        <v>0</v>
      </c>
      <c r="Z103" s="29"/>
      <c r="AA103" s="44">
        <f>SUM(AA100:AA102)</f>
        <v>100000</v>
      </c>
      <c r="AB103" s="29"/>
      <c r="AC103" s="44">
        <f>SUM(AC100:AC102)</f>
        <v>0</v>
      </c>
      <c r="AD103" s="29"/>
      <c r="AE103" s="44">
        <f>SUM(AE100:AE102)</f>
        <v>0</v>
      </c>
      <c r="AF103" s="29"/>
      <c r="AG103" s="44">
        <f>SUM(AG100:AG102)</f>
        <v>150000</v>
      </c>
      <c r="AH103" s="29"/>
      <c r="AI103" s="44">
        <f>SUM(AI100:AI102)</f>
        <v>0</v>
      </c>
      <c r="AJ103" s="29"/>
      <c r="AK103" s="44">
        <f>SUM(AK100:AK102)</f>
        <v>0</v>
      </c>
      <c r="AL103" s="44"/>
      <c r="AM103" s="44">
        <f>SUM(AM100:AM102)</f>
        <v>250000</v>
      </c>
      <c r="AN103" s="29"/>
      <c r="AO103" s="44">
        <f>SUM(AO100:AO102)</f>
        <v>-373</v>
      </c>
      <c r="AP103" s="51"/>
      <c r="AQ103">
        <f>SUM(Q103:AK103)</f>
        <v>250000</v>
      </c>
      <c r="AR103" s="7">
        <f>AQ103-O103</f>
        <v>-249627</v>
      </c>
      <c r="AS103" s="51"/>
      <c r="AU103" s="52"/>
      <c r="AX103" s="44">
        <f>SUM(AX100:AX102)</f>
        <v>499627</v>
      </c>
      <c r="AY103" s="44">
        <f>SUM(AY100:AY102)</f>
        <v>0</v>
      </c>
    </row>
    <row r="104" spans="1:54" x14ac:dyDescent="0.2">
      <c r="A104" s="102"/>
      <c r="B104" s="102"/>
      <c r="C104" s="102"/>
      <c r="K104" s="6"/>
      <c r="O104" s="5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51"/>
      <c r="AQ104">
        <f>SUM(Q104:AK104)</f>
        <v>0</v>
      </c>
      <c r="AR104" s="7">
        <f>AQ104-O104</f>
        <v>0</v>
      </c>
      <c r="AS104" s="51"/>
      <c r="AU104" s="52"/>
    </row>
    <row r="105" spans="1:54" x14ac:dyDescent="0.2">
      <c r="A105" s="102"/>
      <c r="B105" s="102"/>
      <c r="C105" s="102"/>
      <c r="D105" s="97" t="s">
        <v>134</v>
      </c>
      <c r="K105" s="6"/>
      <c r="O105" s="5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51"/>
      <c r="AQ105"/>
      <c r="AS105" s="51"/>
      <c r="AU105" s="52"/>
    </row>
    <row r="106" spans="1:54" x14ac:dyDescent="0.2">
      <c r="A106" s="102">
        <v>60</v>
      </c>
      <c r="B106" s="102"/>
      <c r="C106" s="102"/>
      <c r="D106" s="100">
        <v>7.5499999999999998E-2</v>
      </c>
      <c r="G106" s="101" t="s">
        <v>89</v>
      </c>
      <c r="I106" s="101" t="s">
        <v>43</v>
      </c>
      <c r="J106" s="102"/>
      <c r="K106" s="101" t="s">
        <v>46</v>
      </c>
      <c r="M106" s="103">
        <v>100000</v>
      </c>
      <c r="O106" s="103">
        <v>0</v>
      </c>
      <c r="P106" s="26"/>
      <c r="Q106" s="104">
        <v>0</v>
      </c>
      <c r="R106" s="26"/>
      <c r="S106" s="104">
        <v>0</v>
      </c>
      <c r="T106" s="26"/>
      <c r="U106" s="104">
        <v>0</v>
      </c>
      <c r="V106" s="26"/>
      <c r="W106" s="104">
        <v>0</v>
      </c>
      <c r="X106" s="26"/>
      <c r="Y106" s="104">
        <v>0</v>
      </c>
      <c r="Z106" s="26"/>
      <c r="AA106" s="104">
        <v>0</v>
      </c>
      <c r="AB106" s="26"/>
      <c r="AC106" s="104">
        <v>0</v>
      </c>
      <c r="AD106" s="26"/>
      <c r="AE106" s="104">
        <v>0</v>
      </c>
      <c r="AF106" s="26"/>
      <c r="AG106" s="104">
        <v>0</v>
      </c>
      <c r="AH106" s="29"/>
      <c r="AI106" s="104">
        <v>0</v>
      </c>
      <c r="AJ106" s="29"/>
      <c r="AK106" s="104">
        <v>0</v>
      </c>
      <c r="AL106" s="104"/>
      <c r="AM106" s="104">
        <v>0</v>
      </c>
      <c r="AN106" s="29"/>
      <c r="AO106" s="104">
        <v>0</v>
      </c>
      <c r="AP106" s="104"/>
      <c r="AQ106">
        <f>SUM(Q106:AK106)</f>
        <v>0</v>
      </c>
      <c r="AR106" s="7">
        <f>AQ106-O106</f>
        <v>0</v>
      </c>
      <c r="AS106" s="51"/>
      <c r="AT106" s="7">
        <f>O106*SUM(AU106:AV106)</f>
        <v>0</v>
      </c>
      <c r="AU106" s="52"/>
      <c r="AV106" s="12">
        <f>D106</f>
        <v>7.5499999999999998E-2</v>
      </c>
      <c r="AW106" s="7">
        <f>O106</f>
        <v>0</v>
      </c>
      <c r="AX106" s="31">
        <f>SUM(Q106:AP106)</f>
        <v>0</v>
      </c>
      <c r="AY106" s="31">
        <f>+O106-AX106</f>
        <v>0</v>
      </c>
    </row>
    <row r="107" spans="1:54" x14ac:dyDescent="0.2">
      <c r="A107" s="102">
        <v>60</v>
      </c>
      <c r="B107" s="102"/>
      <c r="C107" s="102"/>
      <c r="D107" s="100">
        <v>9.0999999999999998E-2</v>
      </c>
      <c r="E107" s="6">
        <v>-3</v>
      </c>
      <c r="G107" s="101" t="s">
        <v>90</v>
      </c>
      <c r="I107" s="101"/>
      <c r="J107" s="102"/>
      <c r="K107" s="101"/>
      <c r="M107" s="103">
        <v>23000</v>
      </c>
      <c r="O107" s="103">
        <v>0</v>
      </c>
      <c r="P107" s="26"/>
      <c r="Q107" s="104">
        <v>0</v>
      </c>
      <c r="R107" s="26"/>
      <c r="S107" s="104">
        <v>0</v>
      </c>
      <c r="T107" s="26"/>
      <c r="U107" s="104">
        <v>0</v>
      </c>
      <c r="V107" s="26"/>
      <c r="W107" s="104">
        <v>0</v>
      </c>
      <c r="X107" s="26"/>
      <c r="Y107" s="104">
        <v>0</v>
      </c>
      <c r="Z107" s="26"/>
      <c r="AA107" s="104">
        <v>0</v>
      </c>
      <c r="AB107" s="26"/>
      <c r="AC107" s="104">
        <v>0</v>
      </c>
      <c r="AD107" s="26"/>
      <c r="AE107" s="104">
        <v>0</v>
      </c>
      <c r="AF107" s="26"/>
      <c r="AG107" s="104">
        <v>0</v>
      </c>
      <c r="AH107" s="29"/>
      <c r="AI107" s="104">
        <v>0</v>
      </c>
      <c r="AJ107" s="29"/>
      <c r="AK107" s="104">
        <v>0</v>
      </c>
      <c r="AL107" s="104"/>
      <c r="AM107" s="104">
        <v>0</v>
      </c>
      <c r="AN107" s="29"/>
      <c r="AO107" s="104">
        <v>0</v>
      </c>
      <c r="AP107" s="104"/>
      <c r="AQ107">
        <f>SUM(Q107:AK107)</f>
        <v>0</v>
      </c>
      <c r="AR107" s="7">
        <f>AQ107-O107</f>
        <v>0</v>
      </c>
      <c r="AS107" s="51"/>
      <c r="AT107" s="7">
        <f>O107*SUM(AU107:AV107)</f>
        <v>0</v>
      </c>
      <c r="AU107" s="52"/>
      <c r="AV107" s="12">
        <f>D107</f>
        <v>9.0999999999999998E-2</v>
      </c>
      <c r="AW107" s="7">
        <f>O107</f>
        <v>0</v>
      </c>
      <c r="AX107" s="31">
        <f>SUM(Q107:AP107)</f>
        <v>0</v>
      </c>
      <c r="AY107" s="31">
        <f>+O107-AX107</f>
        <v>0</v>
      </c>
    </row>
    <row r="108" spans="1:54" x14ac:dyDescent="0.2">
      <c r="A108" s="102">
        <v>60</v>
      </c>
      <c r="B108" s="102"/>
      <c r="C108" s="102"/>
      <c r="D108" s="100">
        <v>9.1999999999999998E-2</v>
      </c>
      <c r="E108" s="6">
        <v>-3</v>
      </c>
      <c r="G108" s="101" t="s">
        <v>91</v>
      </c>
      <c r="I108" s="101"/>
      <c r="J108" s="102"/>
      <c r="K108" s="101"/>
      <c r="M108" s="105">
        <v>19300</v>
      </c>
      <c r="O108" s="105">
        <v>19300</v>
      </c>
      <c r="P108" s="26"/>
      <c r="Q108" s="106">
        <v>3850</v>
      </c>
      <c r="R108" s="26"/>
      <c r="S108" s="106">
        <v>3850</v>
      </c>
      <c r="T108" s="26"/>
      <c r="U108" s="106">
        <v>3850</v>
      </c>
      <c r="V108" s="26"/>
      <c r="W108" s="106">
        <v>3850</v>
      </c>
      <c r="X108" s="26"/>
      <c r="Y108" s="106">
        <v>3900</v>
      </c>
      <c r="Z108" s="26"/>
      <c r="AA108" s="106">
        <v>0</v>
      </c>
      <c r="AB108" s="26"/>
      <c r="AC108" s="106">
        <v>0</v>
      </c>
      <c r="AD108" s="26"/>
      <c r="AE108" s="106">
        <v>0</v>
      </c>
      <c r="AF108" s="26"/>
      <c r="AG108" s="106">
        <v>0</v>
      </c>
      <c r="AH108" s="29"/>
      <c r="AI108" s="106">
        <v>0</v>
      </c>
      <c r="AJ108" s="29"/>
      <c r="AK108" s="106">
        <v>0</v>
      </c>
      <c r="AL108" s="106"/>
      <c r="AM108" s="106">
        <v>0</v>
      </c>
      <c r="AN108" s="28"/>
      <c r="AO108" s="106">
        <v>0</v>
      </c>
      <c r="AP108" s="106"/>
      <c r="AQ108">
        <f>SUM(Q108:AK108)</f>
        <v>19300</v>
      </c>
      <c r="AR108" s="7">
        <f>AQ108-O108</f>
        <v>0</v>
      </c>
      <c r="AS108" s="51"/>
      <c r="AT108" s="7">
        <f>O108*SUM(AU108:AV108)</f>
        <v>1775.6</v>
      </c>
      <c r="AU108" s="52"/>
      <c r="AV108" s="12">
        <f>D108</f>
        <v>9.1999999999999998E-2</v>
      </c>
      <c r="AW108" s="7">
        <f>O108</f>
        <v>19300</v>
      </c>
      <c r="AX108" s="31">
        <f>SUM(Q108:AP108)</f>
        <v>19300</v>
      </c>
      <c r="AY108" s="31">
        <f>+O108-AX108</f>
        <v>0</v>
      </c>
    </row>
    <row r="109" spans="1:54" ht="8.1" customHeight="1" x14ac:dyDescent="0.2">
      <c r="A109" s="102"/>
      <c r="B109" s="102"/>
      <c r="C109" s="102"/>
      <c r="D109" s="32"/>
      <c r="G109" s="23"/>
      <c r="I109" s="23"/>
      <c r="K109" s="23"/>
      <c r="M109" s="40"/>
      <c r="O109" s="40"/>
      <c r="P109" s="26"/>
      <c r="Q109" s="40"/>
      <c r="R109" s="26"/>
      <c r="S109" s="40"/>
      <c r="T109" s="26"/>
      <c r="U109" s="40"/>
      <c r="V109" s="26"/>
      <c r="W109" s="40"/>
      <c r="X109" s="26"/>
      <c r="Y109" s="40"/>
      <c r="Z109" s="26"/>
      <c r="AA109" s="40"/>
      <c r="AB109" s="26"/>
      <c r="AC109" s="40"/>
      <c r="AD109" s="26"/>
      <c r="AE109" s="40"/>
      <c r="AF109" s="26"/>
      <c r="AG109" s="40"/>
      <c r="AH109" s="29"/>
      <c r="AI109" s="40"/>
      <c r="AJ109" s="29"/>
      <c r="AK109" s="40"/>
      <c r="AL109" s="25"/>
      <c r="AM109" s="40"/>
      <c r="AN109" s="28"/>
      <c r="AO109" s="40"/>
      <c r="AQ109"/>
      <c r="AS109" s="51"/>
      <c r="AU109" s="52"/>
      <c r="AX109" s="40"/>
      <c r="AY109" s="40"/>
    </row>
    <row r="110" spans="1:54" x14ac:dyDescent="0.2">
      <c r="A110" s="102"/>
      <c r="B110" s="102"/>
      <c r="C110" s="102"/>
      <c r="D110" s="57" t="s">
        <v>92</v>
      </c>
      <c r="E110" s="53"/>
      <c r="F110" s="53"/>
      <c r="G110" s="56"/>
      <c r="H110" s="56"/>
      <c r="I110" s="53"/>
      <c r="J110" s="56"/>
      <c r="K110" s="64"/>
      <c r="L110" s="56"/>
      <c r="M110" s="44">
        <f>SUM(M105:M109)</f>
        <v>142300</v>
      </c>
      <c r="N110" s="56"/>
      <c r="O110" s="44">
        <f>SUM(O105:O109)</f>
        <v>19300</v>
      </c>
      <c r="P110" s="45"/>
      <c r="Q110" s="44">
        <f>SUM(Q105:Q109)</f>
        <v>3850</v>
      </c>
      <c r="R110" s="45"/>
      <c r="S110" s="44">
        <f>SUM(S105:S109)</f>
        <v>3850</v>
      </c>
      <c r="T110" s="45"/>
      <c r="U110" s="44">
        <f>SUM(U105:U109)</f>
        <v>3850</v>
      </c>
      <c r="V110" s="45"/>
      <c r="W110" s="44">
        <f>SUM(W105:W109)</f>
        <v>3850</v>
      </c>
      <c r="X110" s="45"/>
      <c r="Y110" s="44">
        <f>SUM(Y105:Y109)</f>
        <v>3900</v>
      </c>
      <c r="Z110" s="45"/>
      <c r="AA110" s="44">
        <f>SUM(AA105:AA109)</f>
        <v>0</v>
      </c>
      <c r="AB110" s="45"/>
      <c r="AC110" s="44">
        <f>SUM(AC105:AC109)</f>
        <v>0</v>
      </c>
      <c r="AD110" s="45"/>
      <c r="AE110" s="44">
        <f>SUM(AE105:AE109)</f>
        <v>0</v>
      </c>
      <c r="AF110" s="45"/>
      <c r="AG110" s="44">
        <f>SUM(AG105:AG109)</f>
        <v>0</v>
      </c>
      <c r="AH110" s="45"/>
      <c r="AI110" s="44">
        <f>SUM(AI105:AI109)</f>
        <v>0</v>
      </c>
      <c r="AJ110" s="29"/>
      <c r="AK110" s="44">
        <f>SUM(AK105:AK109)</f>
        <v>0</v>
      </c>
      <c r="AL110" s="44"/>
      <c r="AM110" s="44">
        <f>SUM(AM105:AM109)</f>
        <v>0</v>
      </c>
      <c r="AN110" s="46"/>
      <c r="AO110" s="44">
        <f>SUM(AO105:AO109)</f>
        <v>0</v>
      </c>
      <c r="AP110" s="56"/>
      <c r="AQ110">
        <f>SUM(Q110:AK110)</f>
        <v>19300</v>
      </c>
      <c r="AR110" s="7">
        <f>AQ110-O110</f>
        <v>0</v>
      </c>
      <c r="AS110" s="51"/>
      <c r="AT110" s="49">
        <f>SUM(AT106:AT108)</f>
        <v>1775.6</v>
      </c>
      <c r="AU110" s="52"/>
      <c r="AX110" s="44">
        <f>SUM(AX105:AX109)</f>
        <v>19300</v>
      </c>
      <c r="AY110" s="44">
        <f>SUM(AY105:AY109)</f>
        <v>0</v>
      </c>
    </row>
    <row r="111" spans="1:54" x14ac:dyDescent="0.2">
      <c r="A111" s="102"/>
      <c r="B111" s="102"/>
      <c r="C111" s="102"/>
      <c r="D111" s="58"/>
      <c r="K111" s="43"/>
      <c r="M111" s="59"/>
      <c r="O111" s="5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Q111">
        <f>SUM(Q111:AK111)</f>
        <v>0</v>
      </c>
      <c r="AR111" s="7">
        <f>AQ111-O111</f>
        <v>0</v>
      </c>
      <c r="AS111" s="51"/>
      <c r="AU111" s="52"/>
    </row>
    <row r="112" spans="1:54" x14ac:dyDescent="0.2">
      <c r="A112" s="102"/>
      <c r="B112" s="102"/>
      <c r="C112" s="102"/>
      <c r="D112" s="96" t="s">
        <v>136</v>
      </c>
      <c r="K112" s="43"/>
      <c r="M112" s="59"/>
      <c r="O112" s="5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Q112"/>
      <c r="AS112" s="51"/>
      <c r="AU112" s="52"/>
    </row>
    <row r="113" spans="1:51" x14ac:dyDescent="0.2">
      <c r="A113" s="102"/>
      <c r="B113" s="102"/>
      <c r="C113" s="102"/>
      <c r="D113" s="111"/>
      <c r="E113" s="112"/>
      <c r="F113" s="112"/>
      <c r="G113" s="102"/>
      <c r="H113" s="102"/>
      <c r="I113" s="112"/>
      <c r="J113" s="102"/>
      <c r="K113" s="113"/>
      <c r="M113" s="105">
        <v>0</v>
      </c>
      <c r="O113" s="105">
        <v>0</v>
      </c>
      <c r="P113" s="26"/>
      <c r="Q113" s="105">
        <v>0</v>
      </c>
      <c r="R113" s="26"/>
      <c r="S113" s="105">
        <v>0</v>
      </c>
      <c r="T113" s="26"/>
      <c r="U113" s="105">
        <v>0</v>
      </c>
      <c r="V113" s="26"/>
      <c r="W113" s="105">
        <v>0</v>
      </c>
      <c r="X113" s="26"/>
      <c r="Y113" s="105">
        <v>0</v>
      </c>
      <c r="Z113" s="26"/>
      <c r="AA113" s="105">
        <v>0</v>
      </c>
      <c r="AB113" s="26"/>
      <c r="AC113" s="105">
        <v>0</v>
      </c>
      <c r="AD113" s="26"/>
      <c r="AE113" s="105">
        <v>0</v>
      </c>
      <c r="AF113" s="26"/>
      <c r="AG113" s="105">
        <v>0</v>
      </c>
      <c r="AH113" s="29"/>
      <c r="AI113" s="105">
        <v>0</v>
      </c>
      <c r="AJ113" s="29"/>
      <c r="AK113" s="105">
        <v>0</v>
      </c>
      <c r="AL113" s="105"/>
      <c r="AM113" s="105">
        <v>0</v>
      </c>
      <c r="AN113" s="28"/>
      <c r="AO113" s="105">
        <v>0</v>
      </c>
      <c r="AQ113"/>
      <c r="AS113" s="51"/>
      <c r="AU113" s="52"/>
      <c r="AX113" s="31">
        <f>SUM(Q113:AP113)</f>
        <v>0</v>
      </c>
      <c r="AY113" s="31">
        <f>+O113-AX113</f>
        <v>0</v>
      </c>
    </row>
    <row r="114" spans="1:51" ht="8.1" customHeight="1" x14ac:dyDescent="0.2">
      <c r="A114" s="102"/>
      <c r="B114" s="102"/>
      <c r="C114" s="102"/>
      <c r="D114" s="65"/>
      <c r="E114" s="34"/>
      <c r="F114" s="34"/>
      <c r="G114" s="66"/>
      <c r="K114"/>
      <c r="M114" s="62"/>
      <c r="O114" s="62"/>
      <c r="P114" s="29"/>
      <c r="Q114" s="62"/>
      <c r="R114" s="29"/>
      <c r="S114" s="62"/>
      <c r="T114" s="29"/>
      <c r="U114" s="62"/>
      <c r="V114" s="29"/>
      <c r="W114" s="62"/>
      <c r="X114" s="29"/>
      <c r="Y114" s="62"/>
      <c r="Z114" s="29"/>
      <c r="AA114" s="62"/>
      <c r="AB114" s="29"/>
      <c r="AC114" s="62"/>
      <c r="AD114" s="29"/>
      <c r="AE114" s="62"/>
      <c r="AF114" s="29"/>
      <c r="AG114" s="62"/>
      <c r="AH114" s="29"/>
      <c r="AI114" s="62"/>
      <c r="AJ114" s="29"/>
      <c r="AK114" s="62"/>
      <c r="AL114" s="44"/>
      <c r="AM114" s="62"/>
      <c r="AN114" s="28"/>
      <c r="AO114" s="62"/>
      <c r="AQ114"/>
      <c r="AS114" s="51"/>
      <c r="AU114" s="52"/>
      <c r="AX114" s="62"/>
      <c r="AY114" s="62"/>
    </row>
    <row r="115" spans="1:51" x14ac:dyDescent="0.2">
      <c r="A115" s="102"/>
      <c r="B115" s="102"/>
      <c r="C115" s="102"/>
      <c r="D115" s="63" t="s">
        <v>93</v>
      </c>
      <c r="E115" s="53"/>
      <c r="F115" s="53"/>
      <c r="G115" s="56"/>
      <c r="H115" s="56"/>
      <c r="I115" s="53"/>
      <c r="J115" s="56"/>
      <c r="K115" s="56"/>
      <c r="L115" s="56"/>
      <c r="M115" s="67">
        <f>SUM(M112:M114)</f>
        <v>0</v>
      </c>
      <c r="N115" s="56"/>
      <c r="O115" s="67">
        <f>SUM(O112:O114)</f>
        <v>0</v>
      </c>
      <c r="P115" s="45"/>
      <c r="Q115" s="67">
        <f>SUM(Q112:Q114)</f>
        <v>0</v>
      </c>
      <c r="R115" s="45"/>
      <c r="S115" s="67">
        <f>SUM(S112:S114)</f>
        <v>0</v>
      </c>
      <c r="T115" s="45"/>
      <c r="U115" s="67">
        <f>SUM(U112:U114)</f>
        <v>0</v>
      </c>
      <c r="V115" s="45"/>
      <c r="W115" s="67">
        <f>SUM(W112:W114)</f>
        <v>0</v>
      </c>
      <c r="X115" s="45"/>
      <c r="Y115" s="67">
        <f>SUM(Y112:Y114)</f>
        <v>0</v>
      </c>
      <c r="Z115" s="45"/>
      <c r="AA115" s="67">
        <f>SUM(AA112:AA114)</f>
        <v>0</v>
      </c>
      <c r="AB115" s="45"/>
      <c r="AC115" s="67">
        <f>SUM(AC112:AC114)</f>
        <v>0</v>
      </c>
      <c r="AD115" s="45"/>
      <c r="AE115" s="67">
        <f>SUM(AE112:AE114)</f>
        <v>0</v>
      </c>
      <c r="AF115" s="45"/>
      <c r="AG115" s="67">
        <f>SUM(AG112:AG114)</f>
        <v>0</v>
      </c>
      <c r="AH115" s="45"/>
      <c r="AI115" s="67">
        <f>SUM(AI112:AI114)</f>
        <v>0</v>
      </c>
      <c r="AJ115" s="29"/>
      <c r="AK115" s="67">
        <f>SUM(AK112:AK114)</f>
        <v>0</v>
      </c>
      <c r="AL115" s="67"/>
      <c r="AM115" s="67">
        <f>SUM(AM112:AM114)</f>
        <v>0</v>
      </c>
      <c r="AN115" s="46"/>
      <c r="AO115" s="67">
        <f>SUM(AO112:AO114)</f>
        <v>0</v>
      </c>
      <c r="AP115" s="56"/>
      <c r="AQ115">
        <f>SUM(Q115:AK115)</f>
        <v>0</v>
      </c>
      <c r="AR115" s="7">
        <f>AQ115-O115</f>
        <v>0</v>
      </c>
      <c r="AS115" s="51"/>
      <c r="AT115" s="49">
        <f>SUM(AT114:AT114)</f>
        <v>0</v>
      </c>
      <c r="AU115" s="52"/>
      <c r="AX115" s="67">
        <f>SUM(AX112:AX114)</f>
        <v>0</v>
      </c>
      <c r="AY115" s="67">
        <f>SUM(AY112:AY114)</f>
        <v>0</v>
      </c>
    </row>
    <row r="116" spans="1:51" ht="15.75" thickBot="1" x14ac:dyDescent="0.25">
      <c r="A116" s="102"/>
      <c r="B116" s="102"/>
      <c r="C116" s="102"/>
      <c r="D116" s="63"/>
      <c r="E116" s="53"/>
      <c r="F116" s="53"/>
      <c r="G116" s="56"/>
      <c r="H116" s="56"/>
      <c r="I116" s="53"/>
      <c r="J116" s="56"/>
      <c r="K116" s="56"/>
      <c r="L116" s="56"/>
      <c r="M116" s="67"/>
      <c r="N116" s="56"/>
      <c r="O116" s="67"/>
      <c r="P116" s="45"/>
      <c r="Q116" s="67"/>
      <c r="R116" s="45"/>
      <c r="S116" s="67"/>
      <c r="T116" s="45"/>
      <c r="U116" s="67"/>
      <c r="V116" s="45"/>
      <c r="W116" s="67"/>
      <c r="X116" s="45"/>
      <c r="Y116" s="67"/>
      <c r="Z116" s="45"/>
      <c r="AA116" s="67"/>
      <c r="AB116" s="45"/>
      <c r="AC116" s="67"/>
      <c r="AD116" s="45"/>
      <c r="AE116" s="67"/>
      <c r="AF116" s="45"/>
      <c r="AG116" s="67"/>
      <c r="AH116" s="45"/>
      <c r="AI116" s="67"/>
      <c r="AJ116" s="29"/>
      <c r="AK116" s="67"/>
      <c r="AL116" s="67"/>
      <c r="AM116" s="67"/>
      <c r="AN116" s="46"/>
      <c r="AO116" s="67"/>
      <c r="AP116" s="56"/>
      <c r="AQ116"/>
      <c r="AS116" s="51"/>
      <c r="AT116" s="49"/>
      <c r="AU116" s="52"/>
      <c r="AX116" s="67"/>
      <c r="AY116" s="67"/>
    </row>
    <row r="117" spans="1:51" x14ac:dyDescent="0.2">
      <c r="A117" s="215"/>
      <c r="B117" s="216"/>
      <c r="C117" s="216"/>
      <c r="D117" s="217" t="s">
        <v>219</v>
      </c>
      <c r="E117" s="218"/>
      <c r="F117" s="218"/>
      <c r="G117" s="219"/>
      <c r="H117" s="219"/>
      <c r="I117" s="218"/>
      <c r="J117" s="219"/>
      <c r="K117" s="173" t="s">
        <v>178</v>
      </c>
      <c r="L117" s="219"/>
      <c r="M117" s="219"/>
      <c r="N117" s="219"/>
      <c r="O117" s="307"/>
      <c r="P117" s="221"/>
      <c r="Q117" s="220"/>
      <c r="R117" s="221"/>
      <c r="S117" s="220"/>
      <c r="T117" s="221"/>
      <c r="U117" s="220"/>
      <c r="V117" s="221"/>
      <c r="W117" s="220"/>
      <c r="X117" s="221"/>
      <c r="Y117" s="220"/>
      <c r="Z117" s="221"/>
      <c r="AA117" s="220"/>
      <c r="AB117" s="221"/>
      <c r="AC117" s="220"/>
      <c r="AD117" s="221"/>
      <c r="AE117" s="220"/>
      <c r="AF117" s="221"/>
      <c r="AG117" s="220"/>
      <c r="AH117" s="221"/>
      <c r="AI117" s="220"/>
      <c r="AJ117" s="222"/>
      <c r="AK117" s="220"/>
      <c r="AL117" s="220"/>
      <c r="AM117" s="220"/>
      <c r="AN117" s="223"/>
      <c r="AO117" s="220"/>
      <c r="AP117" s="219"/>
      <c r="AQ117" s="178"/>
      <c r="AR117" s="173"/>
      <c r="AS117" s="224"/>
      <c r="AT117" s="225"/>
      <c r="AU117" s="226"/>
      <c r="AV117" s="180"/>
      <c r="AW117" s="173"/>
      <c r="AX117" s="220"/>
      <c r="AY117" s="227"/>
    </row>
    <row r="118" spans="1:51" x14ac:dyDescent="0.2">
      <c r="A118" s="228"/>
      <c r="B118" s="162"/>
      <c r="C118" s="162"/>
      <c r="D118" s="229" t="s">
        <v>94</v>
      </c>
      <c r="E118" s="162"/>
      <c r="F118" s="162"/>
      <c r="G118" s="109" t="s">
        <v>95</v>
      </c>
      <c r="H118" s="162"/>
      <c r="I118" s="162"/>
      <c r="J118" s="229" t="s">
        <v>209</v>
      </c>
      <c r="K118" s="296">
        <v>1.5921286146779414</v>
      </c>
      <c r="L118" s="30"/>
      <c r="M118" s="107">
        <v>10837</v>
      </c>
      <c r="N118" s="30"/>
      <c r="O118" s="308">
        <v>9579</v>
      </c>
      <c r="P118" s="107"/>
      <c r="Q118" s="107">
        <v>0</v>
      </c>
      <c r="R118" s="28"/>
      <c r="S118" s="107">
        <f>1450</f>
        <v>1450</v>
      </c>
      <c r="T118" s="28"/>
      <c r="U118" s="107">
        <f>1661</f>
        <v>1661</v>
      </c>
      <c r="V118" s="28"/>
      <c r="W118" s="107">
        <f>1893</f>
        <v>1893</v>
      </c>
      <c r="X118" s="28"/>
      <c r="Y118" s="107">
        <f>2148</f>
        <v>2148</v>
      </c>
      <c r="Z118" s="28"/>
      <c r="AA118" s="107">
        <v>2427</v>
      </c>
      <c r="AB118" s="28"/>
      <c r="AC118" s="107">
        <v>0</v>
      </c>
      <c r="AD118" s="28"/>
      <c r="AE118" s="107">
        <v>0</v>
      </c>
      <c r="AF118" s="28"/>
      <c r="AG118" s="107">
        <v>0</v>
      </c>
      <c r="AH118" s="28"/>
      <c r="AI118" s="107">
        <v>0</v>
      </c>
      <c r="AJ118" s="28"/>
      <c r="AK118" s="107">
        <v>0</v>
      </c>
      <c r="AL118" s="107"/>
      <c r="AM118" s="107">
        <v>0</v>
      </c>
      <c r="AN118" s="107"/>
      <c r="AO118" s="107">
        <v>0</v>
      </c>
      <c r="AP118" s="30"/>
      <c r="AQ118" s="38">
        <f>SUM(Q118:AK118)</f>
        <v>9579</v>
      </c>
      <c r="AR118" s="30">
        <f>AQ118-O118</f>
        <v>0</v>
      </c>
      <c r="AS118" s="60"/>
      <c r="AT118" s="30" t="e">
        <f>O118*SUM(AU118:AV118)</f>
        <v>#REF!</v>
      </c>
      <c r="AU118" s="61"/>
      <c r="AV118" s="165" t="e">
        <f>#REF!</f>
        <v>#REF!</v>
      </c>
      <c r="AW118" s="30">
        <f>O118</f>
        <v>9579</v>
      </c>
      <c r="AX118" s="166">
        <f>SUM(Q118:AP118)</f>
        <v>9579</v>
      </c>
      <c r="AY118" s="183">
        <f>+O118-AX118</f>
        <v>0</v>
      </c>
    </row>
    <row r="119" spans="1:51" x14ac:dyDescent="0.2">
      <c r="A119" s="228"/>
      <c r="B119" s="162"/>
      <c r="C119" s="162"/>
      <c r="D119" s="229" t="s">
        <v>96</v>
      </c>
      <c r="E119" s="162"/>
      <c r="F119" s="162"/>
      <c r="G119" s="109" t="s">
        <v>95</v>
      </c>
      <c r="H119" s="162"/>
      <c r="I119" s="230" t="s">
        <v>69</v>
      </c>
      <c r="J119" s="162" t="s">
        <v>209</v>
      </c>
      <c r="K119" s="297">
        <f>+K118</f>
        <v>1.5921286146779414</v>
      </c>
      <c r="L119" s="30"/>
      <c r="M119" s="107">
        <v>8248</v>
      </c>
      <c r="N119" s="30"/>
      <c r="O119" s="308">
        <v>7338</v>
      </c>
      <c r="P119" s="107"/>
      <c r="Q119" s="107">
        <v>0</v>
      </c>
      <c r="R119" s="28"/>
      <c r="S119" s="107">
        <f>1070</f>
        <v>1070</v>
      </c>
      <c r="T119" s="28"/>
      <c r="U119" s="107">
        <f>1248</f>
        <v>1248</v>
      </c>
      <c r="V119" s="28"/>
      <c r="W119" s="107">
        <f>1446</f>
        <v>1446</v>
      </c>
      <c r="X119" s="28"/>
      <c r="Y119" s="107">
        <f>1666</f>
        <v>1666</v>
      </c>
      <c r="Z119" s="28"/>
      <c r="AA119" s="107">
        <v>1908</v>
      </c>
      <c r="AB119" s="28"/>
      <c r="AC119" s="107">
        <v>0</v>
      </c>
      <c r="AD119" s="28"/>
      <c r="AE119" s="107">
        <v>0</v>
      </c>
      <c r="AF119" s="28"/>
      <c r="AG119" s="107">
        <v>0</v>
      </c>
      <c r="AH119" s="28"/>
      <c r="AI119" s="107">
        <v>0</v>
      </c>
      <c r="AJ119" s="28"/>
      <c r="AK119" s="107">
        <v>0</v>
      </c>
      <c r="AL119" s="107"/>
      <c r="AM119" s="107">
        <v>0</v>
      </c>
      <c r="AN119" s="107"/>
      <c r="AO119" s="107">
        <v>0</v>
      </c>
      <c r="AP119" s="30"/>
      <c r="AQ119" s="38">
        <f>SUM(Q119:AK119)</f>
        <v>7338</v>
      </c>
      <c r="AR119" s="30">
        <f>AQ119-O119</f>
        <v>0</v>
      </c>
      <c r="AS119" s="60"/>
      <c r="AT119" s="30" t="e">
        <f>O119*SUM(AU119:AV119)</f>
        <v>#REF!</v>
      </c>
      <c r="AU119" s="61"/>
      <c r="AV119" s="165" t="e">
        <f>#REF!</f>
        <v>#REF!</v>
      </c>
      <c r="AW119" s="30">
        <f>O119</f>
        <v>7338</v>
      </c>
      <c r="AX119" s="166">
        <f>SUM(Q119:AP119)</f>
        <v>7338</v>
      </c>
      <c r="AY119" s="183">
        <f>+O119-AX119</f>
        <v>0</v>
      </c>
    </row>
    <row r="120" spans="1:51" ht="8.1" customHeight="1" thickBot="1" x14ac:dyDescent="0.25">
      <c r="A120" s="231"/>
      <c r="B120" s="232"/>
      <c r="C120" s="232"/>
      <c r="D120" s="189"/>
      <c r="E120" s="233"/>
      <c r="F120" s="233"/>
      <c r="G120" s="189"/>
      <c r="H120" s="189"/>
      <c r="I120" s="233"/>
      <c r="J120" s="189"/>
      <c r="K120" s="189"/>
      <c r="L120" s="189"/>
      <c r="M120" s="234"/>
      <c r="N120" s="189"/>
      <c r="O120" s="309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189"/>
      <c r="AQ120" s="191"/>
      <c r="AR120" s="189"/>
      <c r="AS120" s="236"/>
      <c r="AT120" s="189"/>
      <c r="AU120" s="237"/>
      <c r="AV120" s="193"/>
      <c r="AW120" s="189"/>
      <c r="AX120" s="189"/>
      <c r="AY120" s="238"/>
    </row>
    <row r="121" spans="1:51" x14ac:dyDescent="0.2">
      <c r="A121" s="102"/>
      <c r="B121" s="102"/>
      <c r="C121" s="102"/>
      <c r="D121" s="97" t="s">
        <v>220</v>
      </c>
      <c r="M121" s="59"/>
      <c r="O121" s="306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Q121"/>
      <c r="AS121" s="51"/>
      <c r="AU121" s="52"/>
    </row>
    <row r="122" spans="1:51" x14ac:dyDescent="0.2">
      <c r="A122" s="196"/>
      <c r="B122" s="196"/>
      <c r="C122" s="196"/>
      <c r="D122" s="211" t="s">
        <v>94</v>
      </c>
      <c r="E122" s="196"/>
      <c r="F122" s="196"/>
      <c r="G122" s="240" t="s">
        <v>95</v>
      </c>
      <c r="H122" s="196"/>
      <c r="I122" s="243">
        <v>8.5999999999999993E-2</v>
      </c>
      <c r="J122" s="196"/>
      <c r="K122" s="244">
        <f>SUM(O122:O123)</f>
        <v>26933</v>
      </c>
      <c r="L122" s="196"/>
      <c r="M122" s="107">
        <v>17253</v>
      </c>
      <c r="N122" s="196"/>
      <c r="O122" s="308">
        <f>ROUND(+O118*$K118,0)</f>
        <v>15251</v>
      </c>
      <c r="P122" s="241"/>
      <c r="Q122" s="241">
        <f>ROUND(+Q118*$K118,0)</f>
        <v>0</v>
      </c>
      <c r="R122" s="204"/>
      <c r="S122" s="241">
        <f>ROUND(+S118*$K118,0)</f>
        <v>2309</v>
      </c>
      <c r="T122" s="204"/>
      <c r="U122" s="241">
        <f>ROUND(+U118*$K118,0)</f>
        <v>2645</v>
      </c>
      <c r="V122" s="204"/>
      <c r="W122" s="241">
        <f>ROUND(+W118*$K118,0)</f>
        <v>3014</v>
      </c>
      <c r="X122" s="204"/>
      <c r="Y122" s="241">
        <f>ROUND(+Y118*$K118,0)</f>
        <v>3420</v>
      </c>
      <c r="Z122" s="204"/>
      <c r="AA122" s="298">
        <f>ROUND(+AA118*$K118,0)-1</f>
        <v>3863</v>
      </c>
      <c r="AB122" s="204"/>
      <c r="AC122" s="241">
        <f>ROUND(+AC118*$K118,0)</f>
        <v>0</v>
      </c>
      <c r="AD122" s="204"/>
      <c r="AE122" s="241">
        <f>ROUND(+AE118*$K118,0)</f>
        <v>0</v>
      </c>
      <c r="AF122" s="204"/>
      <c r="AG122" s="241">
        <f>ROUND(+AG118*$K118,0)</f>
        <v>0</v>
      </c>
      <c r="AH122" s="204"/>
      <c r="AI122" s="241">
        <f>ROUND(+AI118*$K118,0)</f>
        <v>0</v>
      </c>
      <c r="AJ122" s="213"/>
      <c r="AK122" s="241">
        <f>ROUND(+AK118*$K118,0)</f>
        <v>0</v>
      </c>
      <c r="AL122" s="241"/>
      <c r="AM122" s="241">
        <f>ROUND(+AM118*$K118,0)</f>
        <v>0</v>
      </c>
      <c r="AN122" s="241"/>
      <c r="AO122" s="241">
        <f>ROUND(+AO118*$K118,0)</f>
        <v>0</v>
      </c>
      <c r="AP122" s="30"/>
      <c r="AQ122">
        <f>SUM(Q122:AK122)</f>
        <v>15251</v>
      </c>
      <c r="AR122" s="7">
        <f>AQ122-O122</f>
        <v>0</v>
      </c>
      <c r="AS122" s="51"/>
      <c r="AT122" s="7" t="e">
        <f>O122*SUM(AU122:AV122)</f>
        <v>#REF!</v>
      </c>
      <c r="AU122" s="52"/>
      <c r="AV122" s="12" t="e">
        <f>#REF!</f>
        <v>#REF!</v>
      </c>
      <c r="AW122" s="7">
        <f>O122</f>
        <v>15251</v>
      </c>
      <c r="AX122" s="31">
        <f>SUM(Q122:AP122)</f>
        <v>15251</v>
      </c>
      <c r="AY122" s="31">
        <f>+O122-AX122</f>
        <v>0</v>
      </c>
    </row>
    <row r="123" spans="1:51" x14ac:dyDescent="0.2">
      <c r="A123" s="196"/>
      <c r="B123" s="196"/>
      <c r="C123" s="196"/>
      <c r="D123" s="211" t="s">
        <v>96</v>
      </c>
      <c r="E123" s="196"/>
      <c r="F123" s="196"/>
      <c r="G123" s="240" t="s">
        <v>95</v>
      </c>
      <c r="H123" s="196"/>
      <c r="I123" s="243">
        <v>7.5499999999999998E-2</v>
      </c>
      <c r="J123" s="196"/>
      <c r="K123" s="198"/>
      <c r="L123" s="196"/>
      <c r="M123" s="107">
        <v>13131</v>
      </c>
      <c r="N123" s="196"/>
      <c r="O123" s="308">
        <f>ROUND(+O119*$K119,0)-1</f>
        <v>11682</v>
      </c>
      <c r="P123" s="241"/>
      <c r="Q123" s="241">
        <f>ROUND(+Q119*$K119,0)</f>
        <v>0</v>
      </c>
      <c r="R123" s="204"/>
      <c r="S123" s="241">
        <f>ROUND(+S119*$K119,0)</f>
        <v>1704</v>
      </c>
      <c r="T123" s="204"/>
      <c r="U123" s="241">
        <f>ROUND(+U119*$K119,0)</f>
        <v>1987</v>
      </c>
      <c r="V123" s="204"/>
      <c r="W123" s="241">
        <f>ROUND(+W119*$K119,0)</f>
        <v>2302</v>
      </c>
      <c r="X123" s="204"/>
      <c r="Y123" s="241">
        <f>ROUND(+Y119*$K119,0)</f>
        <v>2652</v>
      </c>
      <c r="Z123" s="204"/>
      <c r="AA123" s="298">
        <f>ROUND(+AA119*$K119,0)-1</f>
        <v>3037</v>
      </c>
      <c r="AB123" s="204"/>
      <c r="AC123" s="241">
        <f>ROUND(+AC119*$K119,0)</f>
        <v>0</v>
      </c>
      <c r="AD123" s="204"/>
      <c r="AE123" s="241">
        <f>ROUND(+AE119*$K119,0)</f>
        <v>0</v>
      </c>
      <c r="AF123" s="204"/>
      <c r="AG123" s="241">
        <f>ROUND(+AG119*$K119,0)</f>
        <v>0</v>
      </c>
      <c r="AH123" s="204"/>
      <c r="AI123" s="241">
        <f>ROUND(+AI119*$K119,0)</f>
        <v>0</v>
      </c>
      <c r="AJ123" s="213"/>
      <c r="AK123" s="241">
        <f>ROUND(+AK119*$K119,0)</f>
        <v>0</v>
      </c>
      <c r="AL123" s="241"/>
      <c r="AM123" s="241">
        <f>ROUND(+AM119*$K119,0)</f>
        <v>0</v>
      </c>
      <c r="AN123" s="241"/>
      <c r="AO123" s="241">
        <f>ROUND(+AO119*$K119,0)</f>
        <v>0</v>
      </c>
      <c r="AP123" s="30"/>
      <c r="AQ123">
        <f>SUM(Q123:AK123)</f>
        <v>11682</v>
      </c>
      <c r="AR123" s="7">
        <f>AQ123-O123</f>
        <v>0</v>
      </c>
      <c r="AS123" s="51"/>
      <c r="AT123" s="7" t="e">
        <f>O123*SUM(AU123:AV123)</f>
        <v>#REF!</v>
      </c>
      <c r="AU123" s="52"/>
      <c r="AV123" s="12" t="e">
        <f>#REF!</f>
        <v>#REF!</v>
      </c>
      <c r="AW123" s="7">
        <f>O123</f>
        <v>11682</v>
      </c>
      <c r="AX123" s="31">
        <f>SUM(Q123:AP123)</f>
        <v>11682</v>
      </c>
      <c r="AY123" s="31">
        <f>+O123-AX123</f>
        <v>0</v>
      </c>
    </row>
    <row r="124" spans="1:51" ht="8.1" customHeight="1" x14ac:dyDescent="0.2">
      <c r="A124" s="102"/>
      <c r="B124" s="102"/>
      <c r="C124" s="102"/>
      <c r="D124" s="108"/>
      <c r="E124" s="102"/>
      <c r="F124" s="102"/>
      <c r="G124" s="109"/>
      <c r="H124" s="102"/>
      <c r="I124" s="155"/>
      <c r="J124" s="102"/>
      <c r="K124" s="101"/>
      <c r="M124" s="107"/>
      <c r="O124" s="308"/>
      <c r="P124" s="107"/>
      <c r="Q124" s="107"/>
      <c r="R124" s="28"/>
      <c r="S124" s="107"/>
      <c r="T124" s="28"/>
      <c r="U124" s="107"/>
      <c r="V124" s="28"/>
      <c r="W124" s="107"/>
      <c r="X124" s="28"/>
      <c r="Y124" s="107"/>
      <c r="Z124" s="28"/>
      <c r="AA124" s="107"/>
      <c r="AB124" s="28"/>
      <c r="AC124" s="107"/>
      <c r="AD124" s="28"/>
      <c r="AE124" s="107"/>
      <c r="AF124" s="28"/>
      <c r="AG124" s="107"/>
      <c r="AH124" s="28"/>
      <c r="AI124" s="107"/>
      <c r="AJ124" s="29"/>
      <c r="AK124" s="107"/>
      <c r="AL124" s="107"/>
      <c r="AM124" s="107"/>
      <c r="AN124" s="107"/>
      <c r="AO124" s="107"/>
      <c r="AP124" s="30"/>
      <c r="AQ124"/>
      <c r="AS124" s="51"/>
      <c r="AU124" s="52"/>
      <c r="AX124" s="31"/>
      <c r="AY124" s="31"/>
    </row>
    <row r="125" spans="1:51" x14ac:dyDescent="0.2">
      <c r="A125" s="102" t="s">
        <v>17</v>
      </c>
      <c r="B125" s="102"/>
      <c r="C125" s="102"/>
      <c r="D125" s="108"/>
      <c r="E125" s="102"/>
      <c r="F125" s="102"/>
      <c r="G125" s="109"/>
      <c r="H125" s="102" t="s">
        <v>255</v>
      </c>
      <c r="I125" s="110"/>
      <c r="J125" s="102"/>
      <c r="K125" s="101"/>
      <c r="M125" s="107">
        <v>5542</v>
      </c>
      <c r="O125" s="308">
        <v>5463</v>
      </c>
      <c r="P125" s="107"/>
      <c r="Q125" s="107">
        <v>0</v>
      </c>
      <c r="R125" s="28"/>
      <c r="S125" s="107">
        <v>0</v>
      </c>
      <c r="T125" s="28"/>
      <c r="U125" s="107">
        <v>0</v>
      </c>
      <c r="V125" s="28"/>
      <c r="W125" s="107">
        <v>0</v>
      </c>
      <c r="X125" s="28"/>
      <c r="Y125" s="107">
        <v>0</v>
      </c>
      <c r="Z125" s="28"/>
      <c r="AA125" s="107">
        <v>0</v>
      </c>
      <c r="AB125" s="28"/>
      <c r="AC125" s="107">
        <v>0</v>
      </c>
      <c r="AD125" s="28"/>
      <c r="AE125" s="107">
        <v>0</v>
      </c>
      <c r="AF125" s="28"/>
      <c r="AG125" s="107">
        <v>0</v>
      </c>
      <c r="AH125" s="28"/>
      <c r="AI125" s="107">
        <v>0</v>
      </c>
      <c r="AJ125" s="29"/>
      <c r="AK125" s="107">
        <v>0</v>
      </c>
      <c r="AL125" s="107"/>
      <c r="AM125" s="107">
        <f>+O125</f>
        <v>5463</v>
      </c>
      <c r="AN125" s="107"/>
      <c r="AO125" s="107">
        <v>0</v>
      </c>
      <c r="AP125" s="30"/>
      <c r="AQ125"/>
      <c r="AS125" s="51"/>
      <c r="AU125" s="52"/>
      <c r="AX125" s="31">
        <f>SUM(Q125:AP125)</f>
        <v>5463</v>
      </c>
      <c r="AY125" s="31">
        <f>+O125-AX125</f>
        <v>0</v>
      </c>
    </row>
    <row r="126" spans="1:51" x14ac:dyDescent="0.2">
      <c r="A126" s="102" t="s">
        <v>18</v>
      </c>
      <c r="B126" s="102"/>
      <c r="C126" s="102"/>
      <c r="D126" s="108"/>
      <c r="E126" s="102"/>
      <c r="F126" s="102"/>
      <c r="G126" s="109"/>
      <c r="H126" s="102" t="s">
        <v>255</v>
      </c>
      <c r="I126" s="110"/>
      <c r="J126" s="102"/>
      <c r="K126" s="101"/>
      <c r="M126" s="107">
        <v>185</v>
      </c>
      <c r="O126" s="308">
        <v>185</v>
      </c>
      <c r="P126" s="107"/>
      <c r="Q126" s="107">
        <v>0</v>
      </c>
      <c r="R126" s="28"/>
      <c r="S126" s="107">
        <v>0</v>
      </c>
      <c r="T126" s="28"/>
      <c r="U126" s="107">
        <v>0</v>
      </c>
      <c r="V126" s="28"/>
      <c r="W126" s="107">
        <v>0</v>
      </c>
      <c r="X126" s="28"/>
      <c r="Y126" s="107">
        <v>0</v>
      </c>
      <c r="Z126" s="28"/>
      <c r="AA126" s="107">
        <v>0</v>
      </c>
      <c r="AB126" s="28"/>
      <c r="AC126" s="107">
        <v>0</v>
      </c>
      <c r="AD126" s="28"/>
      <c r="AE126" s="107">
        <v>0</v>
      </c>
      <c r="AF126" s="28"/>
      <c r="AG126" s="107">
        <v>0</v>
      </c>
      <c r="AH126" s="28"/>
      <c r="AI126" s="107">
        <v>0</v>
      </c>
      <c r="AJ126" s="29"/>
      <c r="AK126" s="107">
        <v>0</v>
      </c>
      <c r="AL126" s="107"/>
      <c r="AM126" s="107">
        <f>+O126</f>
        <v>185</v>
      </c>
      <c r="AN126" s="107"/>
      <c r="AO126" s="107">
        <v>0</v>
      </c>
      <c r="AP126" s="30"/>
      <c r="AQ126"/>
      <c r="AS126" s="51"/>
      <c r="AU126" s="52"/>
      <c r="AX126" s="31">
        <f>SUM(Q126:AP126)</f>
        <v>185</v>
      </c>
      <c r="AY126" s="31">
        <f>+O126-AX126</f>
        <v>0</v>
      </c>
    </row>
    <row r="127" spans="1:51" x14ac:dyDescent="0.2">
      <c r="A127" s="102" t="s">
        <v>18</v>
      </c>
      <c r="B127" s="102"/>
      <c r="C127" s="102"/>
      <c r="D127" s="108"/>
      <c r="E127" s="102"/>
      <c r="F127" s="102"/>
      <c r="G127" s="109"/>
      <c r="H127" s="102" t="s">
        <v>256</v>
      </c>
      <c r="I127" s="110"/>
      <c r="J127" s="102"/>
      <c r="K127" s="101"/>
      <c r="M127" s="107"/>
      <c r="O127" s="308">
        <v>1878</v>
      </c>
      <c r="P127" s="107"/>
      <c r="Q127" s="107">
        <v>0</v>
      </c>
      <c r="R127" s="28"/>
      <c r="S127" s="107">
        <v>0</v>
      </c>
      <c r="T127" s="28"/>
      <c r="U127" s="107">
        <v>0</v>
      </c>
      <c r="V127" s="28"/>
      <c r="W127" s="107">
        <v>0</v>
      </c>
      <c r="X127" s="28"/>
      <c r="Y127" s="107">
        <v>0</v>
      </c>
      <c r="Z127" s="28"/>
      <c r="AA127" s="107">
        <v>0</v>
      </c>
      <c r="AB127" s="28"/>
      <c r="AC127" s="107">
        <v>0</v>
      </c>
      <c r="AD127" s="28"/>
      <c r="AE127" s="107">
        <v>0</v>
      </c>
      <c r="AF127" s="28"/>
      <c r="AG127" s="107">
        <v>0</v>
      </c>
      <c r="AH127" s="28"/>
      <c r="AI127" s="107">
        <v>0</v>
      </c>
      <c r="AJ127" s="29"/>
      <c r="AK127" s="107">
        <v>0</v>
      </c>
      <c r="AL127" s="107"/>
      <c r="AM127" s="107">
        <f>+O127</f>
        <v>1878</v>
      </c>
      <c r="AN127" s="107"/>
      <c r="AO127" s="107">
        <v>0</v>
      </c>
      <c r="AP127" s="30"/>
      <c r="AQ127"/>
      <c r="AS127" s="51"/>
      <c r="AU127" s="52"/>
      <c r="AX127" s="31">
        <f>SUM(Q127:AP127)</f>
        <v>1878</v>
      </c>
      <c r="AY127" s="31">
        <f>+O127-AX127</f>
        <v>0</v>
      </c>
    </row>
    <row r="128" spans="1:51" x14ac:dyDescent="0.2">
      <c r="A128" s="102"/>
      <c r="B128" s="102"/>
      <c r="C128" s="102"/>
      <c r="D128" s="108"/>
      <c r="E128" s="102"/>
      <c r="F128" s="102"/>
      <c r="G128" s="109"/>
      <c r="H128" s="102" t="s">
        <v>177</v>
      </c>
      <c r="I128" s="110"/>
      <c r="J128" s="102"/>
      <c r="K128" s="101"/>
      <c r="M128" s="107">
        <v>436</v>
      </c>
      <c r="O128" s="308">
        <v>0</v>
      </c>
      <c r="P128" s="107"/>
      <c r="Q128" s="107">
        <v>0</v>
      </c>
      <c r="R128" s="28"/>
      <c r="S128" s="107">
        <v>0</v>
      </c>
      <c r="T128" s="28"/>
      <c r="U128" s="107">
        <v>0</v>
      </c>
      <c r="V128" s="28"/>
      <c r="W128" s="107">
        <v>0</v>
      </c>
      <c r="X128" s="28"/>
      <c r="Y128" s="107">
        <v>0</v>
      </c>
      <c r="Z128" s="28"/>
      <c r="AA128" s="107">
        <v>0</v>
      </c>
      <c r="AB128" s="28"/>
      <c r="AC128" s="107">
        <v>0</v>
      </c>
      <c r="AD128" s="28"/>
      <c r="AE128" s="107">
        <v>0</v>
      </c>
      <c r="AF128" s="28"/>
      <c r="AG128" s="107">
        <v>0</v>
      </c>
      <c r="AH128" s="28"/>
      <c r="AI128" s="107">
        <v>0</v>
      </c>
      <c r="AJ128" s="29"/>
      <c r="AK128" s="107">
        <f>+O128</f>
        <v>0</v>
      </c>
      <c r="AL128" s="107"/>
      <c r="AM128" s="107">
        <f>+Q128</f>
        <v>0</v>
      </c>
      <c r="AN128" s="107"/>
      <c r="AO128" s="107">
        <v>0</v>
      </c>
      <c r="AP128" s="30"/>
      <c r="AQ128"/>
      <c r="AS128" s="51"/>
      <c r="AU128" s="52"/>
      <c r="AX128" s="31">
        <f>SUM(Q128:AP128)</f>
        <v>0</v>
      </c>
      <c r="AY128" s="31">
        <f>+O128-AX128</f>
        <v>0</v>
      </c>
    </row>
    <row r="129" spans="1:51" ht="8.1" customHeight="1" x14ac:dyDescent="0.2">
      <c r="A129" s="102"/>
      <c r="B129" s="102"/>
      <c r="C129" s="102"/>
      <c r="D129" s="68"/>
      <c r="E129"/>
      <c r="F129"/>
      <c r="G129" s="69"/>
      <c r="I129" s="70"/>
      <c r="K129" s="23"/>
      <c r="M129" s="71"/>
      <c r="O129" s="310"/>
      <c r="P129" s="28"/>
      <c r="Q129" s="71"/>
      <c r="R129" s="28"/>
      <c r="S129" s="71"/>
      <c r="T129" s="28"/>
      <c r="U129" s="71"/>
      <c r="V129" s="28"/>
      <c r="W129" s="71"/>
      <c r="X129" s="28"/>
      <c r="Y129" s="71"/>
      <c r="Z129" s="28"/>
      <c r="AA129" s="71"/>
      <c r="AB129" s="28"/>
      <c r="AC129" s="71"/>
      <c r="AD129" s="28"/>
      <c r="AE129" s="71"/>
      <c r="AF129" s="28"/>
      <c r="AG129" s="71"/>
      <c r="AH129" s="28"/>
      <c r="AI129" s="71"/>
      <c r="AJ129" s="29"/>
      <c r="AK129" s="71"/>
      <c r="AL129" s="295"/>
      <c r="AM129" s="71"/>
      <c r="AN129" s="28"/>
      <c r="AO129" s="71"/>
      <c r="AP129" s="30"/>
      <c r="AQ129"/>
      <c r="AS129" s="51"/>
      <c r="AU129" s="52"/>
      <c r="AX129" s="71"/>
      <c r="AY129" s="71"/>
    </row>
    <row r="130" spans="1:51" x14ac:dyDescent="0.2">
      <c r="A130" s="102"/>
      <c r="B130" s="102"/>
      <c r="C130" s="102"/>
      <c r="D130" s="13" t="s">
        <v>137</v>
      </c>
      <c r="E130" s="23"/>
      <c r="F130" s="23"/>
      <c r="M130" s="33">
        <f>SUM(M121:M129)</f>
        <v>36547</v>
      </c>
      <c r="O130" s="303">
        <f>SUM(O121:O129)</f>
        <v>34459</v>
      </c>
      <c r="P130" s="29"/>
      <c r="Q130" s="33">
        <f>SUM(Q121:Q129)</f>
        <v>0</v>
      </c>
      <c r="R130" s="29"/>
      <c r="S130" s="33">
        <f>SUM(S121:S129)</f>
        <v>4013</v>
      </c>
      <c r="T130" s="29"/>
      <c r="U130" s="33">
        <f>SUM(U121:U129)</f>
        <v>4632</v>
      </c>
      <c r="V130" s="29"/>
      <c r="W130" s="33">
        <f>SUM(W121:W129)</f>
        <v>5316</v>
      </c>
      <c r="X130" s="29"/>
      <c r="Y130" s="33">
        <f>SUM(Y121:Y129)</f>
        <v>6072</v>
      </c>
      <c r="Z130" s="29"/>
      <c r="AA130" s="33">
        <f>SUM(AA121:AA129)</f>
        <v>6900</v>
      </c>
      <c r="AB130" s="29"/>
      <c r="AC130" s="33">
        <f>SUM(AC121:AC129)</f>
        <v>0</v>
      </c>
      <c r="AD130" s="29"/>
      <c r="AE130" s="33">
        <f>SUM(AE121:AE129)</f>
        <v>0</v>
      </c>
      <c r="AF130" s="29"/>
      <c r="AG130" s="33">
        <f>SUM(AG121:AG129)</f>
        <v>0</v>
      </c>
      <c r="AH130" s="29"/>
      <c r="AI130" s="33">
        <f>SUM(AI121:AI129)</f>
        <v>0</v>
      </c>
      <c r="AJ130" s="29"/>
      <c r="AK130" s="33">
        <f>SUM(AK121:AK129)</f>
        <v>0</v>
      </c>
      <c r="AL130" s="33"/>
      <c r="AM130" s="33">
        <f>SUM(AM121:AM129)</f>
        <v>7526</v>
      </c>
      <c r="AN130" s="26"/>
      <c r="AO130" s="33">
        <f>SUM(AO121:AO129)</f>
        <v>0</v>
      </c>
      <c r="AQ130">
        <f>SUM(Q130:AK130)</f>
        <v>26933</v>
      </c>
      <c r="AR130" s="7">
        <f>AQ130-O130</f>
        <v>-7526</v>
      </c>
      <c r="AS130" s="51"/>
      <c r="AT130" s="72" t="e">
        <f>SUM(AT122:AT123)</f>
        <v>#REF!</v>
      </c>
      <c r="AU130" s="52"/>
      <c r="AX130" s="33">
        <f>SUM(AX121:AX129)</f>
        <v>34459</v>
      </c>
      <c r="AY130" s="33">
        <f>SUM(AY121:AY129)</f>
        <v>0</v>
      </c>
    </row>
    <row r="131" spans="1:51" x14ac:dyDescent="0.2">
      <c r="A131" s="102"/>
      <c r="B131" s="102"/>
      <c r="C131" s="102"/>
      <c r="D131" s="13"/>
      <c r="E131" s="23"/>
      <c r="F131" s="23"/>
      <c r="I131" s="6" t="s">
        <v>97</v>
      </c>
      <c r="M131" s="107">
        <v>0</v>
      </c>
      <c r="O131" s="308">
        <v>0</v>
      </c>
      <c r="P131" s="107"/>
      <c r="Q131" s="107">
        <v>0</v>
      </c>
      <c r="R131" s="28"/>
      <c r="S131" s="107">
        <v>0</v>
      </c>
      <c r="T131" s="28"/>
      <c r="U131" s="107">
        <v>0</v>
      </c>
      <c r="V131" s="28"/>
      <c r="W131" s="107">
        <v>0</v>
      </c>
      <c r="X131" s="28"/>
      <c r="Y131" s="107">
        <v>0</v>
      </c>
      <c r="Z131" s="28"/>
      <c r="AA131" s="107">
        <v>0</v>
      </c>
      <c r="AB131" s="28"/>
      <c r="AC131" s="107">
        <v>0</v>
      </c>
      <c r="AD131" s="28"/>
      <c r="AE131" s="107">
        <v>0</v>
      </c>
      <c r="AF131" s="28"/>
      <c r="AG131" s="107">
        <v>0</v>
      </c>
      <c r="AH131" s="28"/>
      <c r="AI131" s="107">
        <v>0</v>
      </c>
      <c r="AJ131" s="29"/>
      <c r="AK131" s="107">
        <v>0</v>
      </c>
      <c r="AL131" s="107"/>
      <c r="AM131" s="107">
        <v>0</v>
      </c>
      <c r="AN131" s="107"/>
      <c r="AO131" s="107">
        <f>+O131</f>
        <v>0</v>
      </c>
      <c r="AQ131"/>
      <c r="AS131" s="51"/>
      <c r="AT131" s="72"/>
      <c r="AU131" s="52"/>
      <c r="AX131" s="31">
        <f>SUM(Q131:AP131)</f>
        <v>0</v>
      </c>
      <c r="AY131" s="31">
        <f>+O131-AX131</f>
        <v>0</v>
      </c>
    </row>
    <row r="132" spans="1:51" ht="8.1" customHeight="1" x14ac:dyDescent="0.2">
      <c r="A132" s="102"/>
      <c r="B132" s="102"/>
      <c r="C132" s="102"/>
      <c r="D132" s="13"/>
      <c r="E132" s="23"/>
      <c r="F132" s="23"/>
      <c r="M132" s="114"/>
      <c r="O132" s="310"/>
      <c r="P132" s="107"/>
      <c r="Q132" s="114"/>
      <c r="R132" s="28"/>
      <c r="S132" s="114"/>
      <c r="T132" s="28"/>
      <c r="U132" s="114"/>
      <c r="V132" s="28"/>
      <c r="W132" s="114"/>
      <c r="X132" s="28"/>
      <c r="Y132" s="114"/>
      <c r="Z132" s="28"/>
      <c r="AA132" s="114"/>
      <c r="AB132" s="28"/>
      <c r="AC132" s="114"/>
      <c r="AD132" s="28"/>
      <c r="AE132" s="114"/>
      <c r="AF132" s="28"/>
      <c r="AG132" s="114"/>
      <c r="AH132" s="28"/>
      <c r="AI132" s="114"/>
      <c r="AJ132" s="29"/>
      <c r="AK132" s="114"/>
      <c r="AL132" s="107"/>
      <c r="AM132" s="114"/>
      <c r="AN132" s="107"/>
      <c r="AO132" s="114"/>
      <c r="AQ132"/>
      <c r="AS132" s="51"/>
      <c r="AT132" s="72"/>
      <c r="AU132" s="52"/>
      <c r="AX132" s="114"/>
      <c r="AY132" s="114"/>
    </row>
    <row r="133" spans="1:51" x14ac:dyDescent="0.2">
      <c r="A133" s="102"/>
      <c r="B133" s="102"/>
      <c r="C133" s="102"/>
      <c r="D133" s="13" t="s">
        <v>137</v>
      </c>
      <c r="E133" s="23"/>
      <c r="F133" s="23"/>
      <c r="G133" s="54" t="s">
        <v>98</v>
      </c>
      <c r="M133" s="33">
        <f>SUM(M130:M132)</f>
        <v>36547</v>
      </c>
      <c r="O133" s="303">
        <f>SUM(O130:O132)</f>
        <v>34459</v>
      </c>
      <c r="P133" s="29"/>
      <c r="Q133" s="33">
        <f>SUM(Q130:Q132)</f>
        <v>0</v>
      </c>
      <c r="R133" s="29"/>
      <c r="S133" s="33">
        <f>SUM(S130:S132)</f>
        <v>4013</v>
      </c>
      <c r="T133" s="29"/>
      <c r="U133" s="33">
        <f>SUM(U130:U132)</f>
        <v>4632</v>
      </c>
      <c r="V133" s="29"/>
      <c r="W133" s="33">
        <f>SUM(W130:W132)</f>
        <v>5316</v>
      </c>
      <c r="X133" s="29"/>
      <c r="Y133" s="33">
        <f>SUM(Y130:Y132)</f>
        <v>6072</v>
      </c>
      <c r="Z133" s="29"/>
      <c r="AA133" s="33">
        <f>SUM(AA130:AA132)</f>
        <v>6900</v>
      </c>
      <c r="AB133" s="29"/>
      <c r="AC133" s="33">
        <f>SUM(AC130:AC132)</f>
        <v>0</v>
      </c>
      <c r="AD133" s="29"/>
      <c r="AE133" s="33">
        <f>SUM(AE130:AE132)</f>
        <v>0</v>
      </c>
      <c r="AF133" s="29"/>
      <c r="AG133" s="33">
        <f>SUM(AG130:AG132)</f>
        <v>0</v>
      </c>
      <c r="AH133" s="29"/>
      <c r="AI133" s="33">
        <f>SUM(AI130:AI132)</f>
        <v>0</v>
      </c>
      <c r="AJ133" s="29"/>
      <c r="AK133" s="33">
        <f>SUM(AK130:AK132)</f>
        <v>0</v>
      </c>
      <c r="AL133" s="33"/>
      <c r="AM133" s="33">
        <f>SUM(AM130:AM132)</f>
        <v>7526</v>
      </c>
      <c r="AN133" s="26"/>
      <c r="AO133" s="33">
        <f>SUM(AO130:AO132)</f>
        <v>0</v>
      </c>
      <c r="AQ133"/>
      <c r="AS133" s="51"/>
      <c r="AT133" s="72"/>
      <c r="AU133" s="52"/>
      <c r="AX133" s="33">
        <f>SUM(AX130:AX132)</f>
        <v>34459</v>
      </c>
      <c r="AY133" s="33">
        <f>SUM(AY130:AY132)</f>
        <v>0</v>
      </c>
    </row>
    <row r="134" spans="1:51" x14ac:dyDescent="0.2">
      <c r="A134" s="102"/>
      <c r="B134" s="102"/>
      <c r="C134" s="102"/>
      <c r="D134" s="13"/>
      <c r="E134" s="23"/>
      <c r="F134" s="23"/>
      <c r="O134" s="33"/>
      <c r="P134" s="29"/>
      <c r="Q134" s="26"/>
      <c r="R134" s="29"/>
      <c r="S134" s="26"/>
      <c r="T134" s="29"/>
      <c r="U134" s="26"/>
      <c r="V134" s="29"/>
      <c r="W134" s="26"/>
      <c r="X134" s="29"/>
      <c r="Y134" s="26"/>
      <c r="Z134" s="29"/>
      <c r="AA134" s="26"/>
      <c r="AB134" s="29"/>
      <c r="AC134" s="26"/>
      <c r="AD134" s="29"/>
      <c r="AE134" s="26"/>
      <c r="AF134" s="29"/>
      <c r="AG134" s="26"/>
      <c r="AH134" s="29"/>
      <c r="AI134" s="26"/>
      <c r="AJ134" s="29"/>
      <c r="AK134" s="29"/>
      <c r="AL134" s="29"/>
      <c r="AM134" s="29"/>
      <c r="AN134" s="29"/>
      <c r="AO134" s="29"/>
      <c r="AQ134">
        <f>SUM(Q134:AK134)</f>
        <v>0</v>
      </c>
      <c r="AR134" s="7">
        <f>AQ134-O134</f>
        <v>0</v>
      </c>
      <c r="AS134" s="51"/>
      <c r="AU134" s="52"/>
    </row>
    <row r="135" spans="1:51" x14ac:dyDescent="0.2">
      <c r="A135" s="102"/>
      <c r="B135" s="102"/>
      <c r="C135" s="102"/>
      <c r="D135" s="13" t="s">
        <v>99</v>
      </c>
      <c r="E135" s="23"/>
      <c r="F135" s="23"/>
      <c r="O135" s="33"/>
      <c r="P135" s="29"/>
      <c r="Q135" s="26"/>
      <c r="R135" s="29"/>
      <c r="S135" s="26"/>
      <c r="T135" s="29"/>
      <c r="U135" s="26"/>
      <c r="V135" s="29"/>
      <c r="W135" s="26"/>
      <c r="X135" s="29"/>
      <c r="Y135" s="26"/>
      <c r="Z135" s="29"/>
      <c r="AA135" s="26"/>
      <c r="AB135" s="29"/>
      <c r="AC135" s="26"/>
      <c r="AD135" s="29"/>
      <c r="AE135" s="26"/>
      <c r="AF135" s="29"/>
      <c r="AG135" s="26"/>
      <c r="AH135" s="29"/>
      <c r="AI135" s="26"/>
      <c r="AJ135" s="29"/>
      <c r="AK135" s="29"/>
      <c r="AL135" s="29"/>
      <c r="AM135" s="29"/>
      <c r="AN135" s="29"/>
      <c r="AO135" s="29"/>
      <c r="AQ135"/>
      <c r="AS135" s="51"/>
      <c r="AU135" s="52"/>
    </row>
    <row r="136" spans="1:51" x14ac:dyDescent="0.2">
      <c r="A136" s="102"/>
      <c r="B136" s="102"/>
      <c r="C136" s="102"/>
      <c r="D136" s="8" t="s">
        <v>186</v>
      </c>
      <c r="E136" s="23"/>
      <c r="F136" s="23"/>
      <c r="O136" s="33"/>
      <c r="P136" s="29"/>
      <c r="Q136" s="26"/>
      <c r="R136" s="29"/>
      <c r="S136" s="26"/>
      <c r="T136" s="29"/>
      <c r="U136" s="26"/>
      <c r="V136" s="29"/>
      <c r="W136" s="26"/>
      <c r="X136" s="29"/>
      <c r="Y136" s="26"/>
      <c r="Z136" s="29"/>
      <c r="AA136" s="26"/>
      <c r="AB136" s="29"/>
      <c r="AC136" s="26"/>
      <c r="AD136" s="29"/>
      <c r="AE136" s="26"/>
      <c r="AF136" s="29"/>
      <c r="AG136" s="26"/>
      <c r="AH136" s="29"/>
      <c r="AI136" s="26"/>
      <c r="AJ136" s="29"/>
      <c r="AK136" s="29"/>
      <c r="AL136" s="29"/>
      <c r="AM136" s="29"/>
      <c r="AN136" s="29"/>
      <c r="AO136" s="29"/>
      <c r="AQ136"/>
      <c r="AS136" s="51"/>
      <c r="AU136" s="52"/>
    </row>
    <row r="137" spans="1:51" x14ac:dyDescent="0.2">
      <c r="A137" s="102" t="s">
        <v>4</v>
      </c>
      <c r="B137" s="102"/>
      <c r="C137" s="102"/>
      <c r="D137" s="117">
        <v>8.8800000000000004E-2</v>
      </c>
      <c r="E137" s="101"/>
      <c r="F137" s="101"/>
      <c r="G137" s="118">
        <v>36384</v>
      </c>
      <c r="H137" s="102"/>
      <c r="I137" s="112"/>
      <c r="J137" s="102"/>
      <c r="K137" s="102"/>
      <c r="M137" s="103">
        <v>0</v>
      </c>
      <c r="O137" s="103">
        <v>0</v>
      </c>
      <c r="P137" s="29"/>
      <c r="Q137" s="103">
        <v>0</v>
      </c>
      <c r="R137" s="29"/>
      <c r="S137" s="103">
        <v>0</v>
      </c>
      <c r="T137" s="29"/>
      <c r="U137" s="103">
        <v>0</v>
      </c>
      <c r="V137" s="29"/>
      <c r="W137" s="103">
        <v>0</v>
      </c>
      <c r="X137" s="29"/>
      <c r="Y137" s="103">
        <v>0</v>
      </c>
      <c r="Z137" s="29"/>
      <c r="AA137" s="103">
        <v>0</v>
      </c>
      <c r="AB137" s="29"/>
      <c r="AC137" s="103">
        <v>0</v>
      </c>
      <c r="AD137" s="29"/>
      <c r="AE137" s="103">
        <v>0</v>
      </c>
      <c r="AF137" s="29"/>
      <c r="AG137" s="103">
        <v>0</v>
      </c>
      <c r="AH137" s="29"/>
      <c r="AI137" s="103">
        <v>0</v>
      </c>
      <c r="AJ137" s="29"/>
      <c r="AK137" s="103">
        <v>0</v>
      </c>
      <c r="AL137" s="103"/>
      <c r="AM137" s="103">
        <v>0</v>
      </c>
      <c r="AN137" s="26"/>
      <c r="AO137" s="103">
        <v>0</v>
      </c>
      <c r="AQ137"/>
      <c r="AS137" s="51"/>
      <c r="AU137" s="52"/>
      <c r="AX137" s="31">
        <f t="shared" ref="AX137:AX151" si="15">SUM(Q137:AP137)</f>
        <v>0</v>
      </c>
      <c r="AY137" s="31">
        <f t="shared" ref="AY137:AY151" si="16">+O137-AX137</f>
        <v>0</v>
      </c>
    </row>
    <row r="138" spans="1:51" x14ac:dyDescent="0.2">
      <c r="A138" s="102" t="s">
        <v>4</v>
      </c>
      <c r="B138" s="102"/>
      <c r="C138" s="102"/>
      <c r="D138" s="117">
        <v>7.2800000000000004E-2</v>
      </c>
      <c r="E138" s="101"/>
      <c r="F138" s="101"/>
      <c r="G138" s="118">
        <v>36173</v>
      </c>
      <c r="H138" s="102"/>
      <c r="I138" s="112"/>
      <c r="J138" s="102"/>
      <c r="K138" s="102"/>
      <c r="M138" s="103">
        <v>0</v>
      </c>
      <c r="O138" s="103">
        <v>0</v>
      </c>
      <c r="P138" s="29"/>
      <c r="Q138" s="103">
        <v>0</v>
      </c>
      <c r="R138" s="29"/>
      <c r="S138" s="103">
        <v>0</v>
      </c>
      <c r="T138" s="29"/>
      <c r="U138" s="103">
        <v>0</v>
      </c>
      <c r="V138" s="29"/>
      <c r="W138" s="103">
        <v>0</v>
      </c>
      <c r="X138" s="29"/>
      <c r="Y138" s="103">
        <v>0</v>
      </c>
      <c r="Z138" s="29"/>
      <c r="AA138" s="103">
        <v>0</v>
      </c>
      <c r="AB138" s="29"/>
      <c r="AC138" s="103">
        <v>0</v>
      </c>
      <c r="AD138" s="29"/>
      <c r="AE138" s="103">
        <v>0</v>
      </c>
      <c r="AF138" s="29"/>
      <c r="AG138" s="103">
        <v>0</v>
      </c>
      <c r="AH138" s="29"/>
      <c r="AI138" s="103">
        <v>0</v>
      </c>
      <c r="AJ138" s="29"/>
      <c r="AK138" s="103">
        <v>0</v>
      </c>
      <c r="AL138" s="103"/>
      <c r="AM138" s="103">
        <v>0</v>
      </c>
      <c r="AN138" s="26"/>
      <c r="AO138" s="103">
        <v>0</v>
      </c>
      <c r="AQ138"/>
      <c r="AS138" s="51"/>
      <c r="AU138" s="52"/>
      <c r="AX138" s="31">
        <f t="shared" si="15"/>
        <v>0</v>
      </c>
      <c r="AY138" s="31">
        <f t="shared" si="16"/>
        <v>0</v>
      </c>
    </row>
    <row r="139" spans="1:51" x14ac:dyDescent="0.2">
      <c r="A139" s="102" t="s">
        <v>4</v>
      </c>
      <c r="B139" s="102"/>
      <c r="C139" s="102"/>
      <c r="D139" s="117">
        <v>6.6250000000000003E-2</v>
      </c>
      <c r="E139" s="101"/>
      <c r="F139" s="101"/>
      <c r="G139" s="118">
        <v>36403</v>
      </c>
      <c r="H139" s="102"/>
      <c r="I139" s="112"/>
      <c r="J139" s="102"/>
      <c r="K139" s="102"/>
      <c r="M139" s="103">
        <v>0</v>
      </c>
      <c r="O139" s="103">
        <v>0</v>
      </c>
      <c r="P139" s="29"/>
      <c r="Q139" s="103">
        <v>0</v>
      </c>
      <c r="R139" s="29"/>
      <c r="S139" s="103">
        <v>0</v>
      </c>
      <c r="T139" s="29"/>
      <c r="U139" s="103">
        <v>0</v>
      </c>
      <c r="V139" s="29"/>
      <c r="W139" s="103">
        <v>0</v>
      </c>
      <c r="X139" s="29"/>
      <c r="Y139" s="103">
        <v>0</v>
      </c>
      <c r="Z139" s="29"/>
      <c r="AA139" s="103">
        <v>0</v>
      </c>
      <c r="AB139" s="29"/>
      <c r="AC139" s="103">
        <v>0</v>
      </c>
      <c r="AD139" s="29"/>
      <c r="AE139" s="103">
        <v>0</v>
      </c>
      <c r="AF139" s="29"/>
      <c r="AG139" s="103">
        <v>0</v>
      </c>
      <c r="AH139" s="29"/>
      <c r="AI139" s="103">
        <v>0</v>
      </c>
      <c r="AJ139" s="29"/>
      <c r="AK139" s="103">
        <v>0</v>
      </c>
      <c r="AL139" s="103"/>
      <c r="AM139" s="103">
        <v>0</v>
      </c>
      <c r="AN139" s="26"/>
      <c r="AO139" s="103">
        <v>0</v>
      </c>
      <c r="AQ139"/>
      <c r="AS139" s="51"/>
      <c r="AU139" s="52"/>
      <c r="AX139" s="31">
        <f t="shared" si="15"/>
        <v>0</v>
      </c>
      <c r="AY139" s="31">
        <f t="shared" si="16"/>
        <v>0</v>
      </c>
    </row>
    <row r="140" spans="1:51" x14ac:dyDescent="0.2">
      <c r="A140" s="102" t="s">
        <v>4</v>
      </c>
      <c r="B140" s="102"/>
      <c r="C140" s="102"/>
      <c r="D140" s="117">
        <v>6.7500000000000004E-2</v>
      </c>
      <c r="E140" s="101"/>
      <c r="F140" s="101"/>
      <c r="G140" s="118">
        <v>36692</v>
      </c>
      <c r="H140" s="102"/>
      <c r="I140" s="112"/>
      <c r="J140" s="102"/>
      <c r="K140" s="102"/>
      <c r="M140" s="103">
        <v>25000</v>
      </c>
      <c r="O140" s="103">
        <v>0</v>
      </c>
      <c r="P140" s="29"/>
      <c r="Q140" s="103">
        <f>+$O140</f>
        <v>0</v>
      </c>
      <c r="R140" s="29"/>
      <c r="S140" s="103">
        <v>0</v>
      </c>
      <c r="T140" s="29"/>
      <c r="U140" s="103">
        <v>0</v>
      </c>
      <c r="V140" s="29"/>
      <c r="W140" s="103">
        <v>0</v>
      </c>
      <c r="X140" s="29"/>
      <c r="Y140" s="103">
        <v>0</v>
      </c>
      <c r="Z140" s="29"/>
      <c r="AA140" s="103">
        <v>0</v>
      </c>
      <c r="AB140" s="29"/>
      <c r="AC140" s="103">
        <v>0</v>
      </c>
      <c r="AD140" s="29"/>
      <c r="AE140" s="103">
        <v>0</v>
      </c>
      <c r="AF140" s="29"/>
      <c r="AG140" s="103">
        <v>0</v>
      </c>
      <c r="AH140" s="29"/>
      <c r="AI140" s="103">
        <v>0</v>
      </c>
      <c r="AJ140" s="29"/>
      <c r="AK140" s="103">
        <v>0</v>
      </c>
      <c r="AL140" s="103"/>
      <c r="AM140" s="103">
        <v>0</v>
      </c>
      <c r="AN140" s="26"/>
      <c r="AO140" s="103">
        <v>0</v>
      </c>
      <c r="AQ140"/>
      <c r="AS140" s="51"/>
      <c r="AU140" s="52"/>
      <c r="AX140" s="31">
        <f t="shared" si="15"/>
        <v>0</v>
      </c>
      <c r="AY140" s="31">
        <f t="shared" si="16"/>
        <v>0</v>
      </c>
    </row>
    <row r="141" spans="1:51" x14ac:dyDescent="0.2">
      <c r="A141" s="102" t="s">
        <v>4</v>
      </c>
      <c r="B141" s="102"/>
      <c r="C141" s="102"/>
      <c r="D141" s="117">
        <v>7.3999999999999996E-2</v>
      </c>
      <c r="E141" s="101"/>
      <c r="F141" s="101"/>
      <c r="G141" s="118">
        <v>37149</v>
      </c>
      <c r="H141" s="102"/>
      <c r="I141" s="112"/>
      <c r="J141" s="102"/>
      <c r="K141" s="102"/>
      <c r="M141" s="103">
        <v>45000</v>
      </c>
      <c r="O141" s="103">
        <v>45000</v>
      </c>
      <c r="P141" s="29"/>
      <c r="Q141" s="103">
        <v>0</v>
      </c>
      <c r="R141" s="29"/>
      <c r="S141" s="103">
        <f>+$O141</f>
        <v>45000</v>
      </c>
      <c r="T141" s="29"/>
      <c r="U141" s="103">
        <v>0</v>
      </c>
      <c r="V141" s="29"/>
      <c r="W141" s="103">
        <v>0</v>
      </c>
      <c r="X141" s="29"/>
      <c r="Y141" s="103">
        <v>0</v>
      </c>
      <c r="Z141" s="29"/>
      <c r="AA141" s="103">
        <v>0</v>
      </c>
      <c r="AB141" s="29"/>
      <c r="AC141" s="103">
        <v>0</v>
      </c>
      <c r="AD141" s="29"/>
      <c r="AE141" s="103">
        <v>0</v>
      </c>
      <c r="AF141" s="29"/>
      <c r="AG141" s="103">
        <v>0</v>
      </c>
      <c r="AH141" s="29"/>
      <c r="AI141" s="103">
        <v>0</v>
      </c>
      <c r="AJ141" s="29"/>
      <c r="AK141" s="103">
        <v>0</v>
      </c>
      <c r="AL141" s="103"/>
      <c r="AM141" s="103">
        <v>0</v>
      </c>
      <c r="AN141" s="26"/>
      <c r="AO141" s="103">
        <v>0</v>
      </c>
      <c r="AQ141"/>
      <c r="AS141" s="51"/>
      <c r="AU141" s="52"/>
      <c r="AX141" s="31">
        <f t="shared" si="15"/>
        <v>45000</v>
      </c>
      <c r="AY141" s="31">
        <f t="shared" si="16"/>
        <v>0</v>
      </c>
    </row>
    <row r="142" spans="1:51" x14ac:dyDescent="0.2">
      <c r="A142" s="102" t="s">
        <v>4</v>
      </c>
      <c r="B142" s="102"/>
      <c r="C142" s="102"/>
      <c r="D142" s="117">
        <v>7.6600000000000001E-2</v>
      </c>
      <c r="E142" s="101"/>
      <c r="F142" s="101"/>
      <c r="G142" s="118">
        <v>37270</v>
      </c>
      <c r="H142" s="102"/>
      <c r="I142" s="112"/>
      <c r="J142" s="102"/>
      <c r="K142" s="102"/>
      <c r="M142" s="103">
        <v>15000</v>
      </c>
      <c r="O142" s="103">
        <v>15000</v>
      </c>
      <c r="P142" s="29"/>
      <c r="Q142" s="103">
        <v>0</v>
      </c>
      <c r="R142" s="29"/>
      <c r="S142" s="103">
        <v>0</v>
      </c>
      <c r="T142" s="29"/>
      <c r="U142" s="103">
        <f>+$O142</f>
        <v>15000</v>
      </c>
      <c r="V142" s="29"/>
      <c r="W142" s="103">
        <v>0</v>
      </c>
      <c r="X142" s="29"/>
      <c r="Y142" s="103">
        <v>0</v>
      </c>
      <c r="Z142" s="29"/>
      <c r="AA142" s="103">
        <v>0</v>
      </c>
      <c r="AB142" s="29"/>
      <c r="AC142" s="103">
        <v>0</v>
      </c>
      <c r="AD142" s="29"/>
      <c r="AE142" s="103">
        <v>0</v>
      </c>
      <c r="AF142" s="29"/>
      <c r="AG142" s="103">
        <v>0</v>
      </c>
      <c r="AH142" s="29"/>
      <c r="AI142" s="103">
        <v>0</v>
      </c>
      <c r="AJ142" s="29"/>
      <c r="AK142" s="103">
        <v>0</v>
      </c>
      <c r="AL142" s="103"/>
      <c r="AM142" s="103">
        <v>0</v>
      </c>
      <c r="AN142" s="26"/>
      <c r="AO142" s="103">
        <v>0</v>
      </c>
      <c r="AQ142"/>
      <c r="AS142" s="51"/>
      <c r="AU142" s="52"/>
      <c r="AX142" s="31">
        <f t="shared" si="15"/>
        <v>15000</v>
      </c>
      <c r="AY142" s="31">
        <f t="shared" si="16"/>
        <v>0</v>
      </c>
    </row>
    <row r="143" spans="1:51" x14ac:dyDescent="0.2">
      <c r="A143" s="102" t="s">
        <v>4</v>
      </c>
      <c r="B143" s="102"/>
      <c r="C143" s="102"/>
      <c r="D143" s="117">
        <v>6.4699999999999994E-2</v>
      </c>
      <c r="E143" s="101"/>
      <c r="F143" s="101"/>
      <c r="G143" s="300">
        <v>37848</v>
      </c>
      <c r="H143" s="122"/>
      <c r="I143" s="112"/>
      <c r="J143" s="102"/>
      <c r="K143" s="102"/>
      <c r="M143" s="103">
        <v>40000</v>
      </c>
      <c r="O143" s="103">
        <v>40000</v>
      </c>
      <c r="P143" s="29"/>
      <c r="Q143" s="103">
        <v>0</v>
      </c>
      <c r="R143" s="29"/>
      <c r="S143" s="103">
        <v>0</v>
      </c>
      <c r="T143" s="29"/>
      <c r="U143" s="103">
        <v>0</v>
      </c>
      <c r="V143" s="29"/>
      <c r="W143" s="103">
        <f>+$O143</f>
        <v>40000</v>
      </c>
      <c r="X143" s="29"/>
      <c r="Y143" s="103">
        <v>0</v>
      </c>
      <c r="Z143" s="29"/>
      <c r="AA143" s="103">
        <v>0</v>
      </c>
      <c r="AB143" s="29"/>
      <c r="AC143" s="103">
        <v>0</v>
      </c>
      <c r="AD143" s="29"/>
      <c r="AE143" s="103">
        <v>0</v>
      </c>
      <c r="AF143" s="29"/>
      <c r="AG143" s="103">
        <v>0</v>
      </c>
      <c r="AH143" s="29"/>
      <c r="AI143" s="103">
        <v>0</v>
      </c>
      <c r="AJ143" s="29"/>
      <c r="AK143" s="103">
        <v>0</v>
      </c>
      <c r="AL143" s="103"/>
      <c r="AM143" s="103">
        <v>0</v>
      </c>
      <c r="AN143" s="26"/>
      <c r="AO143" s="103">
        <v>0</v>
      </c>
      <c r="AQ143"/>
      <c r="AS143" s="51"/>
      <c r="AU143" s="52"/>
      <c r="AX143" s="31">
        <f t="shared" si="15"/>
        <v>40000</v>
      </c>
      <c r="AY143" s="31">
        <f t="shared" si="16"/>
        <v>0</v>
      </c>
    </row>
    <row r="144" spans="1:51" x14ac:dyDescent="0.2">
      <c r="A144" s="102" t="s">
        <v>4</v>
      </c>
      <c r="B144" s="102"/>
      <c r="C144" s="102"/>
      <c r="D144" s="117">
        <v>7.6100000000000001E-2</v>
      </c>
      <c r="E144" s="101"/>
      <c r="F144" s="101"/>
      <c r="G144" s="118">
        <v>38182</v>
      </c>
      <c r="H144" s="102"/>
      <c r="I144" s="112"/>
      <c r="J144" s="102"/>
      <c r="K144" s="102"/>
      <c r="M144" s="103">
        <v>11000</v>
      </c>
      <c r="O144" s="103">
        <v>11000</v>
      </c>
      <c r="P144" s="29"/>
      <c r="Q144" s="103">
        <v>0</v>
      </c>
      <c r="R144" s="29"/>
      <c r="S144" s="103">
        <v>0</v>
      </c>
      <c r="T144" s="29"/>
      <c r="U144" s="103">
        <v>0</v>
      </c>
      <c r="V144" s="29"/>
      <c r="W144" s="103">
        <v>0</v>
      </c>
      <c r="X144" s="29"/>
      <c r="Y144" s="103">
        <f>+$O144</f>
        <v>11000</v>
      </c>
      <c r="Z144" s="29"/>
      <c r="AA144" s="103">
        <v>0</v>
      </c>
      <c r="AB144" s="29"/>
      <c r="AC144" s="103">
        <v>0</v>
      </c>
      <c r="AD144" s="29"/>
      <c r="AE144" s="103">
        <v>0</v>
      </c>
      <c r="AF144" s="29"/>
      <c r="AG144" s="103">
        <v>0</v>
      </c>
      <c r="AH144" s="29"/>
      <c r="AI144" s="103">
        <v>0</v>
      </c>
      <c r="AJ144" s="29"/>
      <c r="AK144" s="103">
        <v>0</v>
      </c>
      <c r="AL144" s="103"/>
      <c r="AM144" s="103">
        <v>0</v>
      </c>
      <c r="AN144" s="26"/>
      <c r="AO144" s="103">
        <v>0</v>
      </c>
      <c r="AQ144"/>
      <c r="AS144" s="51"/>
      <c r="AU144" s="52"/>
      <c r="AX144" s="31">
        <f t="shared" si="15"/>
        <v>11000</v>
      </c>
      <c r="AY144" s="31">
        <f t="shared" si="16"/>
        <v>0</v>
      </c>
    </row>
    <row r="145" spans="1:51" x14ac:dyDescent="0.2">
      <c r="A145" s="102" t="s">
        <v>4</v>
      </c>
      <c r="B145" s="102"/>
      <c r="C145" s="102"/>
      <c r="D145" s="117">
        <v>7.6100000000000001E-2</v>
      </c>
      <c r="E145" s="101"/>
      <c r="F145" s="101"/>
      <c r="G145" s="118">
        <v>38188</v>
      </c>
      <c r="H145" s="102"/>
      <c r="I145" s="112"/>
      <c r="J145" s="102"/>
      <c r="K145" s="102"/>
      <c r="M145" s="103">
        <v>26000</v>
      </c>
      <c r="O145" s="103">
        <v>26000</v>
      </c>
      <c r="P145" s="29"/>
      <c r="Q145" s="103">
        <v>0</v>
      </c>
      <c r="R145" s="29"/>
      <c r="S145" s="103">
        <v>0</v>
      </c>
      <c r="T145" s="29"/>
      <c r="U145" s="103">
        <v>0</v>
      </c>
      <c r="V145" s="29"/>
      <c r="W145" s="103">
        <v>0</v>
      </c>
      <c r="X145" s="29"/>
      <c r="Y145" s="103">
        <f>+$O145</f>
        <v>26000</v>
      </c>
      <c r="Z145" s="29"/>
      <c r="AA145" s="103">
        <v>0</v>
      </c>
      <c r="AB145" s="29"/>
      <c r="AC145" s="103">
        <v>0</v>
      </c>
      <c r="AD145" s="29"/>
      <c r="AE145" s="103">
        <v>0</v>
      </c>
      <c r="AF145" s="29"/>
      <c r="AG145" s="103">
        <v>0</v>
      </c>
      <c r="AH145" s="29"/>
      <c r="AI145" s="103">
        <v>0</v>
      </c>
      <c r="AJ145" s="29"/>
      <c r="AK145" s="103">
        <v>0</v>
      </c>
      <c r="AL145" s="103"/>
      <c r="AM145" s="103">
        <v>0</v>
      </c>
      <c r="AN145" s="26"/>
      <c r="AO145" s="103">
        <v>0</v>
      </c>
      <c r="AQ145"/>
      <c r="AS145" s="51"/>
      <c r="AU145" s="52"/>
      <c r="AX145" s="31">
        <f t="shared" si="15"/>
        <v>26000</v>
      </c>
      <c r="AY145" s="31">
        <f t="shared" si="16"/>
        <v>0</v>
      </c>
    </row>
    <row r="146" spans="1:51" x14ac:dyDescent="0.2">
      <c r="A146" s="102" t="s">
        <v>4</v>
      </c>
      <c r="B146" s="102"/>
      <c r="C146" s="102"/>
      <c r="D146" s="117">
        <v>7.5999999999999998E-2</v>
      </c>
      <c r="E146" s="101"/>
      <c r="F146" s="101"/>
      <c r="G146" s="118">
        <v>38189</v>
      </c>
      <c r="H146" s="102"/>
      <c r="I146" s="112"/>
      <c r="J146" s="102"/>
      <c r="K146" s="102"/>
      <c r="M146" s="103">
        <v>8000</v>
      </c>
      <c r="O146" s="103">
        <v>8000</v>
      </c>
      <c r="P146" s="29"/>
      <c r="Q146" s="103">
        <v>0</v>
      </c>
      <c r="R146" s="29"/>
      <c r="S146" s="103">
        <v>0</v>
      </c>
      <c r="T146" s="29"/>
      <c r="U146" s="103">
        <v>0</v>
      </c>
      <c r="V146" s="29"/>
      <c r="W146" s="103">
        <v>0</v>
      </c>
      <c r="X146" s="29"/>
      <c r="Y146" s="103">
        <f>+$O146</f>
        <v>8000</v>
      </c>
      <c r="Z146" s="29"/>
      <c r="AA146" s="103">
        <v>0</v>
      </c>
      <c r="AB146" s="29"/>
      <c r="AC146" s="103">
        <v>0</v>
      </c>
      <c r="AD146" s="29"/>
      <c r="AE146" s="103">
        <v>0</v>
      </c>
      <c r="AF146" s="29"/>
      <c r="AG146" s="103">
        <v>0</v>
      </c>
      <c r="AH146" s="29"/>
      <c r="AI146" s="103">
        <v>0</v>
      </c>
      <c r="AJ146" s="29"/>
      <c r="AK146" s="103">
        <v>0</v>
      </c>
      <c r="AL146" s="103"/>
      <c r="AM146" s="103">
        <v>0</v>
      </c>
      <c r="AN146" s="26"/>
      <c r="AO146" s="103">
        <v>0</v>
      </c>
      <c r="AQ146"/>
      <c r="AS146" s="51"/>
      <c r="AU146" s="52"/>
      <c r="AX146" s="31">
        <f t="shared" si="15"/>
        <v>8000</v>
      </c>
      <c r="AY146" s="31">
        <f t="shared" si="16"/>
        <v>0</v>
      </c>
    </row>
    <row r="147" spans="1:51" x14ac:dyDescent="0.2">
      <c r="A147" s="102" t="s">
        <v>4</v>
      </c>
      <c r="B147" s="102"/>
      <c r="C147" s="102"/>
      <c r="D147" s="117">
        <v>9.0700000000000003E-2</v>
      </c>
      <c r="E147" s="101"/>
      <c r="F147" s="101"/>
      <c r="G147" s="118">
        <v>38579</v>
      </c>
      <c r="H147" s="102"/>
      <c r="I147" s="112"/>
      <c r="J147" s="102"/>
      <c r="K147" s="102"/>
      <c r="M147" s="103">
        <v>18000</v>
      </c>
      <c r="O147" s="103">
        <v>18000</v>
      </c>
      <c r="P147" s="29"/>
      <c r="Q147" s="103">
        <v>0</v>
      </c>
      <c r="R147" s="29"/>
      <c r="S147" s="103">
        <v>0</v>
      </c>
      <c r="T147" s="29"/>
      <c r="U147" s="103">
        <v>0</v>
      </c>
      <c r="V147" s="29"/>
      <c r="W147" s="103">
        <v>0</v>
      </c>
      <c r="X147" s="29"/>
      <c r="Y147" s="103">
        <v>0</v>
      </c>
      <c r="Z147" s="29"/>
      <c r="AA147" s="103">
        <f>+$O147</f>
        <v>18000</v>
      </c>
      <c r="AB147" s="29"/>
      <c r="AC147" s="103">
        <v>0</v>
      </c>
      <c r="AD147" s="29"/>
      <c r="AE147" s="103">
        <v>0</v>
      </c>
      <c r="AF147" s="29"/>
      <c r="AG147" s="103">
        <v>0</v>
      </c>
      <c r="AH147" s="29"/>
      <c r="AI147" s="103">
        <v>0</v>
      </c>
      <c r="AJ147" s="29"/>
      <c r="AK147" s="103">
        <v>0</v>
      </c>
      <c r="AL147" s="103"/>
      <c r="AM147" s="103">
        <v>0</v>
      </c>
      <c r="AN147" s="26"/>
      <c r="AO147" s="103">
        <v>0</v>
      </c>
      <c r="AQ147"/>
      <c r="AS147" s="51"/>
      <c r="AU147" s="52"/>
      <c r="AX147" s="31">
        <f t="shared" si="15"/>
        <v>18000</v>
      </c>
      <c r="AY147" s="31">
        <f t="shared" si="16"/>
        <v>0</v>
      </c>
    </row>
    <row r="148" spans="1:51" x14ac:dyDescent="0.2">
      <c r="A148" s="102" t="s">
        <v>4</v>
      </c>
      <c r="B148" s="102"/>
      <c r="C148" s="102"/>
      <c r="D148" s="117">
        <v>7.1499999999999994E-2</v>
      </c>
      <c r="E148" s="101"/>
      <c r="F148" s="101"/>
      <c r="G148" s="118">
        <v>39248</v>
      </c>
      <c r="H148" s="102"/>
      <c r="I148" s="112"/>
      <c r="J148" s="102"/>
      <c r="K148" s="102"/>
      <c r="M148" s="103">
        <v>50000</v>
      </c>
      <c r="O148" s="103">
        <v>50000</v>
      </c>
      <c r="P148" s="29"/>
      <c r="Q148" s="103">
        <v>0</v>
      </c>
      <c r="R148" s="29"/>
      <c r="S148" s="103">
        <v>0</v>
      </c>
      <c r="T148" s="29"/>
      <c r="U148" s="103">
        <v>0</v>
      </c>
      <c r="V148" s="29"/>
      <c r="W148" s="103">
        <v>0</v>
      </c>
      <c r="X148" s="29"/>
      <c r="Y148" s="103">
        <v>0</v>
      </c>
      <c r="Z148" s="29"/>
      <c r="AA148" s="103">
        <v>0</v>
      </c>
      <c r="AB148" s="29"/>
      <c r="AC148" s="103">
        <v>0</v>
      </c>
      <c r="AD148" s="29"/>
      <c r="AE148" s="103">
        <f>+$O148</f>
        <v>50000</v>
      </c>
      <c r="AF148" s="29"/>
      <c r="AG148" s="103">
        <v>0</v>
      </c>
      <c r="AH148" s="29"/>
      <c r="AI148" s="103">
        <v>0</v>
      </c>
      <c r="AJ148" s="29"/>
      <c r="AK148" s="103">
        <v>0</v>
      </c>
      <c r="AL148" s="103"/>
      <c r="AM148" s="103">
        <v>0</v>
      </c>
      <c r="AN148" s="26"/>
      <c r="AO148" s="103">
        <v>0</v>
      </c>
      <c r="AQ148"/>
      <c r="AS148" s="51"/>
      <c r="AU148" s="52"/>
      <c r="AX148" s="31">
        <f t="shared" si="15"/>
        <v>50000</v>
      </c>
      <c r="AY148" s="31">
        <f t="shared" si="16"/>
        <v>0</v>
      </c>
    </row>
    <row r="149" spans="1:51" x14ac:dyDescent="0.2">
      <c r="A149" s="102" t="s">
        <v>4</v>
      </c>
      <c r="B149" s="102"/>
      <c r="C149" s="102"/>
      <c r="D149" s="117">
        <v>9.3100000000000002E-2</v>
      </c>
      <c r="E149" s="101"/>
      <c r="F149" s="101"/>
      <c r="G149" s="118">
        <v>44419</v>
      </c>
      <c r="H149" s="102"/>
      <c r="I149" s="112"/>
      <c r="J149" s="102"/>
      <c r="K149" s="102"/>
      <c r="M149" s="103">
        <v>20000</v>
      </c>
      <c r="O149" s="103">
        <v>20000</v>
      </c>
      <c r="P149" s="29"/>
      <c r="Q149" s="103">
        <v>0</v>
      </c>
      <c r="R149" s="29"/>
      <c r="S149" s="103">
        <v>0</v>
      </c>
      <c r="T149" s="29"/>
      <c r="U149" s="103">
        <v>0</v>
      </c>
      <c r="V149" s="29"/>
      <c r="W149" s="103">
        <v>0</v>
      </c>
      <c r="X149" s="29"/>
      <c r="Y149" s="103">
        <v>0</v>
      </c>
      <c r="Z149" s="29"/>
      <c r="AA149" s="103">
        <v>0</v>
      </c>
      <c r="AB149" s="29"/>
      <c r="AC149" s="103">
        <v>0</v>
      </c>
      <c r="AD149" s="29"/>
      <c r="AE149" s="103">
        <v>0</v>
      </c>
      <c r="AF149" s="29"/>
      <c r="AG149" s="103">
        <v>0</v>
      </c>
      <c r="AH149" s="29"/>
      <c r="AI149" s="103">
        <v>0</v>
      </c>
      <c r="AJ149" s="29"/>
      <c r="AK149" s="103">
        <v>0</v>
      </c>
      <c r="AL149" s="103"/>
      <c r="AM149" s="103">
        <f>+$O149</f>
        <v>20000</v>
      </c>
      <c r="AN149" s="26"/>
      <c r="AO149" s="103">
        <v>0</v>
      </c>
      <c r="AQ149"/>
      <c r="AS149" s="51"/>
      <c r="AU149" s="52"/>
      <c r="AX149" s="31">
        <f t="shared" si="15"/>
        <v>20000</v>
      </c>
      <c r="AY149" s="31">
        <f t="shared" si="16"/>
        <v>0</v>
      </c>
    </row>
    <row r="150" spans="1:51" x14ac:dyDescent="0.2">
      <c r="A150" s="102" t="s">
        <v>4</v>
      </c>
      <c r="B150" s="102"/>
      <c r="C150" s="102"/>
      <c r="D150" s="117">
        <v>9.4600000000000004E-2</v>
      </c>
      <c r="E150" s="101"/>
      <c r="F150" s="101"/>
      <c r="G150" s="118">
        <v>44420</v>
      </c>
      <c r="H150" s="102"/>
      <c r="I150" s="112"/>
      <c r="J150" s="102"/>
      <c r="K150" s="102"/>
      <c r="M150" s="103">
        <v>25000</v>
      </c>
      <c r="O150" s="103">
        <v>25000</v>
      </c>
      <c r="P150" s="29"/>
      <c r="Q150" s="103">
        <v>0</v>
      </c>
      <c r="R150" s="29"/>
      <c r="S150" s="103">
        <v>0</v>
      </c>
      <c r="T150" s="29"/>
      <c r="U150" s="103">
        <v>0</v>
      </c>
      <c r="V150" s="29"/>
      <c r="W150" s="103">
        <v>0</v>
      </c>
      <c r="X150" s="29"/>
      <c r="Y150" s="103">
        <v>0</v>
      </c>
      <c r="Z150" s="29"/>
      <c r="AA150" s="103">
        <v>0</v>
      </c>
      <c r="AB150" s="29"/>
      <c r="AC150" s="103">
        <v>0</v>
      </c>
      <c r="AD150" s="29"/>
      <c r="AE150" s="103">
        <v>0</v>
      </c>
      <c r="AF150" s="29"/>
      <c r="AG150" s="103">
        <v>0</v>
      </c>
      <c r="AH150" s="29"/>
      <c r="AI150" s="103">
        <v>0</v>
      </c>
      <c r="AJ150" s="29"/>
      <c r="AK150" s="103">
        <v>0</v>
      </c>
      <c r="AL150" s="103"/>
      <c r="AM150" s="103">
        <f>+$O150</f>
        <v>25000</v>
      </c>
      <c r="AN150" s="26"/>
      <c r="AO150" s="103">
        <v>0</v>
      </c>
      <c r="AQ150"/>
      <c r="AS150" s="51"/>
      <c r="AU150" s="52"/>
      <c r="AX150" s="31">
        <f t="shared" si="15"/>
        <v>25000</v>
      </c>
      <c r="AY150" s="31">
        <f t="shared" si="16"/>
        <v>0</v>
      </c>
    </row>
    <row r="151" spans="1:51" x14ac:dyDescent="0.2">
      <c r="A151" s="102" t="s">
        <v>4</v>
      </c>
      <c r="B151" s="102"/>
      <c r="C151" s="102"/>
      <c r="D151" s="117">
        <v>7.7499999999999999E-2</v>
      </c>
      <c r="E151" s="101"/>
      <c r="F151" s="101"/>
      <c r="G151" s="118">
        <v>45031</v>
      </c>
      <c r="H151" s="102"/>
      <c r="I151" s="112"/>
      <c r="J151" s="102"/>
      <c r="K151" s="102"/>
      <c r="M151" s="103">
        <v>115100</v>
      </c>
      <c r="O151" s="103">
        <v>115100</v>
      </c>
      <c r="P151" s="29"/>
      <c r="Q151" s="103">
        <v>0</v>
      </c>
      <c r="R151" s="29"/>
      <c r="S151" s="103">
        <v>0</v>
      </c>
      <c r="T151" s="29"/>
      <c r="U151" s="103">
        <v>0</v>
      </c>
      <c r="V151" s="29"/>
      <c r="W151" s="103">
        <v>0</v>
      </c>
      <c r="X151" s="29"/>
      <c r="Y151" s="103">
        <v>0</v>
      </c>
      <c r="Z151" s="29"/>
      <c r="AA151" s="103">
        <v>0</v>
      </c>
      <c r="AB151" s="29"/>
      <c r="AC151" s="103">
        <v>0</v>
      </c>
      <c r="AD151" s="29"/>
      <c r="AE151" s="103">
        <v>0</v>
      </c>
      <c r="AF151" s="29"/>
      <c r="AG151" s="103">
        <v>0</v>
      </c>
      <c r="AH151" s="29"/>
      <c r="AI151" s="103">
        <v>0</v>
      </c>
      <c r="AJ151" s="29"/>
      <c r="AK151" s="103">
        <v>0</v>
      </c>
      <c r="AL151" s="103"/>
      <c r="AM151" s="103">
        <f>+$O151</f>
        <v>115100</v>
      </c>
      <c r="AN151" s="26"/>
      <c r="AO151" s="103">
        <v>0</v>
      </c>
      <c r="AQ151"/>
      <c r="AS151" s="51"/>
      <c r="AU151" s="52"/>
      <c r="AX151" s="31">
        <f t="shared" si="15"/>
        <v>115100</v>
      </c>
      <c r="AY151" s="31">
        <f t="shared" si="16"/>
        <v>0</v>
      </c>
    </row>
    <row r="152" spans="1:51" ht="8.1" customHeight="1" x14ac:dyDescent="0.2">
      <c r="A152" s="102"/>
      <c r="B152" s="102"/>
      <c r="C152" s="102"/>
      <c r="D152" s="117"/>
      <c r="E152" s="101"/>
      <c r="F152" s="101"/>
      <c r="G152" s="118"/>
      <c r="H152" s="102"/>
      <c r="I152" s="112"/>
      <c r="J152" s="102"/>
      <c r="K152" s="102"/>
      <c r="M152" s="153"/>
      <c r="O152" s="153"/>
      <c r="P152" s="29"/>
      <c r="Q152" s="153"/>
      <c r="R152" s="29"/>
      <c r="S152" s="153"/>
      <c r="T152" s="29"/>
      <c r="U152" s="153"/>
      <c r="V152" s="29"/>
      <c r="W152" s="153"/>
      <c r="X152" s="29"/>
      <c r="Y152" s="153"/>
      <c r="Z152" s="29"/>
      <c r="AA152" s="153"/>
      <c r="AB152" s="29"/>
      <c r="AC152" s="153"/>
      <c r="AD152" s="29"/>
      <c r="AE152" s="153"/>
      <c r="AF152" s="29"/>
      <c r="AG152" s="153"/>
      <c r="AH152" s="29"/>
      <c r="AI152" s="153"/>
      <c r="AJ152" s="29"/>
      <c r="AK152" s="153"/>
      <c r="AL152" s="105"/>
      <c r="AM152" s="153"/>
      <c r="AN152" s="26"/>
      <c r="AO152" s="153"/>
      <c r="AQ152"/>
      <c r="AS152" s="51"/>
      <c r="AU152" s="52"/>
      <c r="AX152" s="153"/>
      <c r="AY152" s="153"/>
    </row>
    <row r="153" spans="1:51" x14ac:dyDescent="0.2">
      <c r="A153" s="102"/>
      <c r="B153" s="102"/>
      <c r="C153" s="102"/>
      <c r="D153" s="8" t="s">
        <v>205</v>
      </c>
      <c r="E153" s="101"/>
      <c r="F153" s="101"/>
      <c r="G153" s="118"/>
      <c r="H153" s="102"/>
      <c r="I153" s="112"/>
      <c r="J153" s="102"/>
      <c r="K153" s="102"/>
      <c r="M153" s="152">
        <f>SUM(M136:M152)</f>
        <v>398100</v>
      </c>
      <c r="O153" s="152">
        <f>SUM(O136:O152)</f>
        <v>373100</v>
      </c>
      <c r="P153" s="29"/>
      <c r="Q153" s="152">
        <f>SUM(Q136:Q152)</f>
        <v>0</v>
      </c>
      <c r="R153" s="29"/>
      <c r="S153" s="152">
        <f>SUM(S136:S152)</f>
        <v>45000</v>
      </c>
      <c r="T153" s="29"/>
      <c r="U153" s="152">
        <f>SUM(U136:U152)</f>
        <v>15000</v>
      </c>
      <c r="V153" s="29"/>
      <c r="W153" s="152">
        <f>SUM(W136:W152)</f>
        <v>40000</v>
      </c>
      <c r="X153" s="29"/>
      <c r="Y153" s="152">
        <f>SUM(Y136:Y152)</f>
        <v>45000</v>
      </c>
      <c r="Z153" s="29"/>
      <c r="AA153" s="152">
        <f>SUM(AA136:AA152)</f>
        <v>18000</v>
      </c>
      <c r="AB153" s="29"/>
      <c r="AC153" s="152">
        <f>SUM(AC136:AC152)</f>
        <v>0</v>
      </c>
      <c r="AD153" s="29"/>
      <c r="AE153" s="152">
        <f>SUM(AE136:AE152)</f>
        <v>50000</v>
      </c>
      <c r="AF153" s="29"/>
      <c r="AG153" s="152">
        <f>SUM(AG136:AG152)</f>
        <v>0</v>
      </c>
      <c r="AH153" s="29"/>
      <c r="AI153" s="152">
        <f>SUM(AI136:AI152)</f>
        <v>0</v>
      </c>
      <c r="AJ153" s="29"/>
      <c r="AK153" s="152">
        <f>SUM(AK136:AK152)</f>
        <v>0</v>
      </c>
      <c r="AL153" s="152"/>
      <c r="AM153" s="152">
        <f>SUM(AM136:AM152)</f>
        <v>160100</v>
      </c>
      <c r="AN153" s="26"/>
      <c r="AO153" s="152">
        <f>SUM(AO136:AO152)</f>
        <v>0</v>
      </c>
      <c r="AQ153"/>
      <c r="AS153" s="51"/>
      <c r="AU153" s="52"/>
      <c r="AX153" s="152">
        <f>SUM(AX136:AX152)</f>
        <v>373100</v>
      </c>
      <c r="AY153" s="152">
        <f>SUM(AY136:AY152)</f>
        <v>0</v>
      </c>
    </row>
    <row r="154" spans="1:51" x14ac:dyDescent="0.2">
      <c r="A154" s="102"/>
      <c r="B154" s="102"/>
      <c r="C154" s="102"/>
      <c r="D154" s="117"/>
      <c r="E154" s="101"/>
      <c r="F154" s="101"/>
      <c r="G154" s="118"/>
      <c r="H154" s="102"/>
      <c r="I154" s="112"/>
      <c r="J154" s="102"/>
      <c r="K154" s="102"/>
      <c r="M154" s="152"/>
      <c r="O154" s="152"/>
      <c r="P154" s="29"/>
      <c r="Q154" s="152"/>
      <c r="R154" s="29"/>
      <c r="S154" s="152"/>
      <c r="T154" s="29"/>
      <c r="U154" s="152"/>
      <c r="V154" s="29"/>
      <c r="W154" s="152"/>
      <c r="X154" s="29"/>
      <c r="Y154" s="152"/>
      <c r="Z154" s="29"/>
      <c r="AA154" s="152"/>
      <c r="AB154" s="29"/>
      <c r="AC154" s="152"/>
      <c r="AD154" s="29"/>
      <c r="AE154" s="152"/>
      <c r="AF154" s="29"/>
      <c r="AG154" s="152"/>
      <c r="AH154" s="29"/>
      <c r="AI154" s="152"/>
      <c r="AJ154" s="29"/>
      <c r="AK154" s="152"/>
      <c r="AL154" s="152"/>
      <c r="AM154" s="152"/>
      <c r="AN154" s="26"/>
      <c r="AO154" s="152"/>
      <c r="AQ154"/>
      <c r="AS154" s="51"/>
      <c r="AU154" s="52"/>
      <c r="AX154" s="152"/>
      <c r="AY154" s="152"/>
    </row>
    <row r="155" spans="1:51" x14ac:dyDescent="0.2">
      <c r="A155" s="102"/>
      <c r="B155" s="102"/>
      <c r="C155" s="102"/>
      <c r="D155" s="159" t="s">
        <v>185</v>
      </c>
      <c r="E155" s="101"/>
      <c r="F155" s="101"/>
      <c r="G155" s="118"/>
      <c r="H155" s="102"/>
      <c r="I155" s="112"/>
      <c r="J155" s="102"/>
      <c r="K155" s="102"/>
      <c r="M155" s="152"/>
      <c r="O155" s="152"/>
      <c r="P155" s="29"/>
      <c r="Q155" s="152"/>
      <c r="R155" s="29"/>
      <c r="S155" s="152"/>
      <c r="T155" s="29"/>
      <c r="U155" s="152"/>
      <c r="V155" s="29"/>
      <c r="W155" s="152"/>
      <c r="X155" s="29"/>
      <c r="Y155" s="152"/>
      <c r="Z155" s="29"/>
      <c r="AA155" s="152"/>
      <c r="AB155" s="29"/>
      <c r="AC155" s="152"/>
      <c r="AD155" s="29"/>
      <c r="AE155" s="152"/>
      <c r="AF155" s="29"/>
      <c r="AG155" s="152"/>
      <c r="AH155" s="29"/>
      <c r="AI155" s="152"/>
      <c r="AJ155" s="29"/>
      <c r="AK155" s="152"/>
      <c r="AL155" s="152"/>
      <c r="AM155" s="152"/>
      <c r="AN155" s="26"/>
      <c r="AO155" s="152"/>
      <c r="AQ155"/>
      <c r="AS155" s="51"/>
      <c r="AU155" s="52"/>
      <c r="AX155" s="152"/>
      <c r="AY155" s="152"/>
    </row>
    <row r="156" spans="1:51" x14ac:dyDescent="0.2">
      <c r="A156" s="102" t="s">
        <v>4</v>
      </c>
      <c r="B156" s="102"/>
      <c r="C156" s="102"/>
      <c r="D156" s="117">
        <v>4.8000000000000001E-2</v>
      </c>
      <c r="E156" s="101"/>
      <c r="F156" s="101"/>
      <c r="G156" s="118">
        <v>40269</v>
      </c>
      <c r="H156" s="102"/>
      <c r="I156" s="112"/>
      <c r="J156" s="102"/>
      <c r="K156" s="102"/>
      <c r="M156" s="103">
        <v>20200</v>
      </c>
      <c r="O156" s="103">
        <v>20200</v>
      </c>
      <c r="P156" s="29"/>
      <c r="Q156" s="103">
        <v>0</v>
      </c>
      <c r="R156" s="29"/>
      <c r="S156" s="103">
        <v>0</v>
      </c>
      <c r="T156" s="29"/>
      <c r="U156" s="103">
        <v>0</v>
      </c>
      <c r="V156" s="29"/>
      <c r="W156" s="103">
        <v>0</v>
      </c>
      <c r="X156" s="29"/>
      <c r="Y156" s="103">
        <v>0</v>
      </c>
      <c r="Z156" s="29"/>
      <c r="AA156" s="103">
        <v>0</v>
      </c>
      <c r="AB156" s="29"/>
      <c r="AC156" s="103">
        <v>0</v>
      </c>
      <c r="AD156" s="29"/>
      <c r="AE156" s="103">
        <v>0</v>
      </c>
      <c r="AF156" s="29"/>
      <c r="AG156" s="103">
        <v>0</v>
      </c>
      <c r="AH156" s="29"/>
      <c r="AI156" s="103">
        <v>0</v>
      </c>
      <c r="AJ156" s="29"/>
      <c r="AK156" s="103">
        <f>+O156</f>
        <v>20200</v>
      </c>
      <c r="AL156" s="103"/>
      <c r="AM156" s="103">
        <f>+Q156</f>
        <v>0</v>
      </c>
      <c r="AN156" s="26"/>
      <c r="AO156" s="103">
        <v>0</v>
      </c>
      <c r="AQ156"/>
      <c r="AS156" s="51"/>
      <c r="AU156" s="52"/>
      <c r="AX156" s="31">
        <f t="shared" ref="AX156:AX163" si="17">SUM(Q156:AP156)</f>
        <v>20200</v>
      </c>
      <c r="AY156" s="31">
        <f t="shared" ref="AY156:AY163" si="18">+O156-AX156</f>
        <v>0</v>
      </c>
    </row>
    <row r="157" spans="1:51" x14ac:dyDescent="0.2">
      <c r="A157" s="102" t="s">
        <v>4</v>
      </c>
      <c r="B157" s="102"/>
      <c r="C157" s="102"/>
      <c r="D157" s="117">
        <v>4.8000000000000001E-2</v>
      </c>
      <c r="E157" s="101"/>
      <c r="F157" s="101"/>
      <c r="G157" s="118">
        <v>40330</v>
      </c>
      <c r="H157" s="102"/>
      <c r="I157" s="112"/>
      <c r="J157" s="102"/>
      <c r="K157" s="102"/>
      <c r="M157" s="103">
        <v>16700</v>
      </c>
      <c r="O157" s="103">
        <v>16700</v>
      </c>
      <c r="P157" s="29"/>
      <c r="Q157" s="103">
        <v>0</v>
      </c>
      <c r="R157" s="29"/>
      <c r="S157" s="103">
        <v>0</v>
      </c>
      <c r="T157" s="29"/>
      <c r="U157" s="103">
        <v>0</v>
      </c>
      <c r="V157" s="29"/>
      <c r="W157" s="103">
        <v>0</v>
      </c>
      <c r="X157" s="29"/>
      <c r="Y157" s="103">
        <v>0</v>
      </c>
      <c r="Z157" s="29"/>
      <c r="AA157" s="103">
        <v>0</v>
      </c>
      <c r="AB157" s="29"/>
      <c r="AC157" s="103">
        <v>0</v>
      </c>
      <c r="AD157" s="29"/>
      <c r="AE157" s="103">
        <v>0</v>
      </c>
      <c r="AF157" s="29"/>
      <c r="AG157" s="103">
        <v>0</v>
      </c>
      <c r="AH157" s="29"/>
      <c r="AI157" s="103">
        <v>0</v>
      </c>
      <c r="AJ157" s="29"/>
      <c r="AK157" s="103">
        <f>+O157</f>
        <v>16700</v>
      </c>
      <c r="AL157" s="103"/>
      <c r="AM157" s="103">
        <f>+Q157</f>
        <v>0</v>
      </c>
      <c r="AN157" s="26"/>
      <c r="AO157" s="103">
        <v>0</v>
      </c>
      <c r="AQ157"/>
      <c r="AS157" s="51"/>
      <c r="AU157" s="52"/>
      <c r="AX157" s="31">
        <f t="shared" si="17"/>
        <v>16700</v>
      </c>
      <c r="AY157" s="31">
        <f t="shared" si="18"/>
        <v>0</v>
      </c>
    </row>
    <row r="158" spans="1:51" x14ac:dyDescent="0.2">
      <c r="A158" s="102" t="s">
        <v>4</v>
      </c>
      <c r="B158" s="102"/>
      <c r="C158" s="102"/>
      <c r="D158" s="117">
        <v>5.2499999999999998E-2</v>
      </c>
      <c r="E158" s="101"/>
      <c r="F158" s="101"/>
      <c r="G158" s="118">
        <v>41852</v>
      </c>
      <c r="H158" s="102"/>
      <c r="I158" s="112"/>
      <c r="J158" s="102"/>
      <c r="K158" s="102"/>
      <c r="M158" s="103">
        <v>9600</v>
      </c>
      <c r="O158" s="103">
        <v>9600</v>
      </c>
      <c r="P158" s="29"/>
      <c r="Q158" s="103">
        <v>0</v>
      </c>
      <c r="R158" s="29"/>
      <c r="S158" s="103">
        <v>0</v>
      </c>
      <c r="T158" s="29"/>
      <c r="U158" s="103">
        <v>0</v>
      </c>
      <c r="V158" s="29"/>
      <c r="W158" s="103">
        <v>0</v>
      </c>
      <c r="X158" s="29"/>
      <c r="Y158" s="103">
        <v>0</v>
      </c>
      <c r="Z158" s="29"/>
      <c r="AA158" s="103">
        <v>0</v>
      </c>
      <c r="AB158" s="29"/>
      <c r="AC158" s="103">
        <v>0</v>
      </c>
      <c r="AD158" s="29"/>
      <c r="AE158" s="103">
        <v>0</v>
      </c>
      <c r="AF158" s="29"/>
      <c r="AG158" s="103">
        <v>0</v>
      </c>
      <c r="AH158" s="29"/>
      <c r="AI158" s="103">
        <v>0</v>
      </c>
      <c r="AJ158" s="29"/>
      <c r="AK158" s="103">
        <v>0</v>
      </c>
      <c r="AL158" s="103"/>
      <c r="AM158" s="103">
        <f t="shared" ref="AM158:AM163" si="19">+O158</f>
        <v>9600</v>
      </c>
      <c r="AN158" s="26"/>
      <c r="AO158" s="103">
        <v>0</v>
      </c>
      <c r="AQ158"/>
      <c r="AS158" s="51"/>
      <c r="AU158" s="52"/>
      <c r="AX158" s="31">
        <f t="shared" si="17"/>
        <v>9600</v>
      </c>
      <c r="AY158" s="31">
        <f t="shared" si="18"/>
        <v>0</v>
      </c>
    </row>
    <row r="159" spans="1:51" x14ac:dyDescent="0.2">
      <c r="A159" s="102" t="s">
        <v>4</v>
      </c>
      <c r="B159" s="102"/>
      <c r="C159" s="102"/>
      <c r="D159" s="100">
        <v>7.1249999999999994E-2</v>
      </c>
      <c r="E159" s="101"/>
      <c r="F159" s="101"/>
      <c r="G159" s="118">
        <v>41988</v>
      </c>
      <c r="H159" s="102"/>
      <c r="I159" s="112"/>
      <c r="J159" s="102"/>
      <c r="K159" s="102"/>
      <c r="M159" s="103">
        <v>5100</v>
      </c>
      <c r="O159" s="103">
        <v>5100</v>
      </c>
      <c r="P159" s="29"/>
      <c r="Q159" s="103">
        <v>0</v>
      </c>
      <c r="R159" s="29"/>
      <c r="S159" s="103">
        <v>0</v>
      </c>
      <c r="T159" s="29"/>
      <c r="U159" s="103">
        <v>0</v>
      </c>
      <c r="V159" s="29"/>
      <c r="W159" s="103">
        <v>0</v>
      </c>
      <c r="X159" s="29"/>
      <c r="Y159" s="103">
        <v>0</v>
      </c>
      <c r="Z159" s="29"/>
      <c r="AA159" s="103">
        <v>0</v>
      </c>
      <c r="AB159" s="29"/>
      <c r="AC159" s="103">
        <v>0</v>
      </c>
      <c r="AD159" s="29"/>
      <c r="AE159" s="103">
        <v>0</v>
      </c>
      <c r="AF159" s="29"/>
      <c r="AG159" s="103">
        <v>0</v>
      </c>
      <c r="AH159" s="29"/>
      <c r="AI159" s="103">
        <v>0</v>
      </c>
      <c r="AJ159" s="29"/>
      <c r="AK159" s="103">
        <v>0</v>
      </c>
      <c r="AL159" s="103"/>
      <c r="AM159" s="103">
        <f t="shared" si="19"/>
        <v>5100</v>
      </c>
      <c r="AN159" s="26"/>
      <c r="AO159" s="103">
        <v>0</v>
      </c>
      <c r="AQ159"/>
      <c r="AS159" s="51"/>
      <c r="AU159" s="52"/>
      <c r="AX159" s="31">
        <f t="shared" si="17"/>
        <v>5100</v>
      </c>
      <c r="AY159" s="31">
        <f t="shared" si="18"/>
        <v>0</v>
      </c>
    </row>
    <row r="160" spans="1:51" x14ac:dyDescent="0.2">
      <c r="A160" s="102" t="s">
        <v>4</v>
      </c>
      <c r="B160" s="102"/>
      <c r="C160" s="102"/>
      <c r="D160" s="117" t="s">
        <v>202</v>
      </c>
      <c r="E160" s="101"/>
      <c r="F160" s="101"/>
      <c r="G160" s="118">
        <v>48183</v>
      </c>
      <c r="H160" s="102"/>
      <c r="I160" s="112"/>
      <c r="J160" s="102"/>
      <c r="K160" s="102"/>
      <c r="M160" s="103">
        <v>5800</v>
      </c>
      <c r="O160" s="103">
        <v>5800</v>
      </c>
      <c r="P160" s="29"/>
      <c r="Q160" s="103">
        <v>0</v>
      </c>
      <c r="R160" s="29"/>
      <c r="S160" s="103">
        <v>0</v>
      </c>
      <c r="T160" s="29"/>
      <c r="U160" s="103">
        <v>0</v>
      </c>
      <c r="V160" s="29"/>
      <c r="W160" s="103">
        <v>0</v>
      </c>
      <c r="X160" s="29"/>
      <c r="Y160" s="103">
        <v>0</v>
      </c>
      <c r="Z160" s="29"/>
      <c r="AA160" s="103">
        <v>0</v>
      </c>
      <c r="AB160" s="29"/>
      <c r="AC160" s="103">
        <v>0</v>
      </c>
      <c r="AD160" s="29"/>
      <c r="AE160" s="103">
        <v>0</v>
      </c>
      <c r="AF160" s="29"/>
      <c r="AG160" s="103">
        <v>0</v>
      </c>
      <c r="AH160" s="29"/>
      <c r="AI160" s="103">
        <v>0</v>
      </c>
      <c r="AJ160" s="29"/>
      <c r="AK160" s="103">
        <v>0</v>
      </c>
      <c r="AL160" s="103"/>
      <c r="AM160" s="103">
        <f t="shared" si="19"/>
        <v>5800</v>
      </c>
      <c r="AN160" s="26"/>
      <c r="AO160" s="103">
        <v>0</v>
      </c>
      <c r="AQ160"/>
      <c r="AS160" s="51"/>
      <c r="AU160" s="52"/>
      <c r="AX160" s="31">
        <f t="shared" si="17"/>
        <v>5800</v>
      </c>
      <c r="AY160" s="31">
        <f t="shared" si="18"/>
        <v>0</v>
      </c>
    </row>
    <row r="161" spans="1:51" x14ac:dyDescent="0.2">
      <c r="A161" s="102" t="s">
        <v>4</v>
      </c>
      <c r="B161" s="102"/>
      <c r="C161" s="102"/>
      <c r="D161" s="117">
        <v>4.5999999999999999E-2</v>
      </c>
      <c r="E161" s="101"/>
      <c r="F161" s="101"/>
      <c r="G161" s="118">
        <v>48700</v>
      </c>
      <c r="H161" s="102"/>
      <c r="I161" s="112"/>
      <c r="J161" s="102"/>
      <c r="K161" s="102"/>
      <c r="M161" s="103">
        <v>23600</v>
      </c>
      <c r="O161" s="103">
        <v>23600</v>
      </c>
      <c r="P161" s="29"/>
      <c r="Q161" s="103">
        <v>0</v>
      </c>
      <c r="R161" s="29"/>
      <c r="S161" s="103">
        <v>0</v>
      </c>
      <c r="T161" s="29"/>
      <c r="U161" s="103">
        <v>0</v>
      </c>
      <c r="V161" s="29"/>
      <c r="W161" s="103">
        <v>0</v>
      </c>
      <c r="X161" s="29"/>
      <c r="Y161" s="103">
        <v>0</v>
      </c>
      <c r="Z161" s="29"/>
      <c r="AA161" s="103">
        <v>0</v>
      </c>
      <c r="AB161" s="29"/>
      <c r="AC161" s="103">
        <v>0</v>
      </c>
      <c r="AD161" s="29"/>
      <c r="AE161" s="103">
        <v>0</v>
      </c>
      <c r="AF161" s="29"/>
      <c r="AG161" s="103">
        <v>0</v>
      </c>
      <c r="AH161" s="29"/>
      <c r="AI161" s="103">
        <v>0</v>
      </c>
      <c r="AJ161" s="29"/>
      <c r="AK161" s="103">
        <v>0</v>
      </c>
      <c r="AL161" s="103"/>
      <c r="AM161" s="103">
        <f t="shared" si="19"/>
        <v>23600</v>
      </c>
      <c r="AN161" s="26"/>
      <c r="AO161" s="103">
        <v>0</v>
      </c>
      <c r="AQ161"/>
      <c r="AS161" s="51"/>
      <c r="AU161" s="52"/>
      <c r="AX161" s="31">
        <f t="shared" si="17"/>
        <v>23600</v>
      </c>
      <c r="AY161" s="31">
        <f t="shared" si="18"/>
        <v>0</v>
      </c>
    </row>
    <row r="162" spans="1:51" x14ac:dyDescent="0.2">
      <c r="A162" s="102" t="s">
        <v>4</v>
      </c>
      <c r="B162" s="102"/>
      <c r="C162" s="102"/>
      <c r="D162" s="117">
        <v>4.7500000000000001E-2</v>
      </c>
      <c r="E162" s="101"/>
      <c r="F162" s="101"/>
      <c r="G162" s="118">
        <v>48700</v>
      </c>
      <c r="H162" s="102"/>
      <c r="I162" s="112"/>
      <c r="J162" s="102"/>
      <c r="K162" s="102"/>
      <c r="M162" s="103">
        <v>21000</v>
      </c>
      <c r="O162" s="103">
        <v>21000</v>
      </c>
      <c r="P162" s="29"/>
      <c r="Q162" s="103">
        <v>0</v>
      </c>
      <c r="R162" s="29"/>
      <c r="S162" s="103">
        <v>0</v>
      </c>
      <c r="T162" s="29"/>
      <c r="U162" s="103">
        <v>0</v>
      </c>
      <c r="V162" s="29"/>
      <c r="W162" s="103">
        <v>0</v>
      </c>
      <c r="X162" s="29"/>
      <c r="Y162" s="103">
        <v>0</v>
      </c>
      <c r="Z162" s="29"/>
      <c r="AA162" s="103">
        <v>0</v>
      </c>
      <c r="AB162" s="29"/>
      <c r="AC162" s="103">
        <v>0</v>
      </c>
      <c r="AD162" s="29"/>
      <c r="AE162" s="103">
        <v>0</v>
      </c>
      <c r="AF162" s="29"/>
      <c r="AG162" s="103">
        <v>0</v>
      </c>
      <c r="AH162" s="29"/>
      <c r="AI162" s="103">
        <v>0</v>
      </c>
      <c r="AJ162" s="29"/>
      <c r="AK162" s="103">
        <v>0</v>
      </c>
      <c r="AL162" s="103"/>
      <c r="AM162" s="103">
        <f t="shared" si="19"/>
        <v>21000</v>
      </c>
      <c r="AN162" s="26"/>
      <c r="AO162" s="103">
        <v>0</v>
      </c>
      <c r="AQ162"/>
      <c r="AS162" s="51"/>
      <c r="AU162" s="52"/>
      <c r="AX162" s="31">
        <f t="shared" si="17"/>
        <v>21000</v>
      </c>
      <c r="AY162" s="31">
        <f t="shared" si="18"/>
        <v>0</v>
      </c>
    </row>
    <row r="163" spans="1:51" x14ac:dyDescent="0.2">
      <c r="A163" s="102" t="s">
        <v>4</v>
      </c>
      <c r="B163" s="102"/>
      <c r="C163" s="102"/>
      <c r="D163" s="117">
        <v>4.5999999999999999E-2</v>
      </c>
      <c r="E163" s="101"/>
      <c r="F163" s="101"/>
      <c r="G163" s="118">
        <v>48700</v>
      </c>
      <c r="H163" s="102"/>
      <c r="I163" s="112"/>
      <c r="J163" s="102"/>
      <c r="K163" s="102"/>
      <c r="M163" s="103">
        <v>97800</v>
      </c>
      <c r="O163" s="103">
        <v>97800</v>
      </c>
      <c r="P163" s="29"/>
      <c r="Q163" s="103">
        <v>0</v>
      </c>
      <c r="R163" s="29"/>
      <c r="S163" s="103">
        <v>0</v>
      </c>
      <c r="T163" s="29"/>
      <c r="U163" s="103">
        <v>0</v>
      </c>
      <c r="V163" s="29"/>
      <c r="W163" s="103">
        <v>0</v>
      </c>
      <c r="X163" s="29"/>
      <c r="Y163" s="103">
        <v>0</v>
      </c>
      <c r="Z163" s="29"/>
      <c r="AA163" s="103">
        <v>0</v>
      </c>
      <c r="AB163" s="29"/>
      <c r="AC163" s="103">
        <v>0</v>
      </c>
      <c r="AD163" s="29"/>
      <c r="AE163" s="103">
        <v>0</v>
      </c>
      <c r="AF163" s="29"/>
      <c r="AG163" s="103">
        <v>0</v>
      </c>
      <c r="AH163" s="29"/>
      <c r="AI163" s="103">
        <v>0</v>
      </c>
      <c r="AJ163" s="29"/>
      <c r="AK163" s="103">
        <v>0</v>
      </c>
      <c r="AL163" s="103"/>
      <c r="AM163" s="103">
        <f t="shared" si="19"/>
        <v>97800</v>
      </c>
      <c r="AN163" s="26"/>
      <c r="AO163" s="103">
        <v>0</v>
      </c>
      <c r="AQ163"/>
      <c r="AS163" s="51"/>
      <c r="AU163" s="52"/>
      <c r="AX163" s="31">
        <f t="shared" si="17"/>
        <v>97800</v>
      </c>
      <c r="AY163" s="31">
        <f t="shared" si="18"/>
        <v>0</v>
      </c>
    </row>
    <row r="164" spans="1:51" ht="8.1" customHeight="1" x14ac:dyDescent="0.2">
      <c r="A164" s="102"/>
      <c r="B164" s="102"/>
      <c r="C164" s="102"/>
      <c r="D164" s="13"/>
      <c r="E164" s="23"/>
      <c r="F164" s="23"/>
      <c r="M164" s="114"/>
      <c r="O164" s="114"/>
      <c r="P164" s="107"/>
      <c r="Q164" s="114"/>
      <c r="R164" s="28"/>
      <c r="S164" s="114"/>
      <c r="T164" s="28"/>
      <c r="U164" s="114"/>
      <c r="V164" s="28"/>
      <c r="W164" s="114"/>
      <c r="X164" s="28"/>
      <c r="Y164" s="114"/>
      <c r="Z164" s="28"/>
      <c r="AA164" s="114"/>
      <c r="AB164" s="28"/>
      <c r="AC164" s="114"/>
      <c r="AD164" s="28"/>
      <c r="AE164" s="114"/>
      <c r="AF164" s="28"/>
      <c r="AG164" s="114"/>
      <c r="AH164" s="28"/>
      <c r="AI164" s="114"/>
      <c r="AJ164" s="29"/>
      <c r="AK164" s="114"/>
      <c r="AL164" s="107"/>
      <c r="AM164" s="114"/>
      <c r="AN164" s="107"/>
      <c r="AO164" s="114"/>
      <c r="AQ164"/>
      <c r="AS164" s="51"/>
      <c r="AT164" s="72"/>
      <c r="AU164" s="52"/>
      <c r="AX164" s="114"/>
      <c r="AY164" s="114"/>
    </row>
    <row r="165" spans="1:51" x14ac:dyDescent="0.2">
      <c r="A165" s="102"/>
      <c r="B165" s="102"/>
      <c r="C165" s="102"/>
      <c r="D165" s="159" t="s">
        <v>201</v>
      </c>
      <c r="E165" s="101"/>
      <c r="F165" s="101"/>
      <c r="G165" s="102"/>
      <c r="H165" s="102"/>
      <c r="I165" s="102"/>
      <c r="J165" s="102"/>
      <c r="K165" s="102"/>
      <c r="M165" s="152">
        <f>SUM(M155:M164)</f>
        <v>199800</v>
      </c>
      <c r="O165" s="152">
        <f>SUM(O155:O164)</f>
        <v>199800</v>
      </c>
      <c r="P165" s="29"/>
      <c r="Q165" s="152">
        <f>SUM(Q155:Q164)</f>
        <v>0</v>
      </c>
      <c r="R165" s="29"/>
      <c r="S165" s="152">
        <f>SUM(S155:S164)</f>
        <v>0</v>
      </c>
      <c r="T165" s="29"/>
      <c r="U165" s="152">
        <f>SUM(U155:U164)</f>
        <v>0</v>
      </c>
      <c r="V165" s="29"/>
      <c r="W165" s="152">
        <f>SUM(W155:W164)</f>
        <v>0</v>
      </c>
      <c r="X165" s="29"/>
      <c r="Y165" s="152">
        <f>SUM(Y155:Y164)</f>
        <v>0</v>
      </c>
      <c r="Z165" s="29"/>
      <c r="AA165" s="152">
        <f>SUM(AA155:AA164)</f>
        <v>0</v>
      </c>
      <c r="AB165" s="29"/>
      <c r="AC165" s="152">
        <f>SUM(AC155:AC164)</f>
        <v>0</v>
      </c>
      <c r="AD165" s="29"/>
      <c r="AE165" s="152">
        <f>SUM(AE155:AE164)</f>
        <v>0</v>
      </c>
      <c r="AF165" s="29"/>
      <c r="AG165" s="152">
        <f>SUM(AG155:AG164)</f>
        <v>0</v>
      </c>
      <c r="AH165" s="29"/>
      <c r="AI165" s="152">
        <f>SUM(AI155:AI164)</f>
        <v>0</v>
      </c>
      <c r="AJ165" s="29"/>
      <c r="AK165" s="152">
        <f>SUM(AK155:AK164)</f>
        <v>36900</v>
      </c>
      <c r="AL165" s="152"/>
      <c r="AM165" s="152">
        <f>SUM(AM155:AM164)</f>
        <v>162900</v>
      </c>
      <c r="AN165" s="26"/>
      <c r="AO165" s="152">
        <f>SUM(AO155:AO164)</f>
        <v>0</v>
      </c>
      <c r="AQ165"/>
      <c r="AS165" s="51"/>
      <c r="AU165" s="52"/>
      <c r="AX165" s="152">
        <f>SUM(AX155:AX164)</f>
        <v>199800</v>
      </c>
      <c r="AY165" s="152">
        <f>SUM(AY155:AY164)</f>
        <v>0</v>
      </c>
    </row>
    <row r="166" spans="1:51" x14ac:dyDescent="0.2">
      <c r="A166" s="102"/>
      <c r="B166" s="102"/>
      <c r="C166" s="102"/>
      <c r="D166" s="117"/>
      <c r="E166" s="101"/>
      <c r="F166" s="101"/>
      <c r="G166" s="102"/>
      <c r="H166" s="102"/>
      <c r="I166" s="102"/>
      <c r="J166" s="102"/>
      <c r="K166" s="102"/>
      <c r="M166" s="103"/>
      <c r="O166" s="103"/>
      <c r="P166" s="29"/>
      <c r="Q166" s="103"/>
      <c r="R166" s="29"/>
      <c r="S166" s="103"/>
      <c r="T166" s="29"/>
      <c r="U166" s="103"/>
      <c r="V166" s="29"/>
      <c r="W166" s="103"/>
      <c r="X166" s="29"/>
      <c r="Y166" s="103"/>
      <c r="Z166" s="29"/>
      <c r="AA166" s="103"/>
      <c r="AB166" s="29"/>
      <c r="AC166" s="103"/>
      <c r="AD166" s="29"/>
      <c r="AE166" s="103"/>
      <c r="AF166" s="29"/>
      <c r="AG166" s="103"/>
      <c r="AH166" s="29"/>
      <c r="AI166" s="103"/>
      <c r="AJ166" s="29"/>
      <c r="AK166" s="103"/>
      <c r="AL166" s="103"/>
      <c r="AM166" s="103"/>
      <c r="AN166" s="26"/>
      <c r="AO166" s="103"/>
      <c r="AQ166"/>
      <c r="AS166" s="51"/>
      <c r="AU166" s="52"/>
      <c r="AX166" s="31"/>
      <c r="AY166" s="31"/>
    </row>
    <row r="167" spans="1:51" x14ac:dyDescent="0.2">
      <c r="A167" s="102"/>
      <c r="B167" s="102"/>
      <c r="C167" s="102"/>
      <c r="D167" s="159" t="s">
        <v>203</v>
      </c>
      <c r="E167" s="101"/>
      <c r="F167" s="101"/>
      <c r="G167" s="102"/>
      <c r="H167" s="102"/>
      <c r="I167" s="102"/>
      <c r="J167" s="102"/>
      <c r="K167" s="102"/>
      <c r="M167" s="103"/>
      <c r="O167" s="103"/>
      <c r="P167" s="29"/>
      <c r="Q167" s="103"/>
      <c r="R167" s="29"/>
      <c r="S167" s="103"/>
      <c r="T167" s="29"/>
      <c r="U167" s="103"/>
      <c r="V167" s="29"/>
      <c r="W167" s="103"/>
      <c r="X167" s="29"/>
      <c r="Y167" s="103"/>
      <c r="Z167" s="29"/>
      <c r="AA167" s="103"/>
      <c r="AB167" s="29"/>
      <c r="AC167" s="103"/>
      <c r="AD167" s="29"/>
      <c r="AE167" s="103"/>
      <c r="AF167" s="29"/>
      <c r="AG167" s="103"/>
      <c r="AH167" s="29"/>
      <c r="AI167" s="103"/>
      <c r="AJ167" s="29"/>
      <c r="AK167" s="103"/>
      <c r="AL167" s="103"/>
      <c r="AM167" s="103"/>
      <c r="AN167" s="26"/>
      <c r="AO167" s="103"/>
      <c r="AQ167"/>
      <c r="AS167" s="51"/>
      <c r="AU167" s="52"/>
      <c r="AX167" s="31"/>
      <c r="AY167" s="31"/>
    </row>
    <row r="168" spans="1:51" x14ac:dyDescent="0.2">
      <c r="A168" s="102" t="s">
        <v>4</v>
      </c>
      <c r="B168" s="102"/>
      <c r="C168" s="102"/>
      <c r="D168" s="117">
        <v>6.9099999999999995E-2</v>
      </c>
      <c r="E168" s="101"/>
      <c r="F168" s="101"/>
      <c r="G168" s="118">
        <v>39001</v>
      </c>
      <c r="H168" s="102"/>
      <c r="I168" s="102" t="s">
        <v>176</v>
      </c>
      <c r="J168" s="102"/>
      <c r="K168" s="102"/>
      <c r="M168" s="103">
        <v>60883</v>
      </c>
      <c r="O168" s="103">
        <v>57334</v>
      </c>
      <c r="P168" s="29"/>
      <c r="Q168" s="103">
        <f>7222-1759-1790</f>
        <v>3673</v>
      </c>
      <c r="R168" s="29"/>
      <c r="S168" s="103">
        <v>7737</v>
      </c>
      <c r="T168" s="29"/>
      <c r="U168" s="103">
        <v>8289</v>
      </c>
      <c r="V168" s="29"/>
      <c r="W168" s="103">
        <v>8881</v>
      </c>
      <c r="X168" s="29"/>
      <c r="Y168" s="103">
        <v>9514</v>
      </c>
      <c r="Z168" s="29"/>
      <c r="AA168" s="103">
        <v>10193</v>
      </c>
      <c r="AB168" s="29"/>
      <c r="AC168" s="103">
        <v>9047</v>
      </c>
      <c r="AD168" s="29"/>
      <c r="AE168" s="103">
        <v>0</v>
      </c>
      <c r="AF168" s="29"/>
      <c r="AG168" s="103">
        <v>0</v>
      </c>
      <c r="AH168" s="29"/>
      <c r="AI168" s="103">
        <v>0</v>
      </c>
      <c r="AJ168" s="29"/>
      <c r="AK168" s="103">
        <v>0</v>
      </c>
      <c r="AL168" s="103"/>
      <c r="AM168" s="103">
        <v>0</v>
      </c>
      <c r="AN168" s="26"/>
      <c r="AO168" s="103">
        <v>0</v>
      </c>
      <c r="AQ168"/>
      <c r="AS168" s="51"/>
      <c r="AU168" s="52"/>
      <c r="AX168" s="31">
        <f>SUM(Q168:AP168)</f>
        <v>57334</v>
      </c>
      <c r="AY168" s="31">
        <f>+O168-AX168</f>
        <v>0</v>
      </c>
    </row>
    <row r="169" spans="1:51" x14ac:dyDescent="0.2">
      <c r="A169" s="102" t="s">
        <v>4</v>
      </c>
      <c r="B169" s="102"/>
      <c r="C169" s="102"/>
      <c r="D169" s="117">
        <v>8.2500000000000004E-2</v>
      </c>
      <c r="E169" s="101"/>
      <c r="F169" s="101"/>
      <c r="G169" s="118">
        <v>49674</v>
      </c>
      <c r="H169" s="102"/>
      <c r="I169" s="102" t="s">
        <v>187</v>
      </c>
      <c r="J169" s="102"/>
      <c r="K169" s="102"/>
      <c r="M169" s="103">
        <v>75000</v>
      </c>
      <c r="O169" s="103">
        <v>75000</v>
      </c>
      <c r="P169" s="29"/>
      <c r="Q169" s="103">
        <v>0</v>
      </c>
      <c r="R169" s="29"/>
      <c r="S169" s="103">
        <v>0</v>
      </c>
      <c r="T169" s="29"/>
      <c r="U169" s="103">
        <v>0</v>
      </c>
      <c r="V169" s="29"/>
      <c r="W169" s="103">
        <v>0</v>
      </c>
      <c r="X169" s="29"/>
      <c r="Y169" s="103">
        <v>0</v>
      </c>
      <c r="Z169" s="29"/>
      <c r="AA169" s="103">
        <v>0</v>
      </c>
      <c r="AB169" s="29"/>
      <c r="AC169" s="103">
        <v>0</v>
      </c>
      <c r="AD169" s="29"/>
      <c r="AE169" s="103">
        <v>0</v>
      </c>
      <c r="AF169" s="29"/>
      <c r="AG169" s="103">
        <v>0</v>
      </c>
      <c r="AH169" s="29"/>
      <c r="AI169" s="103">
        <v>0</v>
      </c>
      <c r="AJ169" s="29"/>
      <c r="AK169" s="103">
        <v>0</v>
      </c>
      <c r="AL169" s="103"/>
      <c r="AM169" s="103">
        <f>+O169</f>
        <v>75000</v>
      </c>
      <c r="AN169" s="26"/>
      <c r="AO169" s="103">
        <v>0</v>
      </c>
      <c r="AQ169"/>
      <c r="AS169" s="51"/>
      <c r="AU169" s="52"/>
      <c r="AX169" s="31">
        <f>SUM(Q169:AP169)</f>
        <v>75000</v>
      </c>
      <c r="AY169" s="31">
        <f>+O169-AX169</f>
        <v>0</v>
      </c>
    </row>
    <row r="170" spans="1:51" x14ac:dyDescent="0.2">
      <c r="A170" s="102" t="s">
        <v>4</v>
      </c>
      <c r="B170" s="102"/>
      <c r="C170" s="102"/>
      <c r="D170" s="100">
        <v>7.8750000000000001E-2</v>
      </c>
      <c r="E170" s="101"/>
      <c r="F170" s="101"/>
      <c r="G170" s="118">
        <v>40252</v>
      </c>
      <c r="H170" s="102"/>
      <c r="I170" s="102" t="s">
        <v>262</v>
      </c>
      <c r="J170" s="102"/>
      <c r="K170" s="102"/>
      <c r="M170" s="103">
        <v>0</v>
      </c>
      <c r="O170" s="103">
        <v>150000</v>
      </c>
      <c r="P170" s="29"/>
      <c r="Q170" s="103">
        <v>0</v>
      </c>
      <c r="R170" s="29"/>
      <c r="S170" s="103">
        <v>0</v>
      </c>
      <c r="T170" s="29"/>
      <c r="U170" s="103">
        <v>0</v>
      </c>
      <c r="V170" s="29"/>
      <c r="W170" s="103">
        <v>0</v>
      </c>
      <c r="X170" s="29"/>
      <c r="Y170" s="103">
        <v>0</v>
      </c>
      <c r="Z170" s="29"/>
      <c r="AA170" s="103">
        <v>0</v>
      </c>
      <c r="AB170" s="29"/>
      <c r="AC170" s="103">
        <v>0</v>
      </c>
      <c r="AD170" s="29"/>
      <c r="AE170" s="103">
        <v>0</v>
      </c>
      <c r="AF170" s="29"/>
      <c r="AG170" s="103">
        <v>0</v>
      </c>
      <c r="AH170" s="29"/>
      <c r="AI170" s="103">
        <v>0</v>
      </c>
      <c r="AJ170" s="29"/>
      <c r="AK170" s="103">
        <f>+O170</f>
        <v>150000</v>
      </c>
      <c r="AL170" s="103"/>
      <c r="AM170" s="103">
        <v>0</v>
      </c>
      <c r="AN170" s="26"/>
      <c r="AO170" s="103">
        <v>0</v>
      </c>
      <c r="AQ170"/>
      <c r="AS170" s="51"/>
      <c r="AU170" s="52"/>
      <c r="AX170" s="31">
        <f>SUM(Q170:AP170)</f>
        <v>150000</v>
      </c>
      <c r="AY170" s="31">
        <f>+O170-AX170</f>
        <v>0</v>
      </c>
    </row>
    <row r="171" spans="1:51" x14ac:dyDescent="0.2">
      <c r="A171" s="102" t="s">
        <v>4</v>
      </c>
      <c r="B171" s="102"/>
      <c r="C171" s="102"/>
      <c r="D171" s="117"/>
      <c r="E171" s="101"/>
      <c r="F171" s="101"/>
      <c r="G171" s="102"/>
      <c r="H171" s="102"/>
      <c r="I171" s="108" t="s">
        <v>0</v>
      </c>
      <c r="J171" s="102"/>
      <c r="K171" s="102"/>
      <c r="M171" s="103">
        <v>3</v>
      </c>
      <c r="O171" s="103">
        <v>159</v>
      </c>
      <c r="P171" s="29"/>
      <c r="Q171" s="103">
        <v>0</v>
      </c>
      <c r="R171" s="29"/>
      <c r="S171" s="103">
        <v>0</v>
      </c>
      <c r="T171" s="29"/>
      <c r="U171" s="103">
        <v>0</v>
      </c>
      <c r="V171" s="29"/>
      <c r="W171" s="103">
        <v>0</v>
      </c>
      <c r="X171" s="29"/>
      <c r="Y171" s="103">
        <v>0</v>
      </c>
      <c r="Z171" s="29"/>
      <c r="AA171" s="103">
        <v>0</v>
      </c>
      <c r="AB171" s="29"/>
      <c r="AC171" s="103">
        <v>0</v>
      </c>
      <c r="AD171" s="29"/>
      <c r="AE171" s="103">
        <v>0</v>
      </c>
      <c r="AF171" s="29"/>
      <c r="AG171" s="103">
        <v>0</v>
      </c>
      <c r="AH171" s="29"/>
      <c r="AI171" s="103">
        <v>0</v>
      </c>
      <c r="AJ171" s="29"/>
      <c r="AK171" s="103">
        <v>156</v>
      </c>
      <c r="AL171" s="103"/>
      <c r="AM171" s="103">
        <v>3</v>
      </c>
      <c r="AN171" s="26"/>
      <c r="AO171" s="103">
        <v>0</v>
      </c>
      <c r="AQ171"/>
      <c r="AS171" s="51"/>
      <c r="AU171" s="52"/>
      <c r="AX171" s="31">
        <f>SUM(Q171:AP171)</f>
        <v>159</v>
      </c>
      <c r="AY171" s="31">
        <f>+O171-AX171</f>
        <v>0</v>
      </c>
    </row>
    <row r="172" spans="1:51" x14ac:dyDescent="0.2">
      <c r="A172" s="102" t="s">
        <v>5</v>
      </c>
      <c r="B172" s="102"/>
      <c r="C172" s="102"/>
      <c r="D172" s="8"/>
      <c r="E172" s="23"/>
      <c r="F172" s="23"/>
      <c r="H172" s="108" t="s">
        <v>149</v>
      </c>
      <c r="M172" s="103">
        <v>13351</v>
      </c>
      <c r="O172" s="103">
        <v>12568</v>
      </c>
      <c r="P172" s="29"/>
      <c r="Q172" s="103">
        <f>+O172</f>
        <v>12568</v>
      </c>
      <c r="R172" s="29"/>
      <c r="S172" s="103">
        <v>0</v>
      </c>
      <c r="T172" s="29"/>
      <c r="U172" s="103">
        <v>0</v>
      </c>
      <c r="V172" s="29"/>
      <c r="W172" s="103">
        <v>0</v>
      </c>
      <c r="X172" s="29"/>
      <c r="Y172" s="103">
        <v>0</v>
      </c>
      <c r="Z172" s="29"/>
      <c r="AA172" s="103">
        <v>0</v>
      </c>
      <c r="AB172" s="29"/>
      <c r="AC172" s="103">
        <v>0</v>
      </c>
      <c r="AD172" s="29"/>
      <c r="AE172" s="103">
        <v>0</v>
      </c>
      <c r="AF172" s="29"/>
      <c r="AG172" s="103">
        <v>0</v>
      </c>
      <c r="AH172" s="29"/>
      <c r="AI172" s="103">
        <v>0</v>
      </c>
      <c r="AJ172" s="29"/>
      <c r="AK172" s="103">
        <v>0</v>
      </c>
      <c r="AL172" s="103"/>
      <c r="AM172" s="103">
        <v>0</v>
      </c>
      <c r="AN172" s="26"/>
      <c r="AO172" s="103">
        <v>0</v>
      </c>
      <c r="AQ172"/>
      <c r="AS172" s="51"/>
      <c r="AU172" s="52"/>
      <c r="AX172" s="31">
        <f>SUM(Q172:AP172)</f>
        <v>12568</v>
      </c>
      <c r="AY172" s="31">
        <f>+O172-AX172</f>
        <v>0</v>
      </c>
    </row>
    <row r="173" spans="1:51" ht="8.1" customHeight="1" x14ac:dyDescent="0.2">
      <c r="A173" s="102"/>
      <c r="B173" s="102"/>
      <c r="C173" s="102"/>
      <c r="D173" s="13"/>
      <c r="E173" s="23"/>
      <c r="F173" s="23"/>
      <c r="M173" s="114"/>
      <c r="O173" s="114"/>
      <c r="P173" s="107"/>
      <c r="Q173" s="114"/>
      <c r="R173" s="28"/>
      <c r="S173" s="114"/>
      <c r="T173" s="28"/>
      <c r="U173" s="114"/>
      <c r="V173" s="28"/>
      <c r="W173" s="114"/>
      <c r="X173" s="28"/>
      <c r="Y173" s="114"/>
      <c r="Z173" s="28"/>
      <c r="AA173" s="114"/>
      <c r="AB173" s="28"/>
      <c r="AC173" s="114"/>
      <c r="AD173" s="28"/>
      <c r="AE173" s="114"/>
      <c r="AF173" s="28"/>
      <c r="AG173" s="114"/>
      <c r="AH173" s="28"/>
      <c r="AI173" s="114"/>
      <c r="AJ173" s="29"/>
      <c r="AK173" s="114"/>
      <c r="AL173" s="107"/>
      <c r="AM173" s="114">
        <f>+O173</f>
        <v>0</v>
      </c>
      <c r="AN173" s="107"/>
      <c r="AO173" s="114"/>
      <c r="AQ173"/>
      <c r="AS173" s="51"/>
      <c r="AT173" s="72"/>
      <c r="AU173" s="52"/>
      <c r="AX173" s="114"/>
      <c r="AY173" s="114"/>
    </row>
    <row r="174" spans="1:51" x14ac:dyDescent="0.2">
      <c r="A174" s="102"/>
      <c r="B174" s="102"/>
      <c r="C174" s="102"/>
      <c r="D174" s="159" t="s">
        <v>204</v>
      </c>
      <c r="E174" s="23"/>
      <c r="F174" s="23"/>
      <c r="M174" s="25">
        <f>SUM(M167:M173)</f>
        <v>149237</v>
      </c>
      <c r="O174" s="25">
        <f>SUM(O167:O173)</f>
        <v>295061</v>
      </c>
      <c r="P174" s="29"/>
      <c r="Q174" s="25">
        <f>SUM(Q167:Q173)</f>
        <v>16241</v>
      </c>
      <c r="R174" s="29"/>
      <c r="S174" s="25">
        <f>SUM(S167:S173)</f>
        <v>7737</v>
      </c>
      <c r="T174" s="29"/>
      <c r="U174" s="25">
        <f>SUM(U167:U173)</f>
        <v>8289</v>
      </c>
      <c r="V174" s="29"/>
      <c r="W174" s="25">
        <f>SUM(W167:W173)</f>
        <v>8881</v>
      </c>
      <c r="X174" s="29"/>
      <c r="Y174" s="25">
        <f>SUM(Y167:Y173)</f>
        <v>9514</v>
      </c>
      <c r="Z174" s="29"/>
      <c r="AA174" s="25">
        <f>SUM(AA167:AA173)</f>
        <v>10193</v>
      </c>
      <c r="AB174" s="29"/>
      <c r="AC174" s="25">
        <f>SUM(AC167:AC173)</f>
        <v>9047</v>
      </c>
      <c r="AD174" s="29"/>
      <c r="AE174" s="25">
        <f>SUM(AE167:AE173)</f>
        <v>0</v>
      </c>
      <c r="AF174" s="29"/>
      <c r="AG174" s="25">
        <f>SUM(AG167:AG173)</f>
        <v>0</v>
      </c>
      <c r="AH174" s="29"/>
      <c r="AI174" s="25">
        <f>SUM(AI167:AI173)</f>
        <v>0</v>
      </c>
      <c r="AJ174" s="29"/>
      <c r="AK174" s="25">
        <f>SUM(AK167:AK173)</f>
        <v>150156</v>
      </c>
      <c r="AL174" s="25"/>
      <c r="AM174" s="25">
        <f>SUM(AM167:AM173)</f>
        <v>75003</v>
      </c>
      <c r="AN174" s="25"/>
      <c r="AO174" s="25">
        <f>SUM(AO167:AO173)</f>
        <v>0</v>
      </c>
      <c r="AQ174"/>
      <c r="AS174" s="51"/>
      <c r="AU174" s="52"/>
      <c r="AX174" s="25">
        <f>SUM(AX167:AX173)</f>
        <v>295061</v>
      </c>
      <c r="AY174" s="25">
        <f>SUM(AY167:AY173)</f>
        <v>0</v>
      </c>
    </row>
    <row r="175" spans="1:51" x14ac:dyDescent="0.2">
      <c r="A175" s="102"/>
      <c r="B175" s="102"/>
      <c r="C175" s="102"/>
      <c r="D175" s="159"/>
      <c r="E175" s="23"/>
      <c r="F175" s="23"/>
      <c r="H175" s="7" t="s">
        <v>83</v>
      </c>
      <c r="M175" s="103">
        <v>-451</v>
      </c>
      <c r="O175" s="103">
        <v>-1655</v>
      </c>
      <c r="P175" s="29"/>
      <c r="Q175" s="103">
        <v>0</v>
      </c>
      <c r="R175" s="29"/>
      <c r="S175" s="103">
        <v>0</v>
      </c>
      <c r="T175" s="29"/>
      <c r="U175" s="103">
        <v>0</v>
      </c>
      <c r="V175" s="29"/>
      <c r="W175" s="103">
        <v>0</v>
      </c>
      <c r="X175" s="29"/>
      <c r="Y175" s="103">
        <v>0</v>
      </c>
      <c r="Z175" s="29"/>
      <c r="AA175" s="103">
        <v>0</v>
      </c>
      <c r="AB175" s="29"/>
      <c r="AC175" s="103">
        <v>0</v>
      </c>
      <c r="AD175" s="29"/>
      <c r="AE175" s="103">
        <v>0</v>
      </c>
      <c r="AF175" s="29"/>
      <c r="AG175" s="103">
        <v>0</v>
      </c>
      <c r="AH175" s="29"/>
      <c r="AI175" s="103">
        <v>0</v>
      </c>
      <c r="AJ175" s="29"/>
      <c r="AK175" s="103">
        <v>0</v>
      </c>
      <c r="AL175" s="103"/>
      <c r="AM175" s="103">
        <v>0</v>
      </c>
      <c r="AN175" s="26"/>
      <c r="AO175" s="103">
        <f>+O175</f>
        <v>-1655</v>
      </c>
      <c r="AQ175"/>
      <c r="AS175" s="51"/>
      <c r="AU175" s="52"/>
      <c r="AX175" s="31">
        <f>SUM(Q175:AP175)</f>
        <v>-1655</v>
      </c>
      <c r="AY175" s="31">
        <f>+O175-AX175</f>
        <v>0</v>
      </c>
    </row>
    <row r="176" spans="1:51" ht="8.1" customHeight="1" x14ac:dyDescent="0.2">
      <c r="A176" s="102"/>
      <c r="B176" s="102"/>
      <c r="C176" s="102"/>
      <c r="D176" s="119"/>
      <c r="E176" s="101"/>
      <c r="F176" s="101"/>
      <c r="G176" s="102"/>
      <c r="H176" s="102"/>
      <c r="I176" s="112"/>
      <c r="J176" s="102"/>
      <c r="K176" s="102"/>
      <c r="M176" s="40"/>
      <c r="O176" s="40"/>
      <c r="P176" s="29"/>
      <c r="Q176" s="40"/>
      <c r="R176" s="29"/>
      <c r="S176" s="40"/>
      <c r="T176" s="29"/>
      <c r="U176" s="40"/>
      <c r="V176" s="29"/>
      <c r="W176" s="40"/>
      <c r="X176" s="29"/>
      <c r="Y176" s="40"/>
      <c r="Z176" s="29"/>
      <c r="AA176" s="40"/>
      <c r="AB176" s="29"/>
      <c r="AC176" s="40"/>
      <c r="AD176" s="29"/>
      <c r="AE176" s="40"/>
      <c r="AF176" s="29"/>
      <c r="AG176" s="40"/>
      <c r="AH176" s="29"/>
      <c r="AI176" s="40"/>
      <c r="AJ176" s="29"/>
      <c r="AK176" s="40"/>
      <c r="AL176" s="25"/>
      <c r="AM176" s="40"/>
      <c r="AN176" s="25"/>
      <c r="AO176" s="40"/>
      <c r="AQ176"/>
      <c r="AS176" s="51"/>
      <c r="AU176" s="52"/>
      <c r="AX176" s="40"/>
      <c r="AY176" s="40"/>
    </row>
    <row r="177" spans="1:52" x14ac:dyDescent="0.2">
      <c r="A177" s="102"/>
      <c r="B177" s="102"/>
      <c r="C177" s="102"/>
      <c r="D177" s="13" t="s">
        <v>138</v>
      </c>
      <c r="E177" s="23"/>
      <c r="F177" s="23"/>
      <c r="M177" s="25">
        <f>+M153+M165+M174+M175</f>
        <v>746686</v>
      </c>
      <c r="O177" s="25">
        <f>+O153+O165+O174+O175</f>
        <v>866306</v>
      </c>
      <c r="P177" s="29"/>
      <c r="Q177" s="25">
        <f>+Q153+Q165+Q174+Q175</f>
        <v>16241</v>
      </c>
      <c r="R177" s="29"/>
      <c r="S177" s="25">
        <f>+S153+S165+S174+S175</f>
        <v>52737</v>
      </c>
      <c r="T177" s="29"/>
      <c r="U177" s="25">
        <f>+U153+U165+U174+U175</f>
        <v>23289</v>
      </c>
      <c r="V177" s="29"/>
      <c r="W177" s="25">
        <f>+W153+W165+W174+W175</f>
        <v>48881</v>
      </c>
      <c r="X177" s="29"/>
      <c r="Y177" s="25">
        <f>+Y153+Y165+Y174+Y175</f>
        <v>54514</v>
      </c>
      <c r="Z177" s="29"/>
      <c r="AA177" s="25">
        <f>+AA153+AA165+AA174+AA175</f>
        <v>28193</v>
      </c>
      <c r="AB177" s="29"/>
      <c r="AC177" s="25">
        <f>+AC153+AC165+AC174+AC175</f>
        <v>9047</v>
      </c>
      <c r="AD177" s="29"/>
      <c r="AE177" s="25">
        <f>+AE153+AE165+AE174+AE175</f>
        <v>50000</v>
      </c>
      <c r="AF177" s="29"/>
      <c r="AG177" s="25">
        <f>+AG153+AG165+AG174+AG175</f>
        <v>0</v>
      </c>
      <c r="AH177" s="29"/>
      <c r="AI177" s="25">
        <f>+AI153+AI165+AI174+AI175</f>
        <v>0</v>
      </c>
      <c r="AJ177" s="29"/>
      <c r="AK177" s="25">
        <f>+AK153+AK165+AK174+AK175</f>
        <v>187056</v>
      </c>
      <c r="AL177" s="25"/>
      <c r="AM177" s="25">
        <f>+AM153+AM165+AM174+AM175</f>
        <v>398003</v>
      </c>
      <c r="AN177" s="25"/>
      <c r="AO177" s="25">
        <f>+AO153+AO165+AO174+AO175</f>
        <v>-1655</v>
      </c>
      <c r="AQ177"/>
      <c r="AS177" s="51"/>
      <c r="AU177" s="52"/>
      <c r="AX177" s="25">
        <f>+AX153+AX165+AX174+AX175</f>
        <v>866306</v>
      </c>
      <c r="AY177" s="25">
        <f>+AY153+AY165+AY174+AY175</f>
        <v>0</v>
      </c>
    </row>
    <row r="178" spans="1:52" x14ac:dyDescent="0.2">
      <c r="A178" s="102"/>
      <c r="B178" s="102"/>
      <c r="C178" s="102"/>
      <c r="D178" s="13"/>
      <c r="E178" s="23"/>
      <c r="F178" s="23"/>
      <c r="O178" s="33"/>
      <c r="P178" s="29"/>
      <c r="Q178" s="26"/>
      <c r="R178" s="29"/>
      <c r="S178" s="26"/>
      <c r="T178" s="29"/>
      <c r="U178" s="26"/>
      <c r="V178" s="29"/>
      <c r="W178" s="26"/>
      <c r="X178" s="29"/>
      <c r="Y178" s="26"/>
      <c r="Z178" s="29"/>
      <c r="AA178" s="26"/>
      <c r="AB178" s="29"/>
      <c r="AC178" s="26"/>
      <c r="AD178" s="29"/>
      <c r="AE178" s="26"/>
      <c r="AF178" s="29"/>
      <c r="AG178" s="26"/>
      <c r="AH178" s="29"/>
      <c r="AI178" s="26"/>
      <c r="AJ178" s="29"/>
      <c r="AK178" s="29"/>
      <c r="AL178" s="29"/>
      <c r="AM178" s="29"/>
      <c r="AN178" s="29"/>
      <c r="AO178" s="29"/>
      <c r="AQ178"/>
      <c r="AS178" s="51"/>
      <c r="AU178" s="52"/>
    </row>
    <row r="179" spans="1:52" x14ac:dyDescent="0.2">
      <c r="A179" s="102"/>
      <c r="B179" s="102"/>
      <c r="C179" s="102"/>
      <c r="D179" s="13" t="s">
        <v>139</v>
      </c>
      <c r="E179" s="23"/>
      <c r="F179" s="23"/>
      <c r="O179" s="33"/>
      <c r="P179" s="29"/>
      <c r="Q179" s="26"/>
      <c r="R179" s="29"/>
      <c r="S179" s="26"/>
      <c r="T179" s="29"/>
      <c r="U179" s="26"/>
      <c r="V179" s="29"/>
      <c r="W179" s="26"/>
      <c r="X179" s="29"/>
      <c r="Y179" s="26"/>
      <c r="Z179" s="29"/>
      <c r="AA179" s="26"/>
      <c r="AB179" s="29"/>
      <c r="AC179" s="26"/>
      <c r="AD179" s="29"/>
      <c r="AE179" s="26"/>
      <c r="AF179" s="29"/>
      <c r="AG179" s="26"/>
      <c r="AH179" s="29"/>
      <c r="AI179" s="26"/>
      <c r="AJ179" s="29"/>
      <c r="AK179" s="29"/>
      <c r="AL179" s="29"/>
      <c r="AM179" s="29"/>
      <c r="AN179" s="29"/>
      <c r="AO179" s="29"/>
      <c r="AQ179"/>
      <c r="AS179" s="51"/>
      <c r="AU179" s="52"/>
    </row>
    <row r="180" spans="1:52" x14ac:dyDescent="0.2">
      <c r="A180" s="102"/>
      <c r="B180" s="102"/>
      <c r="C180" s="102"/>
      <c r="D180" s="112" t="s">
        <v>193</v>
      </c>
      <c r="E180" s="101"/>
      <c r="F180" s="101"/>
      <c r="G180" s="145">
        <v>37976</v>
      </c>
      <c r="H180" s="102"/>
      <c r="I180" s="112"/>
      <c r="J180" s="102"/>
      <c r="K180" s="112"/>
      <c r="M180" s="105">
        <v>0</v>
      </c>
      <c r="O180" s="105">
        <v>0</v>
      </c>
      <c r="P180" s="29"/>
      <c r="Q180" s="105">
        <v>0</v>
      </c>
      <c r="R180" s="29"/>
      <c r="S180" s="105">
        <v>0</v>
      </c>
      <c r="T180" s="29"/>
      <c r="U180" s="105">
        <v>0</v>
      </c>
      <c r="V180" s="29"/>
      <c r="W180" s="105">
        <v>0</v>
      </c>
      <c r="X180" s="29"/>
      <c r="Y180" s="105">
        <v>0</v>
      </c>
      <c r="Z180" s="29"/>
      <c r="AA180" s="105">
        <v>0</v>
      </c>
      <c r="AB180" s="29"/>
      <c r="AC180" s="105">
        <v>0</v>
      </c>
      <c r="AD180" s="29"/>
      <c r="AE180" s="105">
        <v>0</v>
      </c>
      <c r="AF180" s="29"/>
      <c r="AG180" s="105">
        <v>0</v>
      </c>
      <c r="AH180" s="29"/>
      <c r="AI180" s="105">
        <v>0</v>
      </c>
      <c r="AJ180" s="29"/>
      <c r="AK180" s="105">
        <v>0</v>
      </c>
      <c r="AL180" s="105"/>
      <c r="AM180" s="105">
        <v>0</v>
      </c>
      <c r="AN180" s="28"/>
      <c r="AO180" s="105">
        <v>0</v>
      </c>
      <c r="AQ180" s="73">
        <f>SUM(Q180:AK180)</f>
        <v>0</v>
      </c>
      <c r="AR180" s="74">
        <f>AQ180-O180</f>
        <v>0</v>
      </c>
      <c r="AS180" s="51"/>
      <c r="AT180" s="7">
        <f>O180*SUM(AU180:AV180)</f>
        <v>0</v>
      </c>
      <c r="AU180" s="52"/>
      <c r="AV180" s="12" t="str">
        <f>D180</f>
        <v>1 mo LIBOR+75bp</v>
      </c>
      <c r="AW180" s="7">
        <f>O180</f>
        <v>0</v>
      </c>
      <c r="AX180" s="31">
        <f>SUM(Q180:AP180)</f>
        <v>0</v>
      </c>
      <c r="AY180" s="31">
        <f>+O180-AX180</f>
        <v>0</v>
      </c>
    </row>
    <row r="181" spans="1:52" ht="8.1" customHeight="1" x14ac:dyDescent="0.2">
      <c r="A181" s="102"/>
      <c r="B181" s="102"/>
      <c r="C181" s="102"/>
      <c r="D181" s="15"/>
      <c r="E181" s="23"/>
      <c r="F181" s="23"/>
      <c r="G181" s="34"/>
      <c r="K181" s="6"/>
      <c r="M181" s="40"/>
      <c r="O181" s="40"/>
      <c r="P181" s="29"/>
      <c r="Q181" s="40"/>
      <c r="R181" s="29"/>
      <c r="S181" s="40"/>
      <c r="T181" s="29"/>
      <c r="U181" s="40"/>
      <c r="V181" s="29"/>
      <c r="W181" s="40"/>
      <c r="X181" s="29"/>
      <c r="Y181" s="40"/>
      <c r="Z181" s="29"/>
      <c r="AA181" s="40"/>
      <c r="AB181" s="29"/>
      <c r="AC181" s="40"/>
      <c r="AD181" s="29"/>
      <c r="AE181" s="40"/>
      <c r="AF181" s="29"/>
      <c r="AG181" s="40"/>
      <c r="AH181" s="29"/>
      <c r="AI181" s="40"/>
      <c r="AJ181" s="29"/>
      <c r="AK181" s="40"/>
      <c r="AL181" s="25"/>
      <c r="AM181" s="40"/>
      <c r="AN181" s="28"/>
      <c r="AO181" s="40"/>
      <c r="AQ181" s="38"/>
      <c r="AR181" s="30"/>
      <c r="AS181" s="51"/>
      <c r="AU181" s="52"/>
      <c r="AX181" s="40"/>
      <c r="AY181" s="40"/>
    </row>
    <row r="182" spans="1:52" x14ac:dyDescent="0.2">
      <c r="A182" s="102"/>
      <c r="B182" s="102"/>
      <c r="C182" s="102"/>
      <c r="D182" s="13" t="s">
        <v>140</v>
      </c>
      <c r="E182" s="23"/>
      <c r="F182" s="23"/>
      <c r="G182" s="34"/>
      <c r="K182" s="6"/>
      <c r="M182" s="33">
        <f>SUM(M179:M181)</f>
        <v>0</v>
      </c>
      <c r="O182" s="33">
        <f>SUM(O179:O181)</f>
        <v>0</v>
      </c>
      <c r="P182" s="29"/>
      <c r="Q182" s="33">
        <f>SUM(Q179:Q181)</f>
        <v>0</v>
      </c>
      <c r="R182" s="1"/>
      <c r="S182" s="33">
        <f>SUM(S179:S181)</f>
        <v>0</v>
      </c>
      <c r="T182" s="1"/>
      <c r="U182" s="33">
        <f>SUM(U179:U181)</f>
        <v>0</v>
      </c>
      <c r="V182" s="1"/>
      <c r="W182" s="33">
        <f>SUM(W179:W181)</f>
        <v>0</v>
      </c>
      <c r="X182" s="1"/>
      <c r="Y182" s="33">
        <f>SUM(Y179:Y181)</f>
        <v>0</v>
      </c>
      <c r="Z182" s="1"/>
      <c r="AA182" s="33">
        <f>SUM(AA179:AA181)</f>
        <v>0</v>
      </c>
      <c r="AB182" s="1"/>
      <c r="AC182" s="33">
        <f>SUM(AC179:AC181)</f>
        <v>0</v>
      </c>
      <c r="AD182" s="1"/>
      <c r="AE182" s="33">
        <f>SUM(AE179:AE181)</f>
        <v>0</v>
      </c>
      <c r="AF182" s="1"/>
      <c r="AG182" s="33">
        <f>SUM(AG179:AG181)</f>
        <v>0</v>
      </c>
      <c r="AH182" s="1"/>
      <c r="AI182" s="33">
        <f>SUM(AI179:AI181)</f>
        <v>0</v>
      </c>
      <c r="AJ182" s="1"/>
      <c r="AK182" s="33">
        <f>SUM(AK179:AK181)</f>
        <v>0</v>
      </c>
      <c r="AL182" s="33"/>
      <c r="AM182" s="33">
        <f>SUM(AM179:AM181)</f>
        <v>0</v>
      </c>
      <c r="AN182" s="33"/>
      <c r="AO182" s="33">
        <f>SUM(AO179:AO181)</f>
        <v>0</v>
      </c>
      <c r="AP182"/>
      <c r="AQ182">
        <f>SUM(Q182:AK182)</f>
        <v>0</v>
      </c>
      <c r="AR182" s="7">
        <f>AQ182-O182</f>
        <v>0</v>
      </c>
      <c r="AS182" s="51"/>
      <c r="AT182" s="75">
        <f>SUM(AT180:AT180)</f>
        <v>0</v>
      </c>
      <c r="AU182" s="52"/>
      <c r="AX182" s="33">
        <f>SUM(AX179:AX181)</f>
        <v>0</v>
      </c>
      <c r="AY182" s="33">
        <f>SUM(AY179:AY181)</f>
        <v>0</v>
      </c>
    </row>
    <row r="183" spans="1:52" x14ac:dyDescent="0.2">
      <c r="A183" s="102"/>
      <c r="B183" s="102"/>
      <c r="C183" s="102"/>
      <c r="D183" s="13"/>
      <c r="E183" s="23"/>
      <c r="F183" s="23"/>
      <c r="K183" s="76"/>
      <c r="O183" s="33"/>
      <c r="P183" s="29"/>
      <c r="Q183" s="26"/>
      <c r="R183" s="29"/>
      <c r="S183" s="26"/>
      <c r="T183" s="29"/>
      <c r="U183" s="26"/>
      <c r="V183" s="29"/>
      <c r="W183" s="26"/>
      <c r="X183" s="29"/>
      <c r="Y183" s="26"/>
      <c r="Z183" s="29"/>
      <c r="AA183" s="26"/>
      <c r="AB183" s="29"/>
      <c r="AC183" s="26"/>
      <c r="AD183" s="29"/>
      <c r="AE183" s="26"/>
      <c r="AF183" s="29"/>
      <c r="AG183" s="26"/>
      <c r="AH183" s="29"/>
      <c r="AI183" s="26"/>
      <c r="AJ183" s="29"/>
      <c r="AK183" s="29"/>
      <c r="AL183" s="29"/>
      <c r="AM183" s="29"/>
      <c r="AN183" s="29"/>
      <c r="AO183" s="29"/>
      <c r="AQ183"/>
      <c r="AS183" s="51"/>
      <c r="AU183" s="52"/>
    </row>
    <row r="184" spans="1:52" x14ac:dyDescent="0.2">
      <c r="A184" s="102"/>
      <c r="B184" s="102"/>
      <c r="C184" s="102"/>
      <c r="D184" s="13" t="s">
        <v>100</v>
      </c>
      <c r="E184" s="23"/>
      <c r="F184" s="23"/>
      <c r="K184" s="76"/>
      <c r="O184" s="33"/>
      <c r="P184" s="29"/>
      <c r="Q184" s="26"/>
      <c r="R184" s="29"/>
      <c r="S184" s="26"/>
      <c r="T184" s="29"/>
      <c r="U184" s="26"/>
      <c r="V184" s="29"/>
      <c r="W184" s="26"/>
      <c r="X184" s="29"/>
      <c r="Y184" s="26"/>
      <c r="Z184" s="29"/>
      <c r="AA184" s="26"/>
      <c r="AB184" s="29"/>
      <c r="AC184" s="26"/>
      <c r="AD184" s="29"/>
      <c r="AE184" s="26"/>
      <c r="AF184" s="29"/>
      <c r="AG184" s="26"/>
      <c r="AH184" s="29"/>
      <c r="AI184" s="26"/>
      <c r="AJ184" s="29"/>
      <c r="AK184" s="29"/>
      <c r="AL184" s="29"/>
      <c r="AM184" s="29"/>
      <c r="AN184" s="29"/>
      <c r="AO184" s="29"/>
      <c r="AQ184"/>
      <c r="AS184" s="51"/>
      <c r="AU184" s="52"/>
    </row>
    <row r="185" spans="1:52" x14ac:dyDescent="0.2">
      <c r="A185" s="102"/>
      <c r="B185" s="102"/>
      <c r="C185" s="102"/>
      <c r="D185" s="142" t="s">
        <v>194</v>
      </c>
      <c r="E185" s="101"/>
      <c r="F185" s="101"/>
      <c r="G185" s="118">
        <v>36434</v>
      </c>
      <c r="H185" s="102"/>
      <c r="I185" s="112"/>
      <c r="J185" s="102"/>
      <c r="K185" s="112"/>
      <c r="M185" s="103">
        <v>0</v>
      </c>
      <c r="O185" s="103">
        <v>0</v>
      </c>
      <c r="P185" s="29"/>
      <c r="Q185" s="103">
        <v>0</v>
      </c>
      <c r="R185" s="29"/>
      <c r="S185" s="26">
        <v>0</v>
      </c>
      <c r="T185" s="29"/>
      <c r="U185" s="103">
        <v>0</v>
      </c>
      <c r="V185" s="29"/>
      <c r="W185" s="103">
        <v>0</v>
      </c>
      <c r="X185" s="29"/>
      <c r="Y185" s="103">
        <v>0</v>
      </c>
      <c r="Z185" s="29"/>
      <c r="AA185" s="103">
        <v>0</v>
      </c>
      <c r="AB185" s="29"/>
      <c r="AC185" s="103">
        <v>0</v>
      </c>
      <c r="AD185" s="29"/>
      <c r="AE185" s="103">
        <v>0</v>
      </c>
      <c r="AF185" s="29"/>
      <c r="AG185" s="103">
        <v>0</v>
      </c>
      <c r="AH185" s="29"/>
      <c r="AI185" s="103">
        <v>0</v>
      </c>
      <c r="AJ185" s="29"/>
      <c r="AK185" s="103">
        <v>0</v>
      </c>
      <c r="AL185" s="103"/>
      <c r="AM185" s="103">
        <v>0</v>
      </c>
      <c r="AN185" s="26"/>
      <c r="AO185" s="103">
        <v>0</v>
      </c>
      <c r="AP185" s="103"/>
      <c r="AQ185"/>
      <c r="AS185" s="51"/>
      <c r="AU185" s="52"/>
      <c r="AX185" s="31">
        <f t="shared" ref="AX185:AX190" si="20">SUM(Q185:AP185)</f>
        <v>0</v>
      </c>
      <c r="AY185" s="31">
        <f t="shared" ref="AY185:AY190" si="21">+O185-AX185</f>
        <v>0</v>
      </c>
      <c r="AZ185" s="103"/>
    </row>
    <row r="186" spans="1:52" x14ac:dyDescent="0.2">
      <c r="A186" s="102"/>
      <c r="B186" s="102"/>
      <c r="C186" s="102"/>
      <c r="D186" s="157">
        <v>5.6829999999999999E-2</v>
      </c>
      <c r="E186" s="101"/>
      <c r="F186" s="101"/>
      <c r="G186" s="118">
        <v>37626</v>
      </c>
      <c r="H186" s="102"/>
      <c r="I186" s="112"/>
      <c r="J186" s="102"/>
      <c r="K186" s="112"/>
      <c r="M186" s="103">
        <v>0</v>
      </c>
      <c r="O186" s="103">
        <v>0</v>
      </c>
      <c r="P186" s="29"/>
      <c r="Q186" s="103">
        <v>0</v>
      </c>
      <c r="R186" s="29"/>
      <c r="S186" s="26">
        <v>0</v>
      </c>
      <c r="T186" s="29"/>
      <c r="U186" s="103">
        <v>0</v>
      </c>
      <c r="V186" s="29"/>
      <c r="W186" s="103">
        <v>0</v>
      </c>
      <c r="X186" s="29"/>
      <c r="Y186" s="103">
        <v>0</v>
      </c>
      <c r="Z186" s="29"/>
      <c r="AA186" s="103">
        <v>0</v>
      </c>
      <c r="AB186" s="29"/>
      <c r="AC186" s="103">
        <v>0</v>
      </c>
      <c r="AD186" s="29"/>
      <c r="AE186" s="103">
        <v>0</v>
      </c>
      <c r="AF186" s="29"/>
      <c r="AG186" s="103">
        <v>0</v>
      </c>
      <c r="AH186" s="29"/>
      <c r="AI186" s="103">
        <v>0</v>
      </c>
      <c r="AJ186" s="29"/>
      <c r="AK186" s="103">
        <v>0</v>
      </c>
      <c r="AL186" s="103"/>
      <c r="AM186" s="103">
        <v>0</v>
      </c>
      <c r="AN186" s="26"/>
      <c r="AO186" s="103">
        <v>0</v>
      </c>
      <c r="AP186" s="103"/>
      <c r="AQ186"/>
      <c r="AS186" s="51"/>
      <c r="AU186" s="52"/>
      <c r="AX186" s="31">
        <f t="shared" si="20"/>
        <v>0</v>
      </c>
      <c r="AY186" s="31">
        <f t="shared" si="21"/>
        <v>0</v>
      </c>
      <c r="AZ186" s="103"/>
    </row>
    <row r="187" spans="1:52" x14ac:dyDescent="0.2">
      <c r="A187" s="102"/>
      <c r="B187" s="102"/>
      <c r="C187" s="102"/>
      <c r="D187" s="157">
        <v>0.12386</v>
      </c>
      <c r="E187" s="101"/>
      <c r="F187" s="101"/>
      <c r="G187" s="118">
        <v>38107</v>
      </c>
      <c r="H187" s="102"/>
      <c r="I187" s="112"/>
      <c r="J187" s="102"/>
      <c r="K187" s="112"/>
      <c r="M187" s="103">
        <v>0</v>
      </c>
      <c r="O187" s="103">
        <v>0</v>
      </c>
      <c r="P187" s="29"/>
      <c r="Q187" s="103">
        <v>0</v>
      </c>
      <c r="R187" s="29"/>
      <c r="S187" s="26">
        <v>0</v>
      </c>
      <c r="T187" s="29"/>
      <c r="U187" s="103">
        <v>0</v>
      </c>
      <c r="V187" s="29"/>
      <c r="W187" s="103">
        <v>0</v>
      </c>
      <c r="X187" s="29"/>
      <c r="Y187" s="103">
        <v>0</v>
      </c>
      <c r="Z187" s="29"/>
      <c r="AA187" s="103">
        <v>0</v>
      </c>
      <c r="AB187" s="29"/>
      <c r="AC187" s="103">
        <v>0</v>
      </c>
      <c r="AD187" s="29"/>
      <c r="AE187" s="103">
        <v>0</v>
      </c>
      <c r="AF187" s="29"/>
      <c r="AG187" s="103">
        <v>0</v>
      </c>
      <c r="AH187" s="29"/>
      <c r="AI187" s="103">
        <v>0</v>
      </c>
      <c r="AJ187" s="29"/>
      <c r="AK187" s="103">
        <v>0</v>
      </c>
      <c r="AL187" s="103"/>
      <c r="AM187" s="103">
        <v>0</v>
      </c>
      <c r="AN187" s="26"/>
      <c r="AO187" s="103">
        <v>0</v>
      </c>
      <c r="AP187" s="103"/>
      <c r="AQ187"/>
      <c r="AS187" s="51"/>
      <c r="AU187" s="52"/>
      <c r="AX187" s="31">
        <f t="shared" si="20"/>
        <v>0</v>
      </c>
      <c r="AY187" s="31">
        <f t="shared" si="21"/>
        <v>0</v>
      </c>
      <c r="AZ187" s="103"/>
    </row>
    <row r="188" spans="1:52" x14ac:dyDescent="0.2">
      <c r="A188" s="102"/>
      <c r="B188" s="102"/>
      <c r="C188" s="102"/>
      <c r="D188" s="156">
        <v>0.08</v>
      </c>
      <c r="E188" s="101"/>
      <c r="F188" s="101"/>
      <c r="G188" s="118">
        <v>39085</v>
      </c>
      <c r="H188" s="102"/>
      <c r="I188" s="112"/>
      <c r="J188" s="102"/>
      <c r="K188" s="112"/>
      <c r="M188" s="103">
        <v>0</v>
      </c>
      <c r="O188" s="103">
        <v>0</v>
      </c>
      <c r="P188" s="29"/>
      <c r="Q188" s="103">
        <v>0</v>
      </c>
      <c r="R188" s="29"/>
      <c r="S188" s="26">
        <v>0</v>
      </c>
      <c r="T188" s="29"/>
      <c r="U188" s="103">
        <v>0</v>
      </c>
      <c r="V188" s="29"/>
      <c r="W188" s="103">
        <v>0</v>
      </c>
      <c r="X188" s="29"/>
      <c r="Y188" s="103">
        <v>0</v>
      </c>
      <c r="Z188" s="29"/>
      <c r="AA188" s="103">
        <v>0</v>
      </c>
      <c r="AB188" s="29"/>
      <c r="AC188" s="103">
        <v>0</v>
      </c>
      <c r="AD188" s="29"/>
      <c r="AE188" s="103">
        <v>0</v>
      </c>
      <c r="AF188" s="29"/>
      <c r="AG188" s="103">
        <v>0</v>
      </c>
      <c r="AH188" s="29"/>
      <c r="AI188" s="103">
        <v>0</v>
      </c>
      <c r="AJ188" s="29"/>
      <c r="AK188" s="103">
        <v>0</v>
      </c>
      <c r="AL188" s="103"/>
      <c r="AM188" s="103">
        <v>0</v>
      </c>
      <c r="AN188" s="26"/>
      <c r="AO188" s="103">
        <v>0</v>
      </c>
      <c r="AP188" s="103"/>
      <c r="AQ188"/>
      <c r="AS188" s="51"/>
      <c r="AU188" s="52"/>
      <c r="AX188" s="31">
        <f t="shared" si="20"/>
        <v>0</v>
      </c>
      <c r="AY188" s="31">
        <f t="shared" si="21"/>
        <v>0</v>
      </c>
      <c r="AZ188" s="103"/>
    </row>
    <row r="189" spans="1:52" x14ac:dyDescent="0.2">
      <c r="A189" s="102">
        <v>962</v>
      </c>
      <c r="B189" s="102"/>
      <c r="C189" s="102"/>
      <c r="D189" s="142" t="s">
        <v>157</v>
      </c>
      <c r="E189" s="101"/>
      <c r="F189" s="101"/>
      <c r="G189" s="118">
        <v>38336</v>
      </c>
      <c r="H189" s="102"/>
      <c r="I189" s="108" t="s">
        <v>16</v>
      </c>
      <c r="J189" s="102"/>
      <c r="K189" s="112"/>
      <c r="M189" s="103">
        <v>2271</v>
      </c>
      <c r="O189" s="103">
        <v>1176</v>
      </c>
      <c r="P189" s="29"/>
      <c r="Q189" s="103">
        <v>0</v>
      </c>
      <c r="R189" s="29"/>
      <c r="S189" s="103">
        <v>0</v>
      </c>
      <c r="T189" s="103"/>
      <c r="U189" s="103">
        <v>0</v>
      </c>
      <c r="V189" s="29"/>
      <c r="W189" s="103">
        <v>0</v>
      </c>
      <c r="X189" s="29"/>
      <c r="Y189" s="103">
        <f>+O189</f>
        <v>1176</v>
      </c>
      <c r="Z189" s="29"/>
      <c r="AA189" s="103">
        <v>0</v>
      </c>
      <c r="AB189" s="29"/>
      <c r="AC189" s="103">
        <v>0</v>
      </c>
      <c r="AD189" s="29"/>
      <c r="AE189" s="103">
        <v>0</v>
      </c>
      <c r="AF189" s="29"/>
      <c r="AG189" s="103">
        <v>0</v>
      </c>
      <c r="AH189" s="29"/>
      <c r="AI189" s="103">
        <v>0</v>
      </c>
      <c r="AJ189" s="29"/>
      <c r="AK189" s="103">
        <v>0</v>
      </c>
      <c r="AL189" s="103"/>
      <c r="AM189" s="103">
        <v>0</v>
      </c>
      <c r="AN189" s="26"/>
      <c r="AO189" s="103">
        <v>0</v>
      </c>
      <c r="AP189" s="103"/>
      <c r="AQ189"/>
      <c r="AS189" s="51"/>
      <c r="AU189" s="52"/>
      <c r="AX189" s="31">
        <f t="shared" si="20"/>
        <v>1176</v>
      </c>
      <c r="AY189" s="31">
        <f t="shared" si="21"/>
        <v>0</v>
      </c>
      <c r="AZ189" s="103"/>
    </row>
    <row r="190" spans="1:52" x14ac:dyDescent="0.2">
      <c r="A190" s="102">
        <v>111</v>
      </c>
      <c r="B190" s="102"/>
      <c r="C190" s="102"/>
      <c r="D190" s="157">
        <v>0</v>
      </c>
      <c r="E190" s="101"/>
      <c r="F190" s="101"/>
      <c r="G190" s="160">
        <v>36678</v>
      </c>
      <c r="H190" s="102"/>
      <c r="I190" s="142" t="s">
        <v>11</v>
      </c>
      <c r="J190" s="102"/>
      <c r="K190" s="112"/>
      <c r="M190" s="103">
        <v>30</v>
      </c>
      <c r="O190" s="103">
        <v>11</v>
      </c>
      <c r="P190" s="29"/>
      <c r="Q190" s="103">
        <v>11</v>
      </c>
      <c r="R190" s="29"/>
      <c r="S190" s="26">
        <v>0</v>
      </c>
      <c r="T190" s="29"/>
      <c r="U190" s="103">
        <v>0</v>
      </c>
      <c r="V190" s="29"/>
      <c r="W190" s="103">
        <v>0</v>
      </c>
      <c r="X190" s="29"/>
      <c r="Y190" s="103">
        <v>0</v>
      </c>
      <c r="Z190" s="29"/>
      <c r="AA190" s="103">
        <v>0</v>
      </c>
      <c r="AB190" s="29"/>
      <c r="AC190" s="103">
        <v>0</v>
      </c>
      <c r="AD190" s="29"/>
      <c r="AE190" s="103">
        <v>0</v>
      </c>
      <c r="AF190" s="29"/>
      <c r="AG190" s="103">
        <v>0</v>
      </c>
      <c r="AH190" s="29"/>
      <c r="AI190" s="103">
        <v>0</v>
      </c>
      <c r="AJ190" s="29"/>
      <c r="AK190" s="103">
        <v>0</v>
      </c>
      <c r="AL190" s="103"/>
      <c r="AM190" s="103">
        <v>0</v>
      </c>
      <c r="AN190" s="26"/>
      <c r="AO190" s="103">
        <v>0</v>
      </c>
      <c r="AP190" s="103"/>
      <c r="AQ190"/>
      <c r="AS190" s="51"/>
      <c r="AU190" s="52"/>
      <c r="AX190" s="31">
        <f t="shared" si="20"/>
        <v>11</v>
      </c>
      <c r="AY190" s="31">
        <f t="shared" si="21"/>
        <v>0</v>
      </c>
      <c r="AZ190" s="103"/>
    </row>
    <row r="191" spans="1:52" ht="8.1" customHeight="1" x14ac:dyDescent="0.2">
      <c r="A191" s="102"/>
      <c r="B191" s="102"/>
      <c r="C191" s="102"/>
      <c r="D191" s="15"/>
      <c r="E191" s="23"/>
      <c r="F191" s="23"/>
      <c r="K191" s="76"/>
      <c r="M191" s="40"/>
      <c r="O191" s="40"/>
      <c r="P191" s="29"/>
      <c r="Q191" s="40"/>
      <c r="R191" s="29"/>
      <c r="S191" s="40"/>
      <c r="T191" s="29"/>
      <c r="U191" s="40"/>
      <c r="V191" s="29"/>
      <c r="W191" s="40"/>
      <c r="X191" s="29"/>
      <c r="Y191" s="40"/>
      <c r="Z191" s="29"/>
      <c r="AA191" s="40"/>
      <c r="AB191" s="29"/>
      <c r="AC191" s="40"/>
      <c r="AD191" s="29"/>
      <c r="AE191" s="40"/>
      <c r="AF191" s="29"/>
      <c r="AG191" s="40"/>
      <c r="AH191" s="29"/>
      <c r="AI191" s="40"/>
      <c r="AJ191" s="29"/>
      <c r="AK191" s="40"/>
      <c r="AL191" s="25"/>
      <c r="AM191" s="40"/>
      <c r="AN191" s="26"/>
      <c r="AO191" s="40"/>
      <c r="AQ191"/>
      <c r="AS191" s="51"/>
      <c r="AU191" s="52"/>
      <c r="AX191" s="40"/>
      <c r="AY191" s="40"/>
    </row>
    <row r="192" spans="1:52" x14ac:dyDescent="0.2">
      <c r="A192" s="102"/>
      <c r="B192" s="102"/>
      <c r="C192" s="102"/>
      <c r="D192" s="13" t="s">
        <v>141</v>
      </c>
      <c r="E192" s="23"/>
      <c r="F192" s="23"/>
      <c r="K192" s="76"/>
      <c r="M192" s="25">
        <f>SUM(M184:M191)</f>
        <v>2301</v>
      </c>
      <c r="O192" s="25">
        <f>SUM(O184:O191)</f>
        <v>1187</v>
      </c>
      <c r="P192" s="29"/>
      <c r="Q192" s="25">
        <f>SUM(Q184:Q191)</f>
        <v>11</v>
      </c>
      <c r="R192" s="29"/>
      <c r="S192" s="25">
        <f>SUM(S184:S191)</f>
        <v>0</v>
      </c>
      <c r="T192" s="29"/>
      <c r="U192" s="25">
        <f>SUM(U184:U191)</f>
        <v>0</v>
      </c>
      <c r="V192" s="29"/>
      <c r="W192" s="25">
        <f>SUM(W184:W191)</f>
        <v>0</v>
      </c>
      <c r="X192" s="29"/>
      <c r="Y192" s="25">
        <f>SUM(Y184:Y191)</f>
        <v>1176</v>
      </c>
      <c r="Z192" s="29"/>
      <c r="AA192" s="25">
        <f>SUM(AA184:AA191)</f>
        <v>0</v>
      </c>
      <c r="AB192" s="29"/>
      <c r="AC192" s="25">
        <f>SUM(AC184:AC191)</f>
        <v>0</v>
      </c>
      <c r="AD192" s="29"/>
      <c r="AE192" s="25">
        <f>SUM(AE184:AE191)</f>
        <v>0</v>
      </c>
      <c r="AF192" s="29"/>
      <c r="AG192" s="25">
        <f>SUM(AG184:AG191)</f>
        <v>0</v>
      </c>
      <c r="AH192" s="29"/>
      <c r="AI192" s="25">
        <f>SUM(AI184:AI191)</f>
        <v>0</v>
      </c>
      <c r="AJ192" s="29"/>
      <c r="AK192" s="25">
        <f>SUM(AK184:AK191)</f>
        <v>0</v>
      </c>
      <c r="AL192" s="25"/>
      <c r="AM192" s="25">
        <f>SUM(AM184:AM191)</f>
        <v>0</v>
      </c>
      <c r="AN192" s="25"/>
      <c r="AO192" s="25">
        <f>SUM(AO184:AO191)</f>
        <v>0</v>
      </c>
      <c r="AQ192"/>
      <c r="AS192" s="51"/>
      <c r="AU192" s="52"/>
      <c r="AX192" s="25">
        <f>SUM(AX184:AX191)</f>
        <v>1187</v>
      </c>
      <c r="AY192" s="25">
        <f>SUM(AY184:AY191)</f>
        <v>0</v>
      </c>
    </row>
    <row r="193" spans="1:51" x14ac:dyDescent="0.2">
      <c r="A193" s="102"/>
      <c r="B193" s="102"/>
      <c r="C193" s="102"/>
      <c r="D193" s="13"/>
      <c r="E193" s="23"/>
      <c r="F193" s="23"/>
      <c r="K193" s="76"/>
      <c r="O193" s="33"/>
      <c r="P193" s="29"/>
      <c r="Q193" s="26"/>
      <c r="R193" s="29"/>
      <c r="S193" s="26"/>
      <c r="T193" s="29"/>
      <c r="U193" s="26"/>
      <c r="V193" s="29"/>
      <c r="W193" s="26"/>
      <c r="X193" s="29"/>
      <c r="Y193" s="26"/>
      <c r="Z193" s="29"/>
      <c r="AA193" s="26"/>
      <c r="AB193" s="29"/>
      <c r="AC193" s="26"/>
      <c r="AD193" s="29"/>
      <c r="AE193" s="26"/>
      <c r="AF193" s="29"/>
      <c r="AG193" s="26"/>
      <c r="AH193" s="29"/>
      <c r="AI193" s="26"/>
      <c r="AJ193" s="29"/>
      <c r="AK193" s="29"/>
      <c r="AL193" s="29"/>
      <c r="AM193" s="29"/>
      <c r="AN193" s="29"/>
      <c r="AO193" s="29"/>
      <c r="AQ193"/>
      <c r="AS193" s="51"/>
      <c r="AU193" s="52"/>
    </row>
    <row r="194" spans="1:51" x14ac:dyDescent="0.2">
      <c r="A194" s="102"/>
      <c r="B194" s="102"/>
      <c r="C194" s="102"/>
      <c r="D194" s="13" t="s">
        <v>12</v>
      </c>
      <c r="E194" s="23"/>
      <c r="F194" s="23"/>
      <c r="K194" s="76"/>
      <c r="O194" s="33"/>
      <c r="P194" s="29"/>
      <c r="Q194" s="26"/>
      <c r="R194" s="29"/>
      <c r="S194" s="26"/>
      <c r="T194" s="29"/>
      <c r="U194" s="26"/>
      <c r="V194" s="29"/>
      <c r="W194" s="26"/>
      <c r="X194" s="29"/>
      <c r="Y194" s="26"/>
      <c r="Z194" s="29"/>
      <c r="AA194" s="26"/>
      <c r="AB194" s="29"/>
      <c r="AC194" s="26"/>
      <c r="AD194" s="29"/>
      <c r="AE194" s="26"/>
      <c r="AF194" s="29"/>
      <c r="AG194" s="26"/>
      <c r="AH194" s="29"/>
      <c r="AI194" s="26"/>
      <c r="AJ194" s="29"/>
      <c r="AK194" s="29"/>
      <c r="AL194" s="29"/>
      <c r="AM194" s="29"/>
      <c r="AN194" s="29"/>
      <c r="AO194" s="29"/>
      <c r="AQ194"/>
      <c r="AS194" s="51"/>
      <c r="AU194" s="52"/>
    </row>
    <row r="195" spans="1:51" x14ac:dyDescent="0.2">
      <c r="A195" s="102"/>
      <c r="B195" s="102"/>
      <c r="C195" s="102"/>
      <c r="D195" s="100" t="s">
        <v>154</v>
      </c>
      <c r="E195" s="102"/>
      <c r="F195" s="102"/>
      <c r="G195" s="122"/>
      <c r="H195" s="102" t="s">
        <v>101</v>
      </c>
      <c r="I195" s="102"/>
      <c r="J195" s="102"/>
      <c r="K195" s="102"/>
      <c r="M195" s="4">
        <v>4451</v>
      </c>
      <c r="O195" s="129">
        <v>3836</v>
      </c>
      <c r="P195" s="29"/>
      <c r="Q195" s="4">
        <f>+O195</f>
        <v>3836</v>
      </c>
      <c r="R195" s="29"/>
      <c r="S195" s="4">
        <v>0</v>
      </c>
      <c r="T195" s="29"/>
      <c r="U195" s="4">
        <v>0</v>
      </c>
      <c r="V195" s="29"/>
      <c r="W195" s="4">
        <v>0</v>
      </c>
      <c r="X195" s="29"/>
      <c r="Y195" s="4">
        <v>0</v>
      </c>
      <c r="Z195" s="29"/>
      <c r="AA195" s="4">
        <v>0</v>
      </c>
      <c r="AB195" s="29"/>
      <c r="AC195" s="4">
        <v>0</v>
      </c>
      <c r="AD195" s="29"/>
      <c r="AE195" s="4">
        <v>0</v>
      </c>
      <c r="AF195" s="29"/>
      <c r="AG195" s="4">
        <v>0</v>
      </c>
      <c r="AH195" s="29"/>
      <c r="AI195" s="4">
        <v>0</v>
      </c>
      <c r="AJ195" s="29"/>
      <c r="AK195" s="4">
        <v>0</v>
      </c>
      <c r="AL195" s="4"/>
      <c r="AM195" s="4">
        <v>0</v>
      </c>
      <c r="AN195" s="29"/>
      <c r="AO195" s="4">
        <v>0</v>
      </c>
      <c r="AQ195">
        <f t="shared" ref="AQ195:AQ202" si="22">SUM(Q195:AK195)</f>
        <v>3836</v>
      </c>
      <c r="AR195" s="7">
        <f t="shared" ref="AR195:AR202" si="23">AQ195-O195</f>
        <v>0</v>
      </c>
      <c r="AT195" s="7">
        <f t="shared" ref="AT195:AT202" si="24">O195*SUM(AU195:AV195)</f>
        <v>0</v>
      </c>
      <c r="AV195" s="12" t="str">
        <f t="shared" ref="AV195:AV202" si="25">D195</f>
        <v>ATHibor+3%</v>
      </c>
      <c r="AW195" s="7">
        <f t="shared" ref="AW195:AW202" si="26">O195</f>
        <v>3836</v>
      </c>
      <c r="AX195" s="31">
        <f t="shared" ref="AX195:AX202" si="27">SUM(Q195:AP195)</f>
        <v>3836</v>
      </c>
      <c r="AY195" s="31">
        <f t="shared" ref="AY195:AY202" si="28">+O195-AX195</f>
        <v>0</v>
      </c>
    </row>
    <row r="196" spans="1:51" x14ac:dyDescent="0.2">
      <c r="A196" s="102"/>
      <c r="B196" s="102"/>
      <c r="C196" s="102"/>
      <c r="D196" s="100" t="s">
        <v>155</v>
      </c>
      <c r="E196" s="102"/>
      <c r="F196" s="102"/>
      <c r="G196" s="144">
        <v>39767</v>
      </c>
      <c r="H196" s="102" t="s">
        <v>156</v>
      </c>
      <c r="I196" s="102"/>
      <c r="J196" s="102"/>
      <c r="K196" s="102"/>
      <c r="M196" s="4">
        <v>8454</v>
      </c>
      <c r="O196" s="129">
        <v>7779</v>
      </c>
      <c r="P196" s="29"/>
      <c r="Q196" s="4">
        <v>0</v>
      </c>
      <c r="R196" s="29"/>
      <c r="S196" s="4">
        <v>729</v>
      </c>
      <c r="T196" s="29"/>
      <c r="U196" s="4">
        <v>788</v>
      </c>
      <c r="V196" s="29"/>
      <c r="W196" s="4">
        <v>852</v>
      </c>
      <c r="X196" s="29"/>
      <c r="Y196" s="4">
        <v>921</v>
      </c>
      <c r="Z196" s="29"/>
      <c r="AA196" s="4">
        <v>995</v>
      </c>
      <c r="AB196" s="29"/>
      <c r="AC196" s="4">
        <v>1076</v>
      </c>
      <c r="AD196" s="29"/>
      <c r="AE196" s="4">
        <v>1162</v>
      </c>
      <c r="AF196" s="29"/>
      <c r="AG196" s="4">
        <v>1256</v>
      </c>
      <c r="AH196" s="29"/>
      <c r="AI196" s="4">
        <v>0</v>
      </c>
      <c r="AJ196" s="29"/>
      <c r="AK196" s="4">
        <v>0</v>
      </c>
      <c r="AL196" s="4"/>
      <c r="AM196" s="4">
        <v>0</v>
      </c>
      <c r="AN196" s="29"/>
      <c r="AO196" s="4">
        <v>0</v>
      </c>
      <c r="AQ196">
        <f t="shared" si="22"/>
        <v>7779</v>
      </c>
      <c r="AR196" s="7">
        <f t="shared" si="23"/>
        <v>0</v>
      </c>
      <c r="AT196" s="7">
        <f t="shared" si="24"/>
        <v>0</v>
      </c>
      <c r="AV196" s="12" t="str">
        <f>D196</f>
        <v>Libor+1.7%</v>
      </c>
      <c r="AW196" s="7">
        <f>O196</f>
        <v>7779</v>
      </c>
      <c r="AX196" s="31">
        <f t="shared" si="27"/>
        <v>7779</v>
      </c>
      <c r="AY196" s="31">
        <f t="shared" si="28"/>
        <v>0</v>
      </c>
    </row>
    <row r="197" spans="1:51" x14ac:dyDescent="0.2">
      <c r="A197" s="102"/>
      <c r="B197" s="102"/>
      <c r="C197" s="102"/>
      <c r="D197" s="121">
        <v>0.13250000000000001</v>
      </c>
      <c r="E197" s="102"/>
      <c r="F197" s="102"/>
      <c r="G197" s="122" t="s">
        <v>102</v>
      </c>
      <c r="H197" s="102" t="s">
        <v>103</v>
      </c>
      <c r="I197" s="102"/>
      <c r="J197" s="102"/>
      <c r="K197" s="102"/>
      <c r="M197" s="4">
        <v>5527</v>
      </c>
      <c r="O197" s="129">
        <v>4565</v>
      </c>
      <c r="P197" s="29"/>
      <c r="Q197" s="4">
        <v>70</v>
      </c>
      <c r="R197" s="29"/>
      <c r="S197" s="4">
        <v>1354</v>
      </c>
      <c r="T197" s="29"/>
      <c r="U197" s="4">
        <v>1747</v>
      </c>
      <c r="V197" s="29"/>
      <c r="W197" s="4">
        <v>1394</v>
      </c>
      <c r="X197" s="29"/>
      <c r="Y197" s="4">
        <v>0</v>
      </c>
      <c r="Z197" s="29"/>
      <c r="AA197" s="4">
        <v>0</v>
      </c>
      <c r="AB197" s="29"/>
      <c r="AC197" s="4">
        <v>0</v>
      </c>
      <c r="AD197" s="29"/>
      <c r="AE197" s="4">
        <v>0</v>
      </c>
      <c r="AF197" s="29"/>
      <c r="AG197" s="4">
        <v>0</v>
      </c>
      <c r="AH197" s="29"/>
      <c r="AI197" s="4">
        <v>0</v>
      </c>
      <c r="AJ197" s="29"/>
      <c r="AK197" s="4">
        <v>0</v>
      </c>
      <c r="AL197" s="4"/>
      <c r="AM197" s="4">
        <v>0</v>
      </c>
      <c r="AN197" s="29"/>
      <c r="AO197" s="4">
        <v>0</v>
      </c>
      <c r="AQ197">
        <f t="shared" si="22"/>
        <v>4565</v>
      </c>
      <c r="AR197" s="7">
        <f t="shared" si="23"/>
        <v>0</v>
      </c>
      <c r="AT197" s="7">
        <f t="shared" si="24"/>
        <v>604.86250000000007</v>
      </c>
      <c r="AV197" s="12">
        <f t="shared" si="25"/>
        <v>0.13250000000000001</v>
      </c>
      <c r="AW197" s="7">
        <f t="shared" si="26"/>
        <v>4565</v>
      </c>
      <c r="AX197" s="31">
        <f t="shared" si="27"/>
        <v>4565</v>
      </c>
      <c r="AY197" s="31">
        <f t="shared" si="28"/>
        <v>0</v>
      </c>
    </row>
    <row r="198" spans="1:51" x14ac:dyDescent="0.2">
      <c r="A198" s="102"/>
      <c r="B198" s="102"/>
      <c r="C198" s="102"/>
      <c r="D198" s="121">
        <v>0.1</v>
      </c>
      <c r="E198" s="102"/>
      <c r="F198" s="102"/>
      <c r="G198" s="122" t="s">
        <v>104</v>
      </c>
      <c r="H198" s="102" t="s">
        <v>105</v>
      </c>
      <c r="I198" s="102"/>
      <c r="J198" s="102"/>
      <c r="K198" s="102"/>
      <c r="M198" s="4">
        <v>81</v>
      </c>
      <c r="O198" s="129">
        <v>0</v>
      </c>
      <c r="P198" s="29"/>
      <c r="Q198" s="4">
        <f>O198</f>
        <v>0</v>
      </c>
      <c r="R198" s="29"/>
      <c r="S198" s="4">
        <v>0</v>
      </c>
      <c r="T198" s="29"/>
      <c r="U198" s="4">
        <v>0</v>
      </c>
      <c r="V198" s="29"/>
      <c r="W198" s="4">
        <v>0</v>
      </c>
      <c r="X198" s="29"/>
      <c r="Y198" s="4">
        <v>0</v>
      </c>
      <c r="Z198" s="29"/>
      <c r="AA198" s="4">
        <v>0</v>
      </c>
      <c r="AB198" s="29"/>
      <c r="AC198" s="4">
        <v>0</v>
      </c>
      <c r="AD198" s="29"/>
      <c r="AE198" s="4">
        <v>0</v>
      </c>
      <c r="AF198" s="29"/>
      <c r="AG198" s="4">
        <v>0</v>
      </c>
      <c r="AH198" s="29"/>
      <c r="AI198" s="4">
        <v>0</v>
      </c>
      <c r="AJ198" s="29"/>
      <c r="AK198" s="4">
        <v>0</v>
      </c>
      <c r="AL198" s="4"/>
      <c r="AM198" s="4">
        <v>0</v>
      </c>
      <c r="AN198" s="29"/>
      <c r="AO198" s="4">
        <v>0</v>
      </c>
      <c r="AQ198">
        <f t="shared" si="22"/>
        <v>0</v>
      </c>
      <c r="AR198" s="7">
        <f t="shared" si="23"/>
        <v>0</v>
      </c>
      <c r="AT198" s="7">
        <f t="shared" si="24"/>
        <v>0</v>
      </c>
      <c r="AV198" s="12">
        <f t="shared" si="25"/>
        <v>0.1</v>
      </c>
      <c r="AW198" s="7">
        <f t="shared" si="26"/>
        <v>0</v>
      </c>
      <c r="AX198" s="31">
        <f t="shared" si="27"/>
        <v>0</v>
      </c>
      <c r="AY198" s="31">
        <f t="shared" si="28"/>
        <v>0</v>
      </c>
    </row>
    <row r="199" spans="1:51" x14ac:dyDescent="0.2">
      <c r="A199" s="102"/>
      <c r="B199" s="102"/>
      <c r="C199" s="102"/>
      <c r="D199" s="121">
        <v>8.9399999999999993E-2</v>
      </c>
      <c r="E199" s="102"/>
      <c r="F199" s="102"/>
      <c r="G199" s="122" t="s">
        <v>106</v>
      </c>
      <c r="H199" s="102" t="s">
        <v>107</v>
      </c>
      <c r="I199" s="102"/>
      <c r="J199" s="102"/>
      <c r="K199" s="102"/>
      <c r="M199" s="4">
        <v>78</v>
      </c>
      <c r="O199" s="129">
        <v>53</v>
      </c>
      <c r="P199" s="29"/>
      <c r="Q199" s="4">
        <v>21</v>
      </c>
      <c r="R199" s="29"/>
      <c r="S199" s="4">
        <v>32</v>
      </c>
      <c r="T199" s="29"/>
      <c r="U199" s="4">
        <v>0</v>
      </c>
      <c r="V199" s="29"/>
      <c r="W199" s="4">
        <v>0</v>
      </c>
      <c r="X199" s="29"/>
      <c r="Y199" s="4">
        <v>0</v>
      </c>
      <c r="Z199" s="29"/>
      <c r="AA199" s="4">
        <v>0</v>
      </c>
      <c r="AB199" s="29"/>
      <c r="AC199" s="4">
        <v>0</v>
      </c>
      <c r="AD199" s="29"/>
      <c r="AE199" s="4">
        <v>0</v>
      </c>
      <c r="AF199" s="29"/>
      <c r="AG199" s="4">
        <v>0</v>
      </c>
      <c r="AH199" s="29"/>
      <c r="AI199" s="4">
        <v>0</v>
      </c>
      <c r="AJ199" s="29"/>
      <c r="AK199" s="4">
        <v>0</v>
      </c>
      <c r="AL199" s="4"/>
      <c r="AM199" s="4">
        <v>0</v>
      </c>
      <c r="AN199" s="29"/>
      <c r="AO199" s="4">
        <v>0</v>
      </c>
      <c r="AQ199">
        <f t="shared" si="22"/>
        <v>53</v>
      </c>
      <c r="AR199" s="7">
        <f t="shared" si="23"/>
        <v>0</v>
      </c>
      <c r="AT199" s="7">
        <f t="shared" si="24"/>
        <v>4.7382</v>
      </c>
      <c r="AV199" s="12">
        <f t="shared" si="25"/>
        <v>8.9399999999999993E-2</v>
      </c>
      <c r="AW199" s="7">
        <f t="shared" si="26"/>
        <v>53</v>
      </c>
      <c r="AX199" s="31">
        <f t="shared" si="27"/>
        <v>53</v>
      </c>
      <c r="AY199" s="31">
        <f t="shared" si="28"/>
        <v>0</v>
      </c>
    </row>
    <row r="200" spans="1:51" x14ac:dyDescent="0.2">
      <c r="A200" s="102"/>
      <c r="B200" s="102"/>
      <c r="C200" s="102"/>
      <c r="D200" s="100" t="s">
        <v>69</v>
      </c>
      <c r="E200" s="102"/>
      <c r="F200" s="102"/>
      <c r="G200" s="122"/>
      <c r="H200" s="102" t="s">
        <v>108</v>
      </c>
      <c r="I200" s="102"/>
      <c r="J200" s="102"/>
      <c r="K200" s="102"/>
      <c r="M200" s="4">
        <v>63</v>
      </c>
      <c r="O200" s="129">
        <v>63</v>
      </c>
      <c r="P200" s="29"/>
      <c r="Q200" s="4">
        <v>1</v>
      </c>
      <c r="R200" s="29"/>
      <c r="S200" s="4">
        <v>1</v>
      </c>
      <c r="T200" s="29"/>
      <c r="U200" s="4">
        <v>1</v>
      </c>
      <c r="V200" s="29"/>
      <c r="W200" s="4">
        <v>1</v>
      </c>
      <c r="X200" s="29"/>
      <c r="Y200" s="4">
        <v>1</v>
      </c>
      <c r="Z200" s="29"/>
      <c r="AA200" s="4">
        <v>1</v>
      </c>
      <c r="AB200" s="29"/>
      <c r="AC200" s="4">
        <v>1</v>
      </c>
      <c r="AD200" s="29"/>
      <c r="AE200" s="4">
        <v>2</v>
      </c>
      <c r="AF200" s="29"/>
      <c r="AG200" s="4">
        <v>2</v>
      </c>
      <c r="AH200" s="29"/>
      <c r="AI200" s="4">
        <v>2</v>
      </c>
      <c r="AJ200" s="29"/>
      <c r="AK200" s="4">
        <v>2</v>
      </c>
      <c r="AL200" s="4"/>
      <c r="AM200" s="4">
        <v>48</v>
      </c>
      <c r="AN200" s="29"/>
      <c r="AO200" s="4">
        <v>0</v>
      </c>
      <c r="AQ200">
        <f t="shared" si="22"/>
        <v>15</v>
      </c>
      <c r="AR200" s="7">
        <f t="shared" si="23"/>
        <v>-48</v>
      </c>
      <c r="AT200" s="7">
        <f t="shared" si="24"/>
        <v>0</v>
      </c>
      <c r="AV200" s="12" t="str">
        <f t="shared" si="25"/>
        <v xml:space="preserve"> </v>
      </c>
      <c r="AW200" s="7">
        <f t="shared" si="26"/>
        <v>63</v>
      </c>
      <c r="AX200" s="31">
        <f t="shared" si="27"/>
        <v>63</v>
      </c>
      <c r="AY200" s="31">
        <f t="shared" si="28"/>
        <v>0</v>
      </c>
    </row>
    <row r="201" spans="1:51" x14ac:dyDescent="0.2">
      <c r="A201" s="102"/>
      <c r="B201" s="102"/>
      <c r="C201" s="102"/>
      <c r="D201" s="100" t="s">
        <v>285</v>
      </c>
      <c r="E201" s="101"/>
      <c r="F201" s="101"/>
      <c r="G201" s="130">
        <v>42040</v>
      </c>
      <c r="H201" s="102" t="s">
        <v>286</v>
      </c>
      <c r="I201" s="112"/>
      <c r="J201" s="102"/>
      <c r="K201" s="112"/>
      <c r="M201" s="105">
        <v>0</v>
      </c>
      <c r="O201" s="105">
        <v>26050</v>
      </c>
      <c r="P201" s="29"/>
      <c r="Q201" s="105">
        <v>917</v>
      </c>
      <c r="R201" s="29"/>
      <c r="S201" s="105">
        <v>767</v>
      </c>
      <c r="T201" s="29"/>
      <c r="U201" s="105">
        <v>698</v>
      </c>
      <c r="V201" s="29"/>
      <c r="W201" s="105">
        <v>540</v>
      </c>
      <c r="X201" s="29"/>
      <c r="Y201" s="105">
        <v>759</v>
      </c>
      <c r="Z201" s="29"/>
      <c r="AA201" s="105">
        <v>1022</v>
      </c>
      <c r="AB201" s="29"/>
      <c r="AC201" s="105">
        <v>1325</v>
      </c>
      <c r="AD201" s="29"/>
      <c r="AE201" s="105">
        <v>1556</v>
      </c>
      <c r="AF201" s="29"/>
      <c r="AG201" s="105">
        <v>1765</v>
      </c>
      <c r="AH201" s="29"/>
      <c r="AI201" s="105">
        <v>1947</v>
      </c>
      <c r="AJ201" s="29"/>
      <c r="AK201" s="105">
        <v>2145</v>
      </c>
      <c r="AL201" s="105"/>
      <c r="AM201" s="105">
        <v>12609</v>
      </c>
      <c r="AN201" s="28"/>
      <c r="AO201" s="105">
        <v>0</v>
      </c>
      <c r="AQ201" s="73">
        <f>SUM(Q201:AK201)</f>
        <v>13441</v>
      </c>
      <c r="AR201" s="74">
        <f>AQ201-O201</f>
        <v>-12609</v>
      </c>
      <c r="AS201" s="51"/>
      <c r="AT201" s="7">
        <f>O201*SUM(AU201:AV201)</f>
        <v>0</v>
      </c>
      <c r="AU201" s="52"/>
      <c r="AV201" s="12" t="str">
        <f>D201</f>
        <v>Libor + 1.5%</v>
      </c>
      <c r="AW201" s="7">
        <f>O201</f>
        <v>26050</v>
      </c>
      <c r="AX201" s="31">
        <f>SUM(Q201:AP201)</f>
        <v>26050</v>
      </c>
      <c r="AY201" s="31">
        <f>+O201-AX201</f>
        <v>0</v>
      </c>
    </row>
    <row r="202" spans="1:51" x14ac:dyDescent="0.2">
      <c r="A202" s="102"/>
      <c r="B202" s="102"/>
      <c r="C202" s="102"/>
      <c r="D202" s="121">
        <v>7.4999999999999997E-2</v>
      </c>
      <c r="E202" s="101"/>
      <c r="F202" s="101"/>
      <c r="G202" s="120"/>
      <c r="H202" s="102" t="s">
        <v>109</v>
      </c>
      <c r="I202" s="112"/>
      <c r="J202" s="102"/>
      <c r="K202" s="112"/>
      <c r="M202" s="105">
        <v>200</v>
      </c>
      <c r="O202" s="105">
        <v>0</v>
      </c>
      <c r="P202" s="29"/>
      <c r="Q202" s="105">
        <v>0</v>
      </c>
      <c r="R202" s="29"/>
      <c r="S202" s="105">
        <v>0</v>
      </c>
      <c r="T202" s="29"/>
      <c r="U202" s="105">
        <v>0</v>
      </c>
      <c r="V202" s="29"/>
      <c r="W202" s="105">
        <v>0</v>
      </c>
      <c r="X202" s="29"/>
      <c r="Y202" s="105">
        <v>0</v>
      </c>
      <c r="Z202" s="29"/>
      <c r="AA202" s="105">
        <v>0</v>
      </c>
      <c r="AB202" s="29"/>
      <c r="AC202" s="105">
        <v>0</v>
      </c>
      <c r="AD202" s="29"/>
      <c r="AE202" s="105">
        <v>0</v>
      </c>
      <c r="AF202" s="29"/>
      <c r="AG202" s="105">
        <v>0</v>
      </c>
      <c r="AH202" s="29"/>
      <c r="AI202" s="105">
        <v>0</v>
      </c>
      <c r="AJ202" s="29"/>
      <c r="AK202" s="105">
        <v>0</v>
      </c>
      <c r="AL202" s="105"/>
      <c r="AM202" s="105">
        <v>0</v>
      </c>
      <c r="AN202" s="28"/>
      <c r="AO202" s="105">
        <v>0</v>
      </c>
      <c r="AQ202" s="73">
        <f t="shared" si="22"/>
        <v>0</v>
      </c>
      <c r="AR202" s="74">
        <f t="shared" si="23"/>
        <v>0</v>
      </c>
      <c r="AS202" s="51"/>
      <c r="AT202" s="7">
        <f t="shared" si="24"/>
        <v>0</v>
      </c>
      <c r="AU202" s="52"/>
      <c r="AV202" s="12">
        <f t="shared" si="25"/>
        <v>7.4999999999999997E-2</v>
      </c>
      <c r="AW202" s="7">
        <f t="shared" si="26"/>
        <v>0</v>
      </c>
      <c r="AX202" s="31">
        <f t="shared" si="27"/>
        <v>0</v>
      </c>
      <c r="AY202" s="31">
        <f t="shared" si="28"/>
        <v>0</v>
      </c>
    </row>
    <row r="203" spans="1:51" ht="8.1" customHeight="1" x14ac:dyDescent="0.2">
      <c r="A203" s="102"/>
      <c r="B203" s="102"/>
      <c r="C203" s="102"/>
      <c r="D203" s="121"/>
      <c r="E203" s="101"/>
      <c r="F203" s="101"/>
      <c r="G203" s="120"/>
      <c r="H203" s="102"/>
      <c r="I203" s="112"/>
      <c r="J203" s="102"/>
      <c r="K203" s="112"/>
      <c r="M203" s="40"/>
      <c r="O203" s="40"/>
      <c r="P203" s="29"/>
      <c r="Q203" s="40"/>
      <c r="R203" s="29"/>
      <c r="S203" s="40"/>
      <c r="T203" s="29"/>
      <c r="U203" s="40"/>
      <c r="V203" s="29"/>
      <c r="W203" s="40"/>
      <c r="X203" s="29"/>
      <c r="Y203" s="40"/>
      <c r="Z203" s="29"/>
      <c r="AA203" s="40"/>
      <c r="AB203" s="29"/>
      <c r="AC203" s="40"/>
      <c r="AD203" s="29"/>
      <c r="AE203" s="40"/>
      <c r="AF203" s="29"/>
      <c r="AG203" s="40"/>
      <c r="AH203" s="29"/>
      <c r="AI203" s="40"/>
      <c r="AJ203" s="29"/>
      <c r="AK203" s="40"/>
      <c r="AL203" s="25"/>
      <c r="AM203" s="40"/>
      <c r="AN203" s="28"/>
      <c r="AO203" s="40"/>
      <c r="AQ203" s="38"/>
      <c r="AR203" s="30"/>
      <c r="AS203" s="51"/>
      <c r="AU203" s="52"/>
      <c r="AX203" s="40"/>
      <c r="AY203" s="40"/>
    </row>
    <row r="204" spans="1:51" x14ac:dyDescent="0.2">
      <c r="A204" s="102"/>
      <c r="B204" s="102"/>
      <c r="C204" s="102"/>
      <c r="D204" s="13" t="s">
        <v>142</v>
      </c>
      <c r="E204" s="23"/>
      <c r="F204" s="23"/>
      <c r="K204" s="6"/>
      <c r="M204" s="33">
        <f>SUM(M194:M203)</f>
        <v>18854</v>
      </c>
      <c r="O204" s="33">
        <f>SUM(O194:O203)</f>
        <v>42346</v>
      </c>
      <c r="P204" s="29"/>
      <c r="Q204" s="33">
        <f>SUM(Q194:Q203)</f>
        <v>4845</v>
      </c>
      <c r="R204" s="1"/>
      <c r="S204" s="33">
        <f>SUM(S194:S203)</f>
        <v>2883</v>
      </c>
      <c r="T204" s="1"/>
      <c r="U204" s="33">
        <f>SUM(U194:U203)</f>
        <v>3234</v>
      </c>
      <c r="V204" s="1"/>
      <c r="W204" s="33">
        <f>SUM(W194:W203)</f>
        <v>2787</v>
      </c>
      <c r="X204" s="1"/>
      <c r="Y204" s="33">
        <f>SUM(Y194:Y203)</f>
        <v>1681</v>
      </c>
      <c r="Z204" s="1"/>
      <c r="AA204" s="33">
        <f>SUM(AA194:AA203)</f>
        <v>2018</v>
      </c>
      <c r="AB204" s="1"/>
      <c r="AC204" s="33">
        <f>SUM(AC194:AC203)</f>
        <v>2402</v>
      </c>
      <c r="AD204" s="1"/>
      <c r="AE204" s="33">
        <f>SUM(AE194:AE203)</f>
        <v>2720</v>
      </c>
      <c r="AF204" s="1"/>
      <c r="AG204" s="33">
        <f>SUM(AG194:AG203)</f>
        <v>3023</v>
      </c>
      <c r="AH204" s="1"/>
      <c r="AI204" s="33">
        <f>SUM(AI194:AI203)</f>
        <v>1949</v>
      </c>
      <c r="AJ204" s="1"/>
      <c r="AK204" s="33">
        <f>SUM(AK194:AK203)</f>
        <v>2147</v>
      </c>
      <c r="AL204" s="33"/>
      <c r="AM204" s="33">
        <f>SUM(AM194:AM203)</f>
        <v>12657</v>
      </c>
      <c r="AN204" s="33"/>
      <c r="AO204" s="33">
        <f>SUM(AO194:AO203)</f>
        <v>0</v>
      </c>
      <c r="AQ204" s="75">
        <f>SUM(AQ195:AQ202)</f>
        <v>29689</v>
      </c>
      <c r="AR204" s="7">
        <f>AQ204-O204</f>
        <v>-12657</v>
      </c>
      <c r="AS204" s="51"/>
      <c r="AT204" s="75">
        <f>SUM(AT202:AT202)</f>
        <v>0</v>
      </c>
      <c r="AU204" s="52"/>
      <c r="AX204" s="33">
        <f>SUM(AX194:AX203)</f>
        <v>42346</v>
      </c>
      <c r="AY204" s="33">
        <f>SUM(AY194:AY203)</f>
        <v>0</v>
      </c>
    </row>
    <row r="205" spans="1:51" x14ac:dyDescent="0.2">
      <c r="A205" s="102"/>
      <c r="B205" s="102"/>
      <c r="C205" s="102"/>
      <c r="D205" s="77"/>
      <c r="E205" s="23"/>
      <c r="F205" s="23"/>
      <c r="K205" s="6"/>
      <c r="M205" s="26"/>
      <c r="O205" s="33"/>
      <c r="P205" s="29"/>
      <c r="Q205" s="26"/>
      <c r="R205" s="29"/>
      <c r="S205" s="26"/>
      <c r="T205" s="29"/>
      <c r="U205" s="26"/>
      <c r="V205" s="29"/>
      <c r="W205" s="26"/>
      <c r="X205" s="29"/>
      <c r="Y205" s="26"/>
      <c r="Z205" s="29"/>
      <c r="AA205" s="26"/>
      <c r="AB205" s="29"/>
      <c r="AC205" s="26"/>
      <c r="AD205" s="29"/>
      <c r="AE205" s="26"/>
      <c r="AF205" s="29"/>
      <c r="AG205" s="26"/>
      <c r="AH205" s="29"/>
      <c r="AI205" s="26"/>
      <c r="AJ205" s="29"/>
      <c r="AK205" s="29"/>
      <c r="AL205" s="29"/>
      <c r="AM205" s="29"/>
      <c r="AN205" s="29"/>
      <c r="AO205" s="29"/>
      <c r="AQ205"/>
      <c r="AS205" s="51"/>
      <c r="AU205" s="52"/>
    </row>
    <row r="206" spans="1:51" x14ac:dyDescent="0.2">
      <c r="A206" s="102"/>
      <c r="B206" s="102"/>
      <c r="C206" s="102"/>
      <c r="D206" s="13" t="s">
        <v>275</v>
      </c>
      <c r="E206" s="23"/>
      <c r="F206" s="23"/>
      <c r="O206" s="33"/>
      <c r="P206" s="29"/>
      <c r="Q206" s="26"/>
      <c r="R206" s="29"/>
      <c r="S206" s="26"/>
      <c r="T206" s="29"/>
      <c r="U206" s="26"/>
      <c r="V206" s="29"/>
      <c r="W206" s="26"/>
      <c r="X206" s="29"/>
      <c r="Y206" s="26"/>
      <c r="Z206" s="29"/>
      <c r="AA206" s="26"/>
      <c r="AB206" s="29"/>
      <c r="AC206" s="26"/>
      <c r="AD206" s="29"/>
      <c r="AE206" s="26"/>
      <c r="AF206" s="29"/>
      <c r="AG206" s="26"/>
      <c r="AH206" s="29"/>
      <c r="AI206" s="26"/>
      <c r="AJ206" s="29"/>
      <c r="AK206" s="29"/>
      <c r="AL206" s="29"/>
      <c r="AM206" s="29"/>
      <c r="AN206" s="29"/>
      <c r="AO206" s="29"/>
      <c r="AQ206"/>
      <c r="AS206" s="51"/>
      <c r="AU206" s="52"/>
    </row>
    <row r="207" spans="1:51" x14ac:dyDescent="0.2">
      <c r="A207" s="102" t="s">
        <v>271</v>
      </c>
      <c r="B207" s="102"/>
      <c r="C207" s="102"/>
      <c r="D207" s="112"/>
      <c r="E207" s="101"/>
      <c r="F207" s="101"/>
      <c r="G207" s="145"/>
      <c r="H207" s="102"/>
      <c r="I207" s="108" t="s">
        <v>272</v>
      </c>
      <c r="J207" s="102"/>
      <c r="K207" s="112"/>
      <c r="M207" s="105">
        <v>0</v>
      </c>
      <c r="O207" s="301">
        <v>82</v>
      </c>
      <c r="P207" s="29"/>
      <c r="Q207" s="105">
        <v>82</v>
      </c>
      <c r="R207" s="29"/>
      <c r="S207" s="105">
        <v>0</v>
      </c>
      <c r="T207" s="29"/>
      <c r="U207" s="105">
        <v>0</v>
      </c>
      <c r="V207" s="29"/>
      <c r="W207" s="105">
        <v>0</v>
      </c>
      <c r="X207" s="29"/>
      <c r="Y207" s="105">
        <v>0</v>
      </c>
      <c r="Z207" s="29"/>
      <c r="AA207" s="105">
        <v>0</v>
      </c>
      <c r="AB207" s="29"/>
      <c r="AC207" s="105">
        <v>0</v>
      </c>
      <c r="AD207" s="29"/>
      <c r="AE207" s="105">
        <v>0</v>
      </c>
      <c r="AF207" s="29"/>
      <c r="AG207" s="105">
        <v>0</v>
      </c>
      <c r="AH207" s="29"/>
      <c r="AI207" s="105">
        <v>0</v>
      </c>
      <c r="AJ207" s="29"/>
      <c r="AK207" s="105">
        <v>0</v>
      </c>
      <c r="AL207" s="105"/>
      <c r="AM207" s="105">
        <v>0</v>
      </c>
      <c r="AN207" s="28"/>
      <c r="AO207" s="105">
        <v>0</v>
      </c>
      <c r="AQ207" s="73">
        <f>SUM(Q207:AK207)</f>
        <v>82</v>
      </c>
      <c r="AR207" s="74">
        <f>AQ207-O207</f>
        <v>0</v>
      </c>
      <c r="AS207" s="51"/>
      <c r="AT207" s="7">
        <f>O207*SUM(AU207:AV207)</f>
        <v>0</v>
      </c>
      <c r="AU207" s="52"/>
      <c r="AV207" s="12">
        <f>D207</f>
        <v>0</v>
      </c>
      <c r="AW207" s="7">
        <f>O207</f>
        <v>82</v>
      </c>
      <c r="AX207" s="31">
        <f>SUM(Q207:AP207)</f>
        <v>82</v>
      </c>
      <c r="AY207" s="31">
        <f>+O207-AX207</f>
        <v>0</v>
      </c>
    </row>
    <row r="208" spans="1:51" x14ac:dyDescent="0.2">
      <c r="A208" s="102" t="s">
        <v>274</v>
      </c>
      <c r="B208" s="102"/>
      <c r="C208" s="102"/>
      <c r="D208" s="112"/>
      <c r="E208" s="101"/>
      <c r="F208" s="101"/>
      <c r="G208" s="145"/>
      <c r="H208" s="102"/>
      <c r="I208" s="108" t="s">
        <v>273</v>
      </c>
      <c r="J208" s="102"/>
      <c r="K208" s="112"/>
      <c r="M208" s="105">
        <v>0</v>
      </c>
      <c r="O208" s="301">
        <v>1316</v>
      </c>
      <c r="P208" s="29"/>
      <c r="Q208" s="105">
        <v>1316</v>
      </c>
      <c r="R208" s="29"/>
      <c r="S208" s="105">
        <v>0</v>
      </c>
      <c r="T208" s="29"/>
      <c r="U208" s="105">
        <v>0</v>
      </c>
      <c r="V208" s="29"/>
      <c r="W208" s="105">
        <v>0</v>
      </c>
      <c r="X208" s="29"/>
      <c r="Y208" s="105">
        <v>0</v>
      </c>
      <c r="Z208" s="29"/>
      <c r="AA208" s="105">
        <v>0</v>
      </c>
      <c r="AB208" s="29"/>
      <c r="AC208" s="105">
        <v>0</v>
      </c>
      <c r="AD208" s="29"/>
      <c r="AE208" s="105">
        <v>0</v>
      </c>
      <c r="AF208" s="29"/>
      <c r="AG208" s="105">
        <v>0</v>
      </c>
      <c r="AH208" s="29"/>
      <c r="AI208" s="105">
        <v>0</v>
      </c>
      <c r="AJ208" s="29"/>
      <c r="AK208" s="105">
        <v>0</v>
      </c>
      <c r="AL208" s="105"/>
      <c r="AM208" s="105">
        <v>0</v>
      </c>
      <c r="AN208" s="28"/>
      <c r="AO208" s="105">
        <v>0</v>
      </c>
      <c r="AQ208" s="73">
        <f>SUM(Q208:AK208)</f>
        <v>1316</v>
      </c>
      <c r="AR208" s="74">
        <f>AQ208-O208</f>
        <v>0</v>
      </c>
      <c r="AS208" s="51"/>
      <c r="AT208" s="7">
        <f>O208*SUM(AU208:AV208)</f>
        <v>0</v>
      </c>
      <c r="AU208" s="52"/>
      <c r="AV208" s="12">
        <f>D208</f>
        <v>0</v>
      </c>
      <c r="AW208" s="7">
        <f>O208</f>
        <v>1316</v>
      </c>
      <c r="AX208" s="31">
        <f>SUM(Q208:AP208)</f>
        <v>1316</v>
      </c>
      <c r="AY208" s="31">
        <f>+O208-AX208</f>
        <v>0</v>
      </c>
    </row>
    <row r="209" spans="1:51" ht="8.1" customHeight="1" x14ac:dyDescent="0.2">
      <c r="A209" s="102"/>
      <c r="B209" s="102"/>
      <c r="C209" s="102"/>
      <c r="D209" s="15"/>
      <c r="E209" s="23"/>
      <c r="F209" s="23"/>
      <c r="G209" s="34"/>
      <c r="K209" s="6"/>
      <c r="M209" s="40"/>
      <c r="O209" s="302"/>
      <c r="P209" s="29"/>
      <c r="Q209" s="40"/>
      <c r="R209" s="29"/>
      <c r="S209" s="40"/>
      <c r="T209" s="29"/>
      <c r="U209" s="40"/>
      <c r="V209" s="29"/>
      <c r="W209" s="40"/>
      <c r="X209" s="29"/>
      <c r="Y209" s="40"/>
      <c r="Z209" s="29"/>
      <c r="AA209" s="40"/>
      <c r="AB209" s="29"/>
      <c r="AC209" s="40"/>
      <c r="AD209" s="29"/>
      <c r="AE209" s="40"/>
      <c r="AF209" s="29"/>
      <c r="AG209" s="40"/>
      <c r="AH209" s="29"/>
      <c r="AI209" s="40"/>
      <c r="AJ209" s="29"/>
      <c r="AK209" s="40"/>
      <c r="AL209" s="25"/>
      <c r="AM209" s="40"/>
      <c r="AN209" s="28"/>
      <c r="AO209" s="40"/>
      <c r="AQ209" s="38"/>
      <c r="AR209" s="30"/>
      <c r="AS209" s="51"/>
      <c r="AU209" s="52"/>
      <c r="AX209" s="40"/>
      <c r="AY209" s="40"/>
    </row>
    <row r="210" spans="1:51" x14ac:dyDescent="0.2">
      <c r="A210" s="102"/>
      <c r="B210" s="102"/>
      <c r="C210" s="102"/>
      <c r="D210" s="13" t="s">
        <v>276</v>
      </c>
      <c r="E210" s="23"/>
      <c r="F210" s="23"/>
      <c r="G210" s="34"/>
      <c r="K210" s="6"/>
      <c r="M210" s="33">
        <f>SUM(M206:M209)</f>
        <v>0</v>
      </c>
      <c r="O210" s="305">
        <f>SUM(O206:O209)</f>
        <v>1398</v>
      </c>
      <c r="P210" s="29"/>
      <c r="Q210" s="33">
        <f>SUM(Q206:Q209)</f>
        <v>1398</v>
      </c>
      <c r="R210" s="1"/>
      <c r="S210" s="33">
        <f>SUM(S206:S209)</f>
        <v>0</v>
      </c>
      <c r="T210" s="1"/>
      <c r="U210" s="33">
        <f>SUM(U206:U209)</f>
        <v>0</v>
      </c>
      <c r="V210" s="1"/>
      <c r="W210" s="33">
        <f>SUM(W206:W209)</f>
        <v>0</v>
      </c>
      <c r="X210" s="1"/>
      <c r="Y210" s="33">
        <f>SUM(Y206:Y209)</f>
        <v>0</v>
      </c>
      <c r="Z210" s="1"/>
      <c r="AA210" s="33">
        <f>SUM(AA206:AA209)</f>
        <v>0</v>
      </c>
      <c r="AB210" s="1"/>
      <c r="AC210" s="33">
        <f>SUM(AC206:AC209)</f>
        <v>0</v>
      </c>
      <c r="AD210" s="1"/>
      <c r="AE210" s="33">
        <f>SUM(AE206:AE209)</f>
        <v>0</v>
      </c>
      <c r="AF210" s="1"/>
      <c r="AG210" s="33">
        <f>SUM(AG206:AG209)</f>
        <v>0</v>
      </c>
      <c r="AH210" s="1"/>
      <c r="AI210" s="33">
        <f>SUM(AI206:AI209)</f>
        <v>0</v>
      </c>
      <c r="AJ210" s="1"/>
      <c r="AK210" s="33">
        <f>SUM(AK206:AK209)</f>
        <v>0</v>
      </c>
      <c r="AL210" s="33"/>
      <c r="AM210" s="33">
        <f>SUM(AM206:AM209)</f>
        <v>0</v>
      </c>
      <c r="AN210" s="33"/>
      <c r="AO210" s="33">
        <f>SUM(AO206:AO209)</f>
        <v>0</v>
      </c>
      <c r="AP210"/>
      <c r="AQ210">
        <f>SUM(Q210:AK210)</f>
        <v>1398</v>
      </c>
      <c r="AR210" s="7">
        <f>AQ210-O210</f>
        <v>0</v>
      </c>
      <c r="AS210" s="51"/>
      <c r="AT210" s="75">
        <f>SUM(AT208:AT208)</f>
        <v>0</v>
      </c>
      <c r="AU210" s="52"/>
      <c r="AX210" s="33">
        <f>SUM(AX206:AX209)</f>
        <v>1398</v>
      </c>
      <c r="AY210" s="33">
        <f>SUM(AY206:AY209)</f>
        <v>0</v>
      </c>
    </row>
    <row r="211" spans="1:51" ht="15.75" thickBot="1" x14ac:dyDescent="0.25">
      <c r="A211" s="102"/>
      <c r="B211" s="102"/>
      <c r="C211" s="102"/>
      <c r="D211" s="77"/>
      <c r="E211" s="23"/>
      <c r="F211" s="23"/>
      <c r="K211" s="6"/>
      <c r="M211" s="26"/>
      <c r="O211" s="33"/>
      <c r="P211" s="29"/>
      <c r="Q211" s="26"/>
      <c r="R211" s="29"/>
      <c r="S211" s="26"/>
      <c r="T211" s="29"/>
      <c r="U211" s="26"/>
      <c r="V211" s="29"/>
      <c r="W211" s="26"/>
      <c r="X211" s="29"/>
      <c r="Y211" s="26"/>
      <c r="Z211" s="29"/>
      <c r="AA211" s="26"/>
      <c r="AB211" s="29"/>
      <c r="AC211" s="26"/>
      <c r="AD211" s="29"/>
      <c r="AE211" s="26"/>
      <c r="AF211" s="29"/>
      <c r="AG211" s="26"/>
      <c r="AH211" s="29"/>
      <c r="AI211" s="26"/>
      <c r="AJ211" s="29"/>
      <c r="AK211" s="29"/>
      <c r="AL211" s="29"/>
      <c r="AM211" s="29"/>
      <c r="AN211" s="29"/>
      <c r="AO211" s="29"/>
      <c r="AQ211"/>
      <c r="AS211" s="51"/>
      <c r="AU211" s="52"/>
    </row>
    <row r="212" spans="1:51" x14ac:dyDescent="0.2">
      <c r="A212" s="215"/>
      <c r="B212" s="216"/>
      <c r="C212" s="216"/>
      <c r="D212" s="171" t="s">
        <v>223</v>
      </c>
      <c r="E212" s="247"/>
      <c r="F212" s="247"/>
      <c r="G212" s="173"/>
      <c r="H212" s="173"/>
      <c r="I212" s="174"/>
      <c r="J212" s="174"/>
      <c r="K212" s="274" t="s">
        <v>178</v>
      </c>
      <c r="L212" s="173"/>
      <c r="M212" s="249"/>
      <c r="N212" s="173"/>
      <c r="O212" s="250"/>
      <c r="P212" s="222"/>
      <c r="Q212" s="249"/>
      <c r="R212" s="222"/>
      <c r="S212" s="249"/>
      <c r="T212" s="222"/>
      <c r="U212" s="249"/>
      <c r="V212" s="222"/>
      <c r="W212" s="249"/>
      <c r="X212" s="222"/>
      <c r="Y212" s="249"/>
      <c r="Z212" s="222"/>
      <c r="AA212" s="249"/>
      <c r="AB212" s="222"/>
      <c r="AC212" s="249"/>
      <c r="AD212" s="222"/>
      <c r="AE212" s="249"/>
      <c r="AF212" s="222"/>
      <c r="AG212" s="249"/>
      <c r="AH212" s="222"/>
      <c r="AI212" s="249"/>
      <c r="AJ212" s="222"/>
      <c r="AK212" s="222"/>
      <c r="AL212" s="222"/>
      <c r="AM212" s="222"/>
      <c r="AN212" s="222"/>
      <c r="AO212" s="222"/>
      <c r="AP212" s="173"/>
      <c r="AQ212" s="178"/>
      <c r="AR212" s="173"/>
      <c r="AS212" s="224"/>
      <c r="AT212" s="173"/>
      <c r="AU212" s="226"/>
      <c r="AV212" s="180"/>
      <c r="AW212" s="173"/>
      <c r="AX212" s="173"/>
      <c r="AY212" s="251"/>
    </row>
    <row r="213" spans="1:51" x14ac:dyDescent="0.2">
      <c r="A213" s="228"/>
      <c r="B213" s="162"/>
      <c r="C213" s="162"/>
      <c r="D213" s="94" t="s">
        <v>111</v>
      </c>
      <c r="E213" s="150"/>
      <c r="F213" s="150"/>
      <c r="G213" s="30"/>
      <c r="H213" s="30"/>
      <c r="I213" s="95"/>
      <c r="J213" s="95"/>
      <c r="K213" s="95"/>
      <c r="L213" s="30"/>
      <c r="M213" s="27"/>
      <c r="N213" s="30"/>
      <c r="O213" s="25"/>
      <c r="P213" s="28"/>
      <c r="Q213" s="27"/>
      <c r="R213" s="28"/>
      <c r="S213" s="27"/>
      <c r="T213" s="28"/>
      <c r="U213" s="27"/>
      <c r="V213" s="28"/>
      <c r="W213" s="27"/>
      <c r="X213" s="28"/>
      <c r="Y213" s="27"/>
      <c r="Z213" s="28"/>
      <c r="AA213" s="27"/>
      <c r="AB213" s="28"/>
      <c r="AC213" s="27"/>
      <c r="AD213" s="28"/>
      <c r="AE213" s="27"/>
      <c r="AF213" s="28"/>
      <c r="AG213" s="27"/>
      <c r="AH213" s="28"/>
      <c r="AI213" s="27"/>
      <c r="AJ213" s="28"/>
      <c r="AK213" s="28"/>
      <c r="AL213" s="28"/>
      <c r="AM213" s="28"/>
      <c r="AN213" s="28"/>
      <c r="AO213" s="28"/>
      <c r="AP213" s="30"/>
      <c r="AQ213" s="38"/>
      <c r="AR213" s="30"/>
      <c r="AS213" s="60"/>
      <c r="AT213" s="30"/>
      <c r="AU213" s="61"/>
      <c r="AV213" s="165"/>
      <c r="AW213" s="30"/>
      <c r="AX213" s="30"/>
      <c r="AY213" s="252"/>
    </row>
    <row r="214" spans="1:51" x14ac:dyDescent="0.2">
      <c r="A214" s="228" t="s">
        <v>9</v>
      </c>
      <c r="C214" s="139" t="s">
        <v>242</v>
      </c>
      <c r="D214" s="269">
        <v>0.08</v>
      </c>
      <c r="E214" s="139" t="s">
        <v>264</v>
      </c>
      <c r="F214" s="139"/>
      <c r="G214" s="270" t="s">
        <v>112</v>
      </c>
      <c r="H214" s="139"/>
      <c r="I214" s="139" t="s">
        <v>225</v>
      </c>
      <c r="J214" s="270"/>
      <c r="K214" s="125">
        <v>1.8</v>
      </c>
      <c r="L214" s="162"/>
      <c r="M214" s="105">
        <v>23397</v>
      </c>
      <c r="N214" s="162"/>
      <c r="O214" s="105">
        <v>20120</v>
      </c>
      <c r="P214" s="272"/>
      <c r="Q214" s="106">
        <v>0</v>
      </c>
      <c r="R214" s="272"/>
      <c r="S214" s="106">
        <v>0</v>
      </c>
      <c r="T214" s="272"/>
      <c r="U214" s="106">
        <v>0</v>
      </c>
      <c r="V214" s="272"/>
      <c r="W214" s="106">
        <v>0</v>
      </c>
      <c r="X214" s="272"/>
      <c r="Y214" s="106">
        <v>0</v>
      </c>
      <c r="Z214" s="272"/>
      <c r="AA214" s="106">
        <f>+O214</f>
        <v>20120</v>
      </c>
      <c r="AB214" s="272"/>
      <c r="AC214" s="106">
        <v>0</v>
      </c>
      <c r="AD214" s="272"/>
      <c r="AE214" s="106">
        <v>0</v>
      </c>
      <c r="AF214" s="272"/>
      <c r="AG214" s="106">
        <v>0</v>
      </c>
      <c r="AH214" s="272"/>
      <c r="AI214" s="106">
        <v>0</v>
      </c>
      <c r="AJ214" s="272"/>
      <c r="AK214" s="272">
        <v>0</v>
      </c>
      <c r="AL214" s="272"/>
      <c r="AM214" s="272">
        <v>0</v>
      </c>
      <c r="AN214" s="272"/>
      <c r="AO214" s="272">
        <v>0</v>
      </c>
      <c r="AP214" s="205"/>
      <c r="AQ214" s="38"/>
      <c r="AR214" s="30"/>
      <c r="AS214" s="60"/>
      <c r="AT214" s="30"/>
      <c r="AU214" s="61"/>
      <c r="AV214" s="165"/>
      <c r="AW214" s="30"/>
      <c r="AX214" s="166">
        <f>SUM(Q214:AP214)</f>
        <v>20120</v>
      </c>
      <c r="AY214" s="183">
        <f>+O214-AX214</f>
        <v>0</v>
      </c>
    </row>
    <row r="215" spans="1:51" x14ac:dyDescent="0.2">
      <c r="A215" s="228" t="s">
        <v>9</v>
      </c>
      <c r="C215" s="139" t="s">
        <v>242</v>
      </c>
      <c r="D215" s="269">
        <v>0.06</v>
      </c>
      <c r="E215" s="139" t="s">
        <v>265</v>
      </c>
      <c r="F215" s="139"/>
      <c r="G215" s="270" t="s">
        <v>114</v>
      </c>
      <c r="H215" s="139"/>
      <c r="I215" s="139" t="s">
        <v>226</v>
      </c>
      <c r="J215" s="270"/>
      <c r="K215" s="304">
        <f>+$K$214</f>
        <v>1.8</v>
      </c>
      <c r="L215" s="162"/>
      <c r="M215" s="105">
        <v>64836</v>
      </c>
      <c r="N215" s="162"/>
      <c r="O215" s="105">
        <v>45378</v>
      </c>
      <c r="P215" s="272"/>
      <c r="Q215" s="106">
        <v>0</v>
      </c>
      <c r="R215" s="272"/>
      <c r="S215" s="106">
        <v>0</v>
      </c>
      <c r="T215" s="272"/>
      <c r="U215" s="106">
        <v>0</v>
      </c>
      <c r="V215" s="272"/>
      <c r="W215" s="106">
        <v>0</v>
      </c>
      <c r="X215" s="272"/>
      <c r="Y215" s="106">
        <v>0</v>
      </c>
      <c r="Z215" s="272"/>
      <c r="AA215" s="106">
        <v>0</v>
      </c>
      <c r="AB215" s="272"/>
      <c r="AC215" s="106">
        <v>0</v>
      </c>
      <c r="AD215" s="272"/>
      <c r="AE215" s="106">
        <v>0</v>
      </c>
      <c r="AF215" s="272"/>
      <c r="AG215" s="106">
        <v>0</v>
      </c>
      <c r="AH215" s="272"/>
      <c r="AI215" s="106">
        <v>0</v>
      </c>
      <c r="AJ215" s="272"/>
      <c r="AK215" s="272">
        <v>0</v>
      </c>
      <c r="AL215" s="272"/>
      <c r="AM215" s="272">
        <f>+O215</f>
        <v>45378</v>
      </c>
      <c r="AN215" s="272"/>
      <c r="AO215" s="272">
        <v>0</v>
      </c>
      <c r="AP215" s="205"/>
      <c r="AQ215" s="38"/>
      <c r="AR215" s="30"/>
      <c r="AS215" s="60"/>
      <c r="AT215" s="30"/>
      <c r="AU215" s="61"/>
      <c r="AV215" s="165"/>
      <c r="AW215" s="30"/>
      <c r="AX215" s="166">
        <f t="shared" ref="AX215:AX222" si="29">SUM(Q215:AP215)</f>
        <v>45378</v>
      </c>
      <c r="AY215" s="183">
        <f t="shared" ref="AY215:AY222" si="30">+O215-AX215</f>
        <v>0</v>
      </c>
    </row>
    <row r="216" spans="1:51" x14ac:dyDescent="0.2">
      <c r="A216" s="228" t="s">
        <v>9</v>
      </c>
      <c r="C216" s="139" t="s">
        <v>242</v>
      </c>
      <c r="D216" s="269">
        <v>0.06</v>
      </c>
      <c r="E216" s="162" t="s">
        <v>266</v>
      </c>
      <c r="F216" s="139"/>
      <c r="G216" s="270" t="s">
        <v>114</v>
      </c>
      <c r="H216" s="139"/>
      <c r="I216" s="139" t="s">
        <v>226</v>
      </c>
      <c r="J216" s="270"/>
      <c r="K216" s="304">
        <f t="shared" ref="K216:K222" si="31">+$K$214</f>
        <v>1.8</v>
      </c>
      <c r="L216" s="162"/>
      <c r="M216" s="105">
        <v>0</v>
      </c>
      <c r="N216" s="162"/>
      <c r="O216" s="105">
        <v>22113</v>
      </c>
      <c r="P216" s="272"/>
      <c r="Q216" s="106">
        <v>0</v>
      </c>
      <c r="R216" s="272"/>
      <c r="S216" s="106">
        <v>0</v>
      </c>
      <c r="T216" s="272"/>
      <c r="U216" s="106">
        <v>0</v>
      </c>
      <c r="V216" s="272"/>
      <c r="W216" s="106">
        <v>0</v>
      </c>
      <c r="X216" s="272"/>
      <c r="Y216" s="106">
        <v>0</v>
      </c>
      <c r="Z216" s="272"/>
      <c r="AA216" s="106">
        <v>0</v>
      </c>
      <c r="AB216" s="272"/>
      <c r="AC216" s="106">
        <v>0</v>
      </c>
      <c r="AD216" s="272"/>
      <c r="AE216" s="106">
        <v>0</v>
      </c>
      <c r="AF216" s="272"/>
      <c r="AG216" s="106">
        <v>0</v>
      </c>
      <c r="AH216" s="272"/>
      <c r="AI216" s="106">
        <v>0</v>
      </c>
      <c r="AJ216" s="272"/>
      <c r="AK216" s="272">
        <v>0</v>
      </c>
      <c r="AL216" s="272"/>
      <c r="AM216" s="272">
        <f>+O216</f>
        <v>22113</v>
      </c>
      <c r="AN216" s="272"/>
      <c r="AO216" s="272">
        <v>0</v>
      </c>
      <c r="AP216" s="205"/>
      <c r="AQ216" s="38"/>
      <c r="AR216" s="30"/>
      <c r="AS216" s="60"/>
      <c r="AT216" s="30"/>
      <c r="AU216" s="61"/>
      <c r="AV216" s="165"/>
      <c r="AW216" s="30"/>
      <c r="AX216" s="166">
        <f>SUM(Q216:AP216)</f>
        <v>22113</v>
      </c>
      <c r="AY216" s="183">
        <f>+O216-AX216</f>
        <v>0</v>
      </c>
    </row>
    <row r="217" spans="1:51" x14ac:dyDescent="0.2">
      <c r="A217" s="228" t="s">
        <v>9</v>
      </c>
      <c r="C217" s="139" t="s">
        <v>242</v>
      </c>
      <c r="D217" s="163">
        <v>3.4000000000000002E-2</v>
      </c>
      <c r="E217" s="162" t="s">
        <v>267</v>
      </c>
      <c r="F217" s="162"/>
      <c r="G217" s="273">
        <v>37787</v>
      </c>
      <c r="H217" s="139"/>
      <c r="I217" s="139" t="s">
        <v>227</v>
      </c>
      <c r="J217" s="270"/>
      <c r="K217" s="304">
        <f t="shared" si="31"/>
        <v>1.8</v>
      </c>
      <c r="L217" s="162"/>
      <c r="M217" s="105">
        <v>901</v>
      </c>
      <c r="N217" s="162"/>
      <c r="O217" s="105">
        <v>0</v>
      </c>
      <c r="P217" s="272"/>
      <c r="Q217" s="106">
        <v>0</v>
      </c>
      <c r="R217" s="272"/>
      <c r="S217" s="106">
        <v>0</v>
      </c>
      <c r="T217" s="272"/>
      <c r="U217" s="106">
        <v>0</v>
      </c>
      <c r="V217" s="272"/>
      <c r="W217" s="106">
        <f>+O217</f>
        <v>0</v>
      </c>
      <c r="X217" s="272"/>
      <c r="Y217" s="106">
        <v>0</v>
      </c>
      <c r="Z217" s="272"/>
      <c r="AA217" s="106">
        <v>0</v>
      </c>
      <c r="AB217" s="272"/>
      <c r="AC217" s="106">
        <v>0</v>
      </c>
      <c r="AD217" s="272"/>
      <c r="AE217" s="106">
        <v>0</v>
      </c>
      <c r="AF217" s="272"/>
      <c r="AG217" s="106">
        <v>0</v>
      </c>
      <c r="AH217" s="272"/>
      <c r="AI217" s="106">
        <v>0</v>
      </c>
      <c r="AJ217" s="272"/>
      <c r="AK217" s="272">
        <v>0</v>
      </c>
      <c r="AL217" s="272"/>
      <c r="AM217" s="272">
        <v>0</v>
      </c>
      <c r="AN217" s="272"/>
      <c r="AO217" s="272">
        <v>0</v>
      </c>
      <c r="AP217" s="205"/>
      <c r="AQ217" s="38"/>
      <c r="AR217" s="30"/>
      <c r="AS217" s="60"/>
      <c r="AT217" s="30"/>
      <c r="AU217" s="61"/>
      <c r="AV217" s="165"/>
      <c r="AW217" s="30"/>
      <c r="AX217" s="166">
        <f t="shared" si="29"/>
        <v>0</v>
      </c>
      <c r="AY217" s="183">
        <f t="shared" si="30"/>
        <v>0</v>
      </c>
    </row>
    <row r="218" spans="1:51" x14ac:dyDescent="0.2">
      <c r="A218" s="228" t="s">
        <v>9</v>
      </c>
      <c r="C218" s="139" t="s">
        <v>242</v>
      </c>
      <c r="D218" s="163">
        <v>3.4000000000000002E-2</v>
      </c>
      <c r="E218" s="125" t="s">
        <v>268</v>
      </c>
      <c r="F218" s="162"/>
      <c r="G218" s="273">
        <v>37787</v>
      </c>
      <c r="H218" s="139"/>
      <c r="I218" s="139" t="s">
        <v>227</v>
      </c>
      <c r="J218" s="270"/>
      <c r="K218" s="304">
        <f t="shared" si="31"/>
        <v>1.8</v>
      </c>
      <c r="L218" s="162"/>
      <c r="M218" s="105">
        <v>894</v>
      </c>
      <c r="N218" s="162"/>
      <c r="O218" s="105">
        <v>0</v>
      </c>
      <c r="P218" s="272"/>
      <c r="Q218" s="106">
        <v>0</v>
      </c>
      <c r="R218" s="272"/>
      <c r="S218" s="106">
        <v>0</v>
      </c>
      <c r="T218" s="272"/>
      <c r="U218" s="106">
        <v>0</v>
      </c>
      <c r="V218" s="272"/>
      <c r="W218" s="106">
        <f>+O218</f>
        <v>0</v>
      </c>
      <c r="X218" s="272"/>
      <c r="Y218" s="106">
        <v>0</v>
      </c>
      <c r="Z218" s="272"/>
      <c r="AA218" s="106">
        <v>0</v>
      </c>
      <c r="AB218" s="272"/>
      <c r="AC218" s="106">
        <v>0</v>
      </c>
      <c r="AD218" s="272"/>
      <c r="AE218" s="106">
        <v>0</v>
      </c>
      <c r="AF218" s="272"/>
      <c r="AG218" s="106">
        <v>0</v>
      </c>
      <c r="AH218" s="272"/>
      <c r="AI218" s="106">
        <v>0</v>
      </c>
      <c r="AJ218" s="272"/>
      <c r="AK218" s="272">
        <v>0</v>
      </c>
      <c r="AL218" s="272"/>
      <c r="AM218" s="272">
        <v>0</v>
      </c>
      <c r="AN218" s="272"/>
      <c r="AO218" s="272">
        <v>0</v>
      </c>
      <c r="AP218" s="205"/>
      <c r="AQ218" s="38"/>
      <c r="AR218" s="30"/>
      <c r="AS218" s="60"/>
      <c r="AT218" s="30"/>
      <c r="AU218" s="61"/>
      <c r="AV218" s="165"/>
      <c r="AW218" s="30"/>
      <c r="AX218" s="166">
        <f t="shared" si="29"/>
        <v>0</v>
      </c>
      <c r="AY218" s="183">
        <f t="shared" si="30"/>
        <v>0</v>
      </c>
    </row>
    <row r="219" spans="1:51" x14ac:dyDescent="0.2">
      <c r="A219" s="228" t="s">
        <v>9</v>
      </c>
      <c r="C219" s="139" t="s">
        <v>242</v>
      </c>
      <c r="D219" s="163">
        <v>3.4000000000000002E-2</v>
      </c>
      <c r="E219" s="162"/>
      <c r="F219" s="162"/>
      <c r="G219" s="273">
        <v>38336</v>
      </c>
      <c r="H219" s="139"/>
      <c r="I219" s="139" t="s">
        <v>227</v>
      </c>
      <c r="J219" s="270"/>
      <c r="K219" s="304">
        <f t="shared" si="31"/>
        <v>1.8</v>
      </c>
      <c r="L219" s="162"/>
      <c r="M219" s="105">
        <v>0</v>
      </c>
      <c r="N219" s="162"/>
      <c r="O219" s="105">
        <v>3291</v>
      </c>
      <c r="P219" s="272"/>
      <c r="Q219" s="106"/>
      <c r="R219" s="272"/>
      <c r="S219" s="106"/>
      <c r="T219" s="272"/>
      <c r="U219" s="106"/>
      <c r="V219" s="272"/>
      <c r="W219" s="106"/>
      <c r="X219" s="272"/>
      <c r="Y219" s="106">
        <f>+O219</f>
        <v>3291</v>
      </c>
      <c r="Z219" s="272"/>
      <c r="AA219" s="106"/>
      <c r="AB219" s="272"/>
      <c r="AC219" s="106"/>
      <c r="AD219" s="272"/>
      <c r="AE219" s="106"/>
      <c r="AF219" s="272"/>
      <c r="AG219" s="106"/>
      <c r="AH219" s="272"/>
      <c r="AI219" s="106"/>
      <c r="AJ219" s="272"/>
      <c r="AK219" s="272"/>
      <c r="AL219" s="272"/>
      <c r="AM219" s="272"/>
      <c r="AN219" s="272"/>
      <c r="AO219" s="272"/>
      <c r="AP219" s="205"/>
      <c r="AQ219" s="38"/>
      <c r="AR219" s="30"/>
      <c r="AS219" s="60"/>
      <c r="AT219" s="30"/>
      <c r="AU219" s="61"/>
      <c r="AV219" s="165"/>
      <c r="AW219" s="30"/>
      <c r="AX219" s="166"/>
      <c r="AY219" s="183"/>
    </row>
    <row r="220" spans="1:51" x14ac:dyDescent="0.2">
      <c r="A220" s="228" t="s">
        <v>9</v>
      </c>
      <c r="C220" s="139" t="s">
        <v>242</v>
      </c>
      <c r="D220" s="124">
        <v>3.4500000000000003E-2</v>
      </c>
      <c r="E220" s="7"/>
      <c r="F220" s="125"/>
      <c r="G220" s="294">
        <v>38245</v>
      </c>
      <c r="H220" s="125"/>
      <c r="I220" s="125" t="s">
        <v>248</v>
      </c>
      <c r="J220" s="125"/>
      <c r="K220" s="304">
        <f t="shared" si="31"/>
        <v>1.8</v>
      </c>
      <c r="L220" s="162"/>
      <c r="M220" s="105">
        <v>3017</v>
      </c>
      <c r="N220" s="162"/>
      <c r="O220" s="105">
        <v>5910</v>
      </c>
      <c r="P220" s="272"/>
      <c r="Q220" s="106">
        <v>0</v>
      </c>
      <c r="R220" s="272"/>
      <c r="S220" s="106">
        <v>0</v>
      </c>
      <c r="T220" s="272"/>
      <c r="U220" s="106">
        <v>0</v>
      </c>
      <c r="V220" s="272"/>
      <c r="W220" s="106">
        <v>0</v>
      </c>
      <c r="X220" s="272"/>
      <c r="Y220" s="106">
        <f>+O220</f>
        <v>5910</v>
      </c>
      <c r="Z220" s="272"/>
      <c r="AA220" s="106">
        <v>0</v>
      </c>
      <c r="AB220" s="272"/>
      <c r="AC220" s="106">
        <v>0</v>
      </c>
      <c r="AD220" s="272"/>
      <c r="AE220" s="106">
        <v>0</v>
      </c>
      <c r="AF220" s="272"/>
      <c r="AG220" s="106">
        <v>0</v>
      </c>
      <c r="AH220" s="272"/>
      <c r="AI220" s="106">
        <v>0</v>
      </c>
      <c r="AJ220" s="272"/>
      <c r="AK220" s="272">
        <v>0</v>
      </c>
      <c r="AL220" s="272"/>
      <c r="AM220" s="272">
        <v>0</v>
      </c>
      <c r="AN220" s="272"/>
      <c r="AO220" s="272">
        <v>0</v>
      </c>
      <c r="AP220" s="205"/>
      <c r="AQ220" s="38"/>
      <c r="AR220" s="30"/>
      <c r="AS220" s="60"/>
      <c r="AT220" s="30"/>
      <c r="AU220" s="61"/>
      <c r="AV220" s="165"/>
      <c r="AW220" s="30"/>
      <c r="AX220" s="166">
        <f t="shared" si="29"/>
        <v>5910</v>
      </c>
      <c r="AY220" s="183">
        <f t="shared" si="30"/>
        <v>0</v>
      </c>
    </row>
    <row r="221" spans="1:51" x14ac:dyDescent="0.2">
      <c r="A221" s="228" t="s">
        <v>9</v>
      </c>
      <c r="C221" s="139" t="s">
        <v>242</v>
      </c>
      <c r="D221" s="124">
        <v>0.1</v>
      </c>
      <c r="E221" s="125"/>
      <c r="F221" s="125"/>
      <c r="G221" s="126" t="s">
        <v>110</v>
      </c>
      <c r="H221" s="125"/>
      <c r="I221" s="125" t="s">
        <v>247</v>
      </c>
      <c r="J221" s="125"/>
      <c r="K221" s="304">
        <f t="shared" si="31"/>
        <v>1.8</v>
      </c>
      <c r="L221" s="162"/>
      <c r="M221" s="105">
        <f>5718*1.9223</f>
        <v>10991.7114</v>
      </c>
      <c r="N221" s="162"/>
      <c r="O221" s="105">
        <v>0</v>
      </c>
      <c r="P221" s="272"/>
      <c r="Q221" s="106">
        <v>0</v>
      </c>
      <c r="R221" s="272"/>
      <c r="S221" s="106">
        <v>0</v>
      </c>
      <c r="T221" s="272"/>
      <c r="U221" s="106">
        <v>0</v>
      </c>
      <c r="V221" s="272"/>
      <c r="W221" s="106">
        <v>0</v>
      </c>
      <c r="X221" s="272"/>
      <c r="Y221" s="106">
        <f>+O221</f>
        <v>0</v>
      </c>
      <c r="Z221" s="272"/>
      <c r="AA221" s="106">
        <v>0</v>
      </c>
      <c r="AB221" s="272"/>
      <c r="AC221" s="106">
        <v>0</v>
      </c>
      <c r="AD221" s="272"/>
      <c r="AE221" s="106">
        <v>0</v>
      </c>
      <c r="AF221" s="272"/>
      <c r="AG221" s="106">
        <v>0</v>
      </c>
      <c r="AH221" s="272"/>
      <c r="AI221" s="106">
        <v>0</v>
      </c>
      <c r="AJ221" s="272"/>
      <c r="AK221" s="272">
        <v>0</v>
      </c>
      <c r="AL221" s="272"/>
      <c r="AM221" s="272">
        <v>0</v>
      </c>
      <c r="AN221" s="272"/>
      <c r="AO221" s="272">
        <v>0</v>
      </c>
      <c r="AP221" s="205"/>
      <c r="AQ221" s="38"/>
      <c r="AR221" s="30"/>
      <c r="AS221" s="60"/>
      <c r="AT221" s="30"/>
      <c r="AU221" s="61"/>
      <c r="AV221" s="165"/>
      <c r="AW221" s="30"/>
      <c r="AX221" s="166">
        <f>SUM(Q221:AP221)</f>
        <v>0</v>
      </c>
      <c r="AY221" s="183">
        <f>+O221-AX221</f>
        <v>0</v>
      </c>
    </row>
    <row r="222" spans="1:51" x14ac:dyDescent="0.2">
      <c r="A222" s="228" t="s">
        <v>9</v>
      </c>
      <c r="B222" s="162"/>
      <c r="C222" s="162" t="s">
        <v>242</v>
      </c>
      <c r="D222" s="163">
        <v>3.2000000000000001E-2</v>
      </c>
      <c r="E222" s="132"/>
      <c r="F222" s="132"/>
      <c r="G222" s="273">
        <v>38426</v>
      </c>
      <c r="H222" s="162"/>
      <c r="I222" s="229" t="s">
        <v>227</v>
      </c>
      <c r="J222" s="162"/>
      <c r="K222" s="304">
        <f t="shared" si="31"/>
        <v>1.8</v>
      </c>
      <c r="L222" s="205"/>
      <c r="M222" s="105">
        <v>855</v>
      </c>
      <c r="N222" s="162"/>
      <c r="O222" s="105">
        <v>2377</v>
      </c>
      <c r="P222" s="272"/>
      <c r="Q222" s="106">
        <v>0</v>
      </c>
      <c r="R222" s="272"/>
      <c r="S222" s="106">
        <v>0</v>
      </c>
      <c r="T222" s="272"/>
      <c r="U222" s="106">
        <v>0</v>
      </c>
      <c r="V222" s="272"/>
      <c r="W222" s="106">
        <v>0</v>
      </c>
      <c r="X222" s="272"/>
      <c r="Y222" s="106">
        <v>0</v>
      </c>
      <c r="Z222" s="272"/>
      <c r="AA222" s="106">
        <f>+O222</f>
        <v>2377</v>
      </c>
      <c r="AB222" s="272"/>
      <c r="AC222" s="106">
        <v>0</v>
      </c>
      <c r="AD222" s="272"/>
      <c r="AE222" s="106">
        <v>0</v>
      </c>
      <c r="AF222" s="272"/>
      <c r="AG222" s="106">
        <v>0</v>
      </c>
      <c r="AH222" s="272"/>
      <c r="AI222" s="106">
        <v>0</v>
      </c>
      <c r="AJ222" s="272"/>
      <c r="AK222" s="272">
        <v>0</v>
      </c>
      <c r="AL222" s="272"/>
      <c r="AM222" s="272">
        <v>0</v>
      </c>
      <c r="AN222" s="272"/>
      <c r="AO222" s="272">
        <v>0</v>
      </c>
      <c r="AP222" s="205"/>
      <c r="AQ222" s="38"/>
      <c r="AR222" s="30"/>
      <c r="AS222" s="60"/>
      <c r="AT222" s="30"/>
      <c r="AU222" s="61"/>
      <c r="AV222" s="165"/>
      <c r="AW222" s="30"/>
      <c r="AX222" s="166">
        <f t="shared" si="29"/>
        <v>2377</v>
      </c>
      <c r="AY222" s="183">
        <f t="shared" si="30"/>
        <v>0</v>
      </c>
    </row>
    <row r="223" spans="1:51" ht="8.1" customHeight="1" x14ac:dyDescent="0.2">
      <c r="A223" s="228"/>
      <c r="B223" s="162"/>
      <c r="C223" s="162"/>
      <c r="D223" s="167"/>
      <c r="E223" s="132"/>
      <c r="F223" s="132"/>
      <c r="G223" s="271"/>
      <c r="H223" s="162"/>
      <c r="I223" s="280"/>
      <c r="J223" s="162"/>
      <c r="K223" s="125"/>
      <c r="L223" s="205"/>
      <c r="M223" s="203"/>
      <c r="N223" s="205"/>
      <c r="O223" s="201"/>
      <c r="P223" s="204"/>
      <c r="Q223" s="203"/>
      <c r="R223" s="204"/>
      <c r="S223" s="203"/>
      <c r="T223" s="204"/>
      <c r="U223" s="203"/>
      <c r="V223" s="204"/>
      <c r="W223" s="203"/>
      <c r="X223" s="204"/>
      <c r="Y223" s="203"/>
      <c r="Z223" s="204"/>
      <c r="AA223" s="203"/>
      <c r="AB223" s="204"/>
      <c r="AC223" s="203"/>
      <c r="AD223" s="204"/>
      <c r="AE223" s="203"/>
      <c r="AF223" s="204"/>
      <c r="AG223" s="203"/>
      <c r="AH223" s="204"/>
      <c r="AI223" s="203"/>
      <c r="AJ223" s="204"/>
      <c r="AK223" s="204"/>
      <c r="AL223" s="204"/>
      <c r="AM223" s="204"/>
      <c r="AN223" s="204"/>
      <c r="AO223" s="204"/>
      <c r="AP223" s="205"/>
      <c r="AQ223" s="38"/>
      <c r="AR223" s="30"/>
      <c r="AS223" s="60"/>
      <c r="AT223" s="30"/>
      <c r="AU223" s="61"/>
      <c r="AV223" s="165"/>
      <c r="AW223" s="30"/>
      <c r="AX223" s="166"/>
      <c r="AY223" s="183"/>
    </row>
    <row r="224" spans="1:51" x14ac:dyDescent="0.2">
      <c r="A224" s="239"/>
      <c r="B224" s="205"/>
      <c r="C224" s="205"/>
      <c r="D224" s="257"/>
      <c r="E224" s="242"/>
      <c r="F224" s="292" t="s">
        <v>245</v>
      </c>
      <c r="G224" s="258"/>
      <c r="H224" s="205"/>
      <c r="I224" s="259"/>
      <c r="J224" s="205"/>
      <c r="K224" s="258"/>
      <c r="L224" s="205"/>
      <c r="M224" s="287">
        <f>SUM(M214:M223)</f>
        <v>104891.7114</v>
      </c>
      <c r="N224" s="288"/>
      <c r="O224" s="277">
        <f>SUM(O214:O223)</f>
        <v>99189</v>
      </c>
      <c r="P224" s="289"/>
      <c r="Q224" s="287">
        <f>SUM(Q214:Q223)</f>
        <v>0</v>
      </c>
      <c r="R224" s="289"/>
      <c r="S224" s="287">
        <f>SUM(S214:S223)</f>
        <v>0</v>
      </c>
      <c r="T224" s="289"/>
      <c r="U224" s="287">
        <f>SUM(U214:U223)</f>
        <v>0</v>
      </c>
      <c r="V224" s="289"/>
      <c r="W224" s="287">
        <f>SUM(W214:W223)</f>
        <v>0</v>
      </c>
      <c r="X224" s="289"/>
      <c r="Y224" s="287">
        <f>SUM(Y214:Y223)</f>
        <v>9201</v>
      </c>
      <c r="Z224" s="289"/>
      <c r="AA224" s="287">
        <f>SUM(AA214:AA223)</f>
        <v>22497</v>
      </c>
      <c r="AB224" s="289"/>
      <c r="AC224" s="287">
        <f>SUM(AC214:AC223)</f>
        <v>0</v>
      </c>
      <c r="AD224" s="289"/>
      <c r="AE224" s="287">
        <f>SUM(AE214:AE223)</f>
        <v>0</v>
      </c>
      <c r="AF224" s="289"/>
      <c r="AG224" s="287">
        <f>SUM(AG214:AG223)</f>
        <v>0</v>
      </c>
      <c r="AH224" s="289"/>
      <c r="AI224" s="287">
        <f>SUM(AI214:AI223)</f>
        <v>0</v>
      </c>
      <c r="AJ224" s="289"/>
      <c r="AK224" s="287">
        <f>SUM(AK214:AK223)</f>
        <v>0</v>
      </c>
      <c r="AL224" s="290"/>
      <c r="AM224" s="287">
        <f>SUM(AM214:AM223)</f>
        <v>67491</v>
      </c>
      <c r="AN224" s="289"/>
      <c r="AO224" s="287">
        <f>SUM(AO214:AO223)</f>
        <v>0</v>
      </c>
      <c r="AP224" s="288"/>
      <c r="AQ224" s="38"/>
      <c r="AR224" s="30"/>
      <c r="AS224" s="60"/>
      <c r="AT224" s="30"/>
      <c r="AU224" s="61"/>
      <c r="AV224" s="165"/>
      <c r="AW224" s="30"/>
      <c r="AX224" s="266">
        <f>SUM(AX214:AX223)</f>
        <v>95898</v>
      </c>
      <c r="AY224" s="267">
        <f>SUM(AY214:AY223)</f>
        <v>0</v>
      </c>
    </row>
    <row r="225" spans="1:51" x14ac:dyDescent="0.2">
      <c r="A225" s="239"/>
      <c r="B225" s="205"/>
      <c r="C225" s="205"/>
      <c r="D225" s="257"/>
      <c r="E225" s="242"/>
      <c r="F225" s="242"/>
      <c r="G225" s="258"/>
      <c r="H225" s="205"/>
      <c r="I225" s="259"/>
      <c r="J225" s="205"/>
      <c r="K225" s="258"/>
      <c r="L225" s="205"/>
      <c r="M225" s="290"/>
      <c r="N225" s="288"/>
      <c r="O225" s="99"/>
      <c r="P225" s="289"/>
      <c r="Q225" s="290"/>
      <c r="R225" s="289"/>
      <c r="S225" s="290"/>
      <c r="T225" s="289"/>
      <c r="U225" s="290"/>
      <c r="V225" s="289"/>
      <c r="W225" s="290"/>
      <c r="X225" s="289"/>
      <c r="Y225" s="290"/>
      <c r="Z225" s="289"/>
      <c r="AA225" s="290"/>
      <c r="AB225" s="289"/>
      <c r="AC225" s="290"/>
      <c r="AD225" s="289"/>
      <c r="AE225" s="290"/>
      <c r="AF225" s="289"/>
      <c r="AG225" s="290"/>
      <c r="AH225" s="289"/>
      <c r="AI225" s="290"/>
      <c r="AJ225" s="289"/>
      <c r="AK225" s="290"/>
      <c r="AL225" s="290"/>
      <c r="AM225" s="290"/>
      <c r="AN225" s="289"/>
      <c r="AO225" s="290"/>
      <c r="AP225" s="288"/>
      <c r="AQ225" s="38"/>
      <c r="AR225" s="30"/>
      <c r="AS225" s="60"/>
      <c r="AT225" s="30"/>
      <c r="AU225" s="61"/>
      <c r="AV225" s="165"/>
      <c r="AW225" s="30"/>
      <c r="AX225" s="203"/>
      <c r="AY225" s="291"/>
    </row>
    <row r="226" spans="1:51" x14ac:dyDescent="0.2">
      <c r="A226" s="239"/>
      <c r="B226" s="205"/>
      <c r="C226" s="205"/>
      <c r="D226" s="257"/>
      <c r="E226" s="242"/>
      <c r="F226" s="242"/>
      <c r="G226" s="258"/>
      <c r="H226" s="205"/>
      <c r="I226" s="259"/>
      <c r="J226" s="205"/>
      <c r="K226" s="258"/>
      <c r="L226" s="205"/>
      <c r="M226" s="203">
        <v>0</v>
      </c>
      <c r="N226" s="205"/>
      <c r="O226" s="201">
        <v>0</v>
      </c>
      <c r="P226" s="204"/>
      <c r="Q226" s="203">
        <f>+O226</f>
        <v>0</v>
      </c>
      <c r="R226" s="204"/>
      <c r="S226" s="203">
        <v>0</v>
      </c>
      <c r="T226" s="204"/>
      <c r="U226" s="203">
        <v>0</v>
      </c>
      <c r="V226" s="204"/>
      <c r="W226" s="203">
        <v>0</v>
      </c>
      <c r="X226" s="204"/>
      <c r="Y226" s="203">
        <v>0</v>
      </c>
      <c r="Z226" s="204"/>
      <c r="AA226" s="203">
        <v>0</v>
      </c>
      <c r="AB226" s="204"/>
      <c r="AC226" s="203">
        <v>0</v>
      </c>
      <c r="AD226" s="204"/>
      <c r="AE226" s="203">
        <v>0</v>
      </c>
      <c r="AF226" s="204"/>
      <c r="AG226" s="203">
        <v>0</v>
      </c>
      <c r="AH226" s="204"/>
      <c r="AI226" s="203">
        <v>0</v>
      </c>
      <c r="AJ226" s="204"/>
      <c r="AK226" s="204">
        <v>0</v>
      </c>
      <c r="AL226" s="204"/>
      <c r="AM226" s="204">
        <v>0</v>
      </c>
      <c r="AN226" s="204"/>
      <c r="AO226" s="204">
        <v>0</v>
      </c>
      <c r="AP226" s="205"/>
      <c r="AQ226" s="38"/>
      <c r="AR226" s="30"/>
      <c r="AS226" s="60"/>
      <c r="AT226" s="30"/>
      <c r="AU226" s="61"/>
      <c r="AV226" s="165"/>
      <c r="AW226" s="30"/>
      <c r="AX226" s="166">
        <f>SUM(Q226:AP226)</f>
        <v>0</v>
      </c>
      <c r="AY226" s="183">
        <f>+O226-AX226</f>
        <v>0</v>
      </c>
    </row>
    <row r="227" spans="1:51" x14ac:dyDescent="0.2">
      <c r="A227" s="239"/>
      <c r="B227" s="205"/>
      <c r="C227" s="205"/>
      <c r="D227" s="257"/>
      <c r="E227" s="242"/>
      <c r="F227" s="242"/>
      <c r="G227" s="258"/>
      <c r="H227" s="205"/>
      <c r="I227" s="259"/>
      <c r="J227" s="205"/>
      <c r="K227" s="258"/>
      <c r="L227" s="205"/>
      <c r="M227" s="290"/>
      <c r="N227" s="288"/>
      <c r="O227" s="99"/>
      <c r="P227" s="289"/>
      <c r="Q227" s="290"/>
      <c r="R227" s="289"/>
      <c r="S227" s="290"/>
      <c r="T227" s="289"/>
      <c r="U227" s="290"/>
      <c r="V227" s="289"/>
      <c r="W227" s="290"/>
      <c r="X227" s="289"/>
      <c r="Y227" s="290"/>
      <c r="Z227" s="289"/>
      <c r="AA227" s="290"/>
      <c r="AB227" s="289"/>
      <c r="AC227" s="290"/>
      <c r="AD227" s="289"/>
      <c r="AE227" s="290"/>
      <c r="AF227" s="289"/>
      <c r="AG227" s="290"/>
      <c r="AH227" s="289"/>
      <c r="AI227" s="290"/>
      <c r="AJ227" s="289"/>
      <c r="AK227" s="290"/>
      <c r="AL227" s="290"/>
      <c r="AM227" s="290"/>
      <c r="AN227" s="289"/>
      <c r="AO227" s="290"/>
      <c r="AP227" s="288"/>
      <c r="AQ227" s="38"/>
      <c r="AR227" s="30"/>
      <c r="AS227" s="60"/>
      <c r="AT227" s="30"/>
      <c r="AU227" s="61"/>
      <c r="AV227" s="165"/>
      <c r="AW227" s="30"/>
      <c r="AX227" s="203"/>
      <c r="AY227" s="291"/>
    </row>
    <row r="228" spans="1:51" ht="8.1" customHeight="1" thickBot="1" x14ac:dyDescent="0.25">
      <c r="A228" s="231"/>
      <c r="B228" s="232"/>
      <c r="C228" s="232"/>
      <c r="D228" s="261"/>
      <c r="E228" s="187"/>
      <c r="F228" s="187"/>
      <c r="G228" s="189"/>
      <c r="H228" s="189"/>
      <c r="I228" s="233"/>
      <c r="J228" s="189"/>
      <c r="K228" s="233"/>
      <c r="L228" s="189"/>
      <c r="M228" s="255"/>
      <c r="N228" s="189"/>
      <c r="O228" s="256"/>
      <c r="P228" s="235"/>
      <c r="Q228" s="255"/>
      <c r="R228" s="235"/>
      <c r="S228" s="255"/>
      <c r="T228" s="235"/>
      <c r="U228" s="255"/>
      <c r="V228" s="235"/>
      <c r="W228" s="255"/>
      <c r="X228" s="235"/>
      <c r="Y228" s="255"/>
      <c r="Z228" s="235"/>
      <c r="AA228" s="255"/>
      <c r="AB228" s="235"/>
      <c r="AC228" s="255"/>
      <c r="AD228" s="235"/>
      <c r="AE228" s="255"/>
      <c r="AF228" s="235"/>
      <c r="AG228" s="255"/>
      <c r="AH228" s="235"/>
      <c r="AI228" s="255"/>
      <c r="AJ228" s="235"/>
      <c r="AK228" s="235"/>
      <c r="AL228" s="235"/>
      <c r="AM228" s="235"/>
      <c r="AN228" s="235"/>
      <c r="AO228" s="235"/>
      <c r="AP228" s="189"/>
      <c r="AQ228" s="191"/>
      <c r="AR228" s="189"/>
      <c r="AS228" s="236"/>
      <c r="AT228" s="189"/>
      <c r="AU228" s="237"/>
      <c r="AV228" s="193"/>
      <c r="AW228" s="189"/>
      <c r="AX228" s="189"/>
      <c r="AY228" s="238"/>
    </row>
    <row r="229" spans="1:51" x14ac:dyDescent="0.2">
      <c r="A229" s="102"/>
      <c r="B229" s="102"/>
      <c r="C229" s="102"/>
      <c r="D229" s="13" t="s">
        <v>224</v>
      </c>
      <c r="E229" s="23"/>
      <c r="F229" s="23"/>
      <c r="K229" s="6"/>
      <c r="M229" s="26"/>
      <c r="O229" s="33"/>
      <c r="P229" s="29"/>
      <c r="Q229" s="26"/>
      <c r="R229" s="29"/>
      <c r="S229" s="26"/>
      <c r="T229" s="29"/>
      <c r="U229" s="26"/>
      <c r="V229" s="29"/>
      <c r="W229" s="26"/>
      <c r="X229" s="29"/>
      <c r="Y229" s="26"/>
      <c r="Z229" s="29"/>
      <c r="AA229" s="26"/>
      <c r="AB229" s="29"/>
      <c r="AC229" s="26"/>
      <c r="AD229" s="29"/>
      <c r="AE229" s="26"/>
      <c r="AF229" s="29"/>
      <c r="AG229" s="26"/>
      <c r="AH229" s="29"/>
      <c r="AI229" s="26"/>
      <c r="AJ229" s="29"/>
      <c r="AK229" s="29"/>
      <c r="AL229" s="29"/>
      <c r="AM229" s="29"/>
      <c r="AN229" s="29"/>
      <c r="AO229" s="29"/>
      <c r="AQ229"/>
      <c r="AS229" s="51"/>
      <c r="AU229" s="52"/>
    </row>
    <row r="230" spans="1:51" x14ac:dyDescent="0.2">
      <c r="A230" s="196" t="s">
        <v>9</v>
      </c>
      <c r="B230" s="196"/>
      <c r="C230" s="196"/>
      <c r="D230" s="262">
        <v>0.08</v>
      </c>
      <c r="E230" s="263"/>
      <c r="F230" s="263"/>
      <c r="G230" s="264" t="s">
        <v>112</v>
      </c>
      <c r="H230" s="263" t="s">
        <v>111</v>
      </c>
      <c r="I230" s="263"/>
      <c r="J230" s="264" t="s">
        <v>113</v>
      </c>
      <c r="K230" s="268"/>
      <c r="L230" s="263"/>
      <c r="M230" s="4">
        <v>12171</v>
      </c>
      <c r="N230" s="263"/>
      <c r="O230" s="293">
        <f t="shared" ref="O230:O238" si="32">ROUND(+O214/K214,0)</f>
        <v>11178</v>
      </c>
      <c r="P230" s="213"/>
      <c r="Q230" s="213">
        <v>0</v>
      </c>
      <c r="R230" s="213"/>
      <c r="S230" s="213">
        <v>0</v>
      </c>
      <c r="T230" s="213"/>
      <c r="U230" s="213">
        <v>0</v>
      </c>
      <c r="V230" s="213"/>
      <c r="W230" s="213">
        <v>0</v>
      </c>
      <c r="X230" s="213"/>
      <c r="Y230" s="213">
        <v>0</v>
      </c>
      <c r="Z230" s="213"/>
      <c r="AA230" s="213">
        <f>O230</f>
        <v>11178</v>
      </c>
      <c r="AB230" s="213"/>
      <c r="AC230" s="213">
        <v>0</v>
      </c>
      <c r="AD230" s="213"/>
      <c r="AE230" s="213">
        <v>0</v>
      </c>
      <c r="AF230" s="213"/>
      <c r="AG230" s="213">
        <v>0</v>
      </c>
      <c r="AH230" s="213"/>
      <c r="AI230" s="213">
        <v>0</v>
      </c>
      <c r="AJ230" s="213"/>
      <c r="AK230" s="213">
        <v>0</v>
      </c>
      <c r="AL230" s="213"/>
      <c r="AM230" s="213">
        <v>0</v>
      </c>
      <c r="AN230" s="213"/>
      <c r="AO230" s="213"/>
      <c r="AQ230">
        <f>SUM(Q230:AK230)</f>
        <v>11178</v>
      </c>
      <c r="AR230" s="7">
        <f>AQ230-O230</f>
        <v>0</v>
      </c>
      <c r="AT230" s="7">
        <f>O230*SUM(AU230:AV230)</f>
        <v>894.24</v>
      </c>
      <c r="AV230" s="12">
        <f>D230</f>
        <v>0.08</v>
      </c>
      <c r="AW230" s="7">
        <f>O230</f>
        <v>11178</v>
      </c>
      <c r="AX230" s="31">
        <f t="shared" ref="AX230:AX237" si="33">SUM(Q230:AP230)</f>
        <v>11178</v>
      </c>
      <c r="AY230" s="31">
        <f t="shared" ref="AY230:AY237" si="34">+O230-AX230</f>
        <v>0</v>
      </c>
    </row>
    <row r="231" spans="1:51" x14ac:dyDescent="0.2">
      <c r="A231" s="196" t="s">
        <v>9</v>
      </c>
      <c r="B231" s="196"/>
      <c r="C231" s="196"/>
      <c r="D231" s="262">
        <v>0.06</v>
      </c>
      <c r="E231" s="263"/>
      <c r="F231" s="263"/>
      <c r="G231" s="264" t="s">
        <v>114</v>
      </c>
      <c r="H231" s="263" t="s">
        <v>111</v>
      </c>
      <c r="I231" s="263"/>
      <c r="J231" s="264" t="s">
        <v>115</v>
      </c>
      <c r="K231" s="268"/>
      <c r="L231" s="263"/>
      <c r="M231" s="4">
        <v>33728</v>
      </c>
      <c r="N231" s="263"/>
      <c r="O231" s="293">
        <f t="shared" si="32"/>
        <v>25210</v>
      </c>
      <c r="P231" s="213"/>
      <c r="Q231" s="213">
        <v>0</v>
      </c>
      <c r="R231" s="213"/>
      <c r="S231" s="213">
        <v>0</v>
      </c>
      <c r="T231" s="213"/>
      <c r="U231" s="213">
        <v>0</v>
      </c>
      <c r="V231" s="213"/>
      <c r="W231" s="213">
        <v>0</v>
      </c>
      <c r="X231" s="213"/>
      <c r="Y231" s="213">
        <v>0</v>
      </c>
      <c r="Z231" s="213"/>
      <c r="AA231" s="213">
        <v>0</v>
      </c>
      <c r="AB231" s="213"/>
      <c r="AC231" s="213">
        <v>0</v>
      </c>
      <c r="AD231" s="213"/>
      <c r="AE231" s="213">
        <v>0</v>
      </c>
      <c r="AF231" s="213"/>
      <c r="AG231" s="213">
        <v>0</v>
      </c>
      <c r="AH231" s="213"/>
      <c r="AI231" s="213">
        <v>0</v>
      </c>
      <c r="AJ231" s="213"/>
      <c r="AK231" s="213">
        <v>0</v>
      </c>
      <c r="AL231" s="213"/>
      <c r="AM231" s="213">
        <f>+O231</f>
        <v>25210</v>
      </c>
      <c r="AN231" s="213"/>
      <c r="AO231" s="213"/>
      <c r="AQ231">
        <f>SUM(Q231:AK231)</f>
        <v>0</v>
      </c>
      <c r="AR231" s="7">
        <f>AQ231-O231</f>
        <v>-25210</v>
      </c>
      <c r="AT231" s="7">
        <f>O231*SUM(AU231:AV231)</f>
        <v>1512.6</v>
      </c>
      <c r="AV231" s="12">
        <f>D231</f>
        <v>0.06</v>
      </c>
      <c r="AW231" s="7">
        <f>O231</f>
        <v>25210</v>
      </c>
      <c r="AX231" s="31">
        <f t="shared" si="33"/>
        <v>25210</v>
      </c>
      <c r="AY231" s="31">
        <f t="shared" si="34"/>
        <v>0</v>
      </c>
    </row>
    <row r="232" spans="1:51" x14ac:dyDescent="0.2">
      <c r="A232" s="196" t="s">
        <v>9</v>
      </c>
      <c r="B232" s="196"/>
      <c r="C232" s="196"/>
      <c r="D232" s="262">
        <v>0.06</v>
      </c>
      <c r="E232" s="263"/>
      <c r="F232" s="263"/>
      <c r="G232" s="264" t="s">
        <v>114</v>
      </c>
      <c r="H232" s="263" t="s">
        <v>111</v>
      </c>
      <c r="I232" s="263"/>
      <c r="J232" s="264" t="s">
        <v>115</v>
      </c>
      <c r="K232" s="268"/>
      <c r="L232" s="263"/>
      <c r="M232" s="4">
        <v>0</v>
      </c>
      <c r="N232" s="263"/>
      <c r="O232" s="293">
        <f t="shared" si="32"/>
        <v>12285</v>
      </c>
      <c r="P232" s="213"/>
      <c r="Q232" s="213">
        <v>0</v>
      </c>
      <c r="R232" s="213"/>
      <c r="S232" s="213">
        <v>0</v>
      </c>
      <c r="T232" s="213"/>
      <c r="U232" s="213">
        <v>0</v>
      </c>
      <c r="V232" s="213"/>
      <c r="W232" s="213">
        <v>0</v>
      </c>
      <c r="X232" s="213"/>
      <c r="Y232" s="213">
        <v>0</v>
      </c>
      <c r="Z232" s="213"/>
      <c r="AA232" s="213">
        <v>0</v>
      </c>
      <c r="AB232" s="213"/>
      <c r="AC232" s="213">
        <v>0</v>
      </c>
      <c r="AD232" s="213"/>
      <c r="AE232" s="213">
        <v>0</v>
      </c>
      <c r="AF232" s="213"/>
      <c r="AG232" s="213">
        <v>0</v>
      </c>
      <c r="AH232" s="213"/>
      <c r="AI232" s="213">
        <v>0</v>
      </c>
      <c r="AJ232" s="213"/>
      <c r="AK232" s="213">
        <v>0</v>
      </c>
      <c r="AL232" s="213"/>
      <c r="AM232" s="213">
        <f>+O232</f>
        <v>12285</v>
      </c>
      <c r="AN232" s="213"/>
      <c r="AO232" s="213"/>
      <c r="AQ232">
        <f>SUM(Q232:AK232)</f>
        <v>0</v>
      </c>
      <c r="AR232" s="7">
        <f>AQ232-O232</f>
        <v>-12285</v>
      </c>
      <c r="AT232" s="7">
        <f>O232*SUM(AU232:AV232)</f>
        <v>737.1</v>
      </c>
      <c r="AV232" s="12">
        <f>D232</f>
        <v>0.06</v>
      </c>
      <c r="AW232" s="7">
        <f>O232</f>
        <v>12285</v>
      </c>
      <c r="AX232" s="31">
        <f>SUM(Q232:AP232)</f>
        <v>12285</v>
      </c>
      <c r="AY232" s="31">
        <f>+O232-AX232</f>
        <v>0</v>
      </c>
    </row>
    <row r="233" spans="1:51" x14ac:dyDescent="0.2">
      <c r="A233" s="196" t="s">
        <v>9</v>
      </c>
      <c r="B233" s="196"/>
      <c r="C233" s="196"/>
      <c r="D233" s="209">
        <v>3.4000000000000002E-2</v>
      </c>
      <c r="E233" s="196"/>
      <c r="F233" s="196"/>
      <c r="G233" s="265">
        <v>37787</v>
      </c>
      <c r="H233" s="263" t="s">
        <v>111</v>
      </c>
      <c r="I233" s="263"/>
      <c r="J233" s="264" t="s">
        <v>116</v>
      </c>
      <c r="K233" s="263"/>
      <c r="L233" s="263"/>
      <c r="M233" s="4">
        <v>469</v>
      </c>
      <c r="N233" s="263"/>
      <c r="O233" s="293">
        <f t="shared" si="32"/>
        <v>0</v>
      </c>
      <c r="P233" s="293"/>
      <c r="Q233" s="213">
        <v>0</v>
      </c>
      <c r="R233" s="213"/>
      <c r="S233" s="213">
        <v>0</v>
      </c>
      <c r="T233" s="213"/>
      <c r="U233" s="213">
        <v>0</v>
      </c>
      <c r="V233" s="213"/>
      <c r="W233" s="213">
        <f>+O233</f>
        <v>0</v>
      </c>
      <c r="X233" s="213"/>
      <c r="Y233" s="213">
        <v>0</v>
      </c>
      <c r="Z233" s="213"/>
      <c r="AA233" s="213">
        <v>0</v>
      </c>
      <c r="AB233" s="213"/>
      <c r="AC233" s="213">
        <v>0</v>
      </c>
      <c r="AD233" s="213"/>
      <c r="AE233" s="213">
        <v>0</v>
      </c>
      <c r="AF233" s="213"/>
      <c r="AG233" s="213">
        <v>0</v>
      </c>
      <c r="AH233" s="213"/>
      <c r="AI233" s="213">
        <v>0</v>
      </c>
      <c r="AJ233" s="213"/>
      <c r="AK233" s="213">
        <v>0</v>
      </c>
      <c r="AL233" s="213"/>
      <c r="AM233" s="213">
        <v>0</v>
      </c>
      <c r="AN233" s="213"/>
      <c r="AO233" s="213"/>
      <c r="AQ233"/>
      <c r="AX233" s="31">
        <f t="shared" si="33"/>
        <v>0</v>
      </c>
      <c r="AY233" s="31">
        <f t="shared" si="34"/>
        <v>0</v>
      </c>
    </row>
    <row r="234" spans="1:51" x14ac:dyDescent="0.2">
      <c r="A234" s="196" t="s">
        <v>9</v>
      </c>
      <c r="B234" s="196"/>
      <c r="C234" s="196"/>
      <c r="D234" s="209">
        <v>3.4000000000000002E-2</v>
      </c>
      <c r="E234" s="196"/>
      <c r="F234" s="196"/>
      <c r="G234" s="265">
        <v>37787</v>
      </c>
      <c r="H234" s="263" t="s">
        <v>111</v>
      </c>
      <c r="I234" s="263"/>
      <c r="J234" s="264" t="s">
        <v>116</v>
      </c>
      <c r="K234" s="263"/>
      <c r="L234" s="263"/>
      <c r="M234" s="4">
        <v>465</v>
      </c>
      <c r="N234" s="263"/>
      <c r="O234" s="293">
        <f t="shared" si="32"/>
        <v>0</v>
      </c>
      <c r="P234" s="293"/>
      <c r="Q234" s="213">
        <v>0</v>
      </c>
      <c r="R234" s="213"/>
      <c r="S234" s="213">
        <v>0</v>
      </c>
      <c r="T234" s="213"/>
      <c r="U234" s="213">
        <v>0</v>
      </c>
      <c r="V234" s="213"/>
      <c r="W234" s="213">
        <f>+O234</f>
        <v>0</v>
      </c>
      <c r="X234" s="213"/>
      <c r="Y234" s="213">
        <v>0</v>
      </c>
      <c r="Z234" s="213"/>
      <c r="AA234" s="213">
        <v>0</v>
      </c>
      <c r="AB234" s="213"/>
      <c r="AC234" s="213">
        <v>0</v>
      </c>
      <c r="AD234" s="213"/>
      <c r="AE234" s="213">
        <v>0</v>
      </c>
      <c r="AF234" s="213"/>
      <c r="AG234" s="213">
        <v>0</v>
      </c>
      <c r="AH234" s="213"/>
      <c r="AI234" s="213">
        <v>0</v>
      </c>
      <c r="AJ234" s="213"/>
      <c r="AK234" s="213">
        <v>0</v>
      </c>
      <c r="AL234" s="213"/>
      <c r="AM234" s="213">
        <v>0</v>
      </c>
      <c r="AN234" s="213"/>
      <c r="AO234" s="213"/>
      <c r="AQ234"/>
      <c r="AX234" s="31">
        <f t="shared" si="33"/>
        <v>0</v>
      </c>
      <c r="AY234" s="31">
        <f t="shared" si="34"/>
        <v>0</v>
      </c>
    </row>
    <row r="235" spans="1:51" x14ac:dyDescent="0.2">
      <c r="A235" s="196" t="s">
        <v>9</v>
      </c>
      <c r="B235" s="196"/>
      <c r="C235" s="196"/>
      <c r="D235" s="209">
        <v>3.4000000000000002E-2</v>
      </c>
      <c r="E235" s="196"/>
      <c r="F235" s="196"/>
      <c r="G235" s="265">
        <v>38336</v>
      </c>
      <c r="H235" s="263" t="s">
        <v>111</v>
      </c>
      <c r="I235" s="263"/>
      <c r="J235" s="264" t="s">
        <v>116</v>
      </c>
      <c r="K235" s="263"/>
      <c r="L235" s="263"/>
      <c r="M235" s="4">
        <v>0</v>
      </c>
      <c r="N235" s="263"/>
      <c r="O235" s="293">
        <f t="shared" si="32"/>
        <v>1828</v>
      </c>
      <c r="P235" s="293"/>
      <c r="Q235" s="213">
        <v>0</v>
      </c>
      <c r="R235" s="213"/>
      <c r="S235" s="213">
        <v>0</v>
      </c>
      <c r="T235" s="213"/>
      <c r="U235" s="213">
        <v>0</v>
      </c>
      <c r="V235" s="213"/>
      <c r="W235" s="213">
        <f>+O235</f>
        <v>1828</v>
      </c>
      <c r="X235" s="213"/>
      <c r="Y235" s="213">
        <v>0</v>
      </c>
      <c r="Z235" s="213"/>
      <c r="AA235" s="213">
        <v>0</v>
      </c>
      <c r="AB235" s="213"/>
      <c r="AC235" s="213">
        <v>0</v>
      </c>
      <c r="AD235" s="213"/>
      <c r="AE235" s="213">
        <v>0</v>
      </c>
      <c r="AF235" s="213"/>
      <c r="AG235" s="213">
        <v>0</v>
      </c>
      <c r="AH235" s="213"/>
      <c r="AI235" s="213">
        <v>0</v>
      </c>
      <c r="AJ235" s="213"/>
      <c r="AK235" s="213">
        <v>0</v>
      </c>
      <c r="AL235" s="213"/>
      <c r="AM235" s="213">
        <v>0</v>
      </c>
      <c r="AN235" s="213"/>
      <c r="AO235" s="213"/>
      <c r="AQ235"/>
      <c r="AX235" s="31">
        <f>SUM(Q235:AP235)</f>
        <v>1828</v>
      </c>
      <c r="AY235" s="31">
        <f>+O235-AX235</f>
        <v>0</v>
      </c>
    </row>
    <row r="236" spans="1:51" x14ac:dyDescent="0.2">
      <c r="A236" s="196" t="s">
        <v>9</v>
      </c>
      <c r="B236" s="196"/>
      <c r="C236" s="196"/>
      <c r="D236" s="209">
        <v>3.4500000000000003E-2</v>
      </c>
      <c r="E236" s="196"/>
      <c r="F236" s="196"/>
      <c r="G236" s="265">
        <v>38245</v>
      </c>
      <c r="H236" s="263" t="s">
        <v>117</v>
      </c>
      <c r="I236" s="263"/>
      <c r="J236" s="264" t="s">
        <v>116</v>
      </c>
      <c r="K236" s="263"/>
      <c r="L236" s="263"/>
      <c r="M236" s="4">
        <v>1569</v>
      </c>
      <c r="N236" s="263"/>
      <c r="O236" s="293">
        <f t="shared" si="32"/>
        <v>3283</v>
      </c>
      <c r="P236" s="293"/>
      <c r="Q236" s="213">
        <v>0</v>
      </c>
      <c r="R236" s="213"/>
      <c r="S236" s="213">
        <v>0</v>
      </c>
      <c r="T236" s="213"/>
      <c r="U236" s="213">
        <v>0</v>
      </c>
      <c r="V236" s="213"/>
      <c r="W236" s="213">
        <v>0</v>
      </c>
      <c r="X236" s="213"/>
      <c r="Y236" s="213">
        <f>+O236</f>
        <v>3283</v>
      </c>
      <c r="Z236" s="213"/>
      <c r="AA236" s="213">
        <v>0</v>
      </c>
      <c r="AB236" s="213"/>
      <c r="AC236" s="213">
        <v>0</v>
      </c>
      <c r="AD236" s="213"/>
      <c r="AE236" s="213">
        <v>0</v>
      </c>
      <c r="AF236" s="213"/>
      <c r="AG236" s="213">
        <v>0</v>
      </c>
      <c r="AH236" s="213"/>
      <c r="AI236" s="213">
        <v>0</v>
      </c>
      <c r="AJ236" s="213"/>
      <c r="AK236" s="213">
        <v>0</v>
      </c>
      <c r="AL236" s="213"/>
      <c r="AM236" s="213">
        <v>0</v>
      </c>
      <c r="AN236" s="213"/>
      <c r="AO236" s="213"/>
      <c r="AQ236"/>
      <c r="AX236" s="31">
        <f t="shared" si="33"/>
        <v>3283</v>
      </c>
      <c r="AY236" s="31">
        <f t="shared" si="34"/>
        <v>0</v>
      </c>
    </row>
    <row r="237" spans="1:51" x14ac:dyDescent="0.2">
      <c r="A237" s="196" t="s">
        <v>9</v>
      </c>
      <c r="B237" s="196"/>
      <c r="C237" s="196"/>
      <c r="D237" s="209">
        <v>0.1</v>
      </c>
      <c r="E237" s="196"/>
      <c r="F237" s="196"/>
      <c r="G237" s="265">
        <v>41228</v>
      </c>
      <c r="H237" s="263" t="s">
        <v>111</v>
      </c>
      <c r="I237" s="263"/>
      <c r="J237" s="264"/>
      <c r="K237" s="263"/>
      <c r="L237" s="263"/>
      <c r="M237" s="4">
        <v>5718</v>
      </c>
      <c r="N237" s="263"/>
      <c r="O237" s="293">
        <f t="shared" si="32"/>
        <v>0</v>
      </c>
      <c r="P237" s="293"/>
      <c r="Q237" s="213">
        <v>0</v>
      </c>
      <c r="R237" s="213"/>
      <c r="S237" s="213">
        <v>0</v>
      </c>
      <c r="T237" s="213"/>
      <c r="U237" s="213">
        <v>0</v>
      </c>
      <c r="V237" s="213"/>
      <c r="W237" s="213">
        <v>0</v>
      </c>
      <c r="X237" s="213"/>
      <c r="Y237" s="213">
        <v>0</v>
      </c>
      <c r="Z237" s="213"/>
      <c r="AA237" s="213">
        <v>0</v>
      </c>
      <c r="AB237" s="213"/>
      <c r="AC237" s="213">
        <v>0</v>
      </c>
      <c r="AD237" s="213"/>
      <c r="AE237" s="213">
        <v>0</v>
      </c>
      <c r="AF237" s="213"/>
      <c r="AG237" s="213">
        <v>0</v>
      </c>
      <c r="AH237" s="213"/>
      <c r="AI237" s="213">
        <v>0</v>
      </c>
      <c r="AJ237" s="213"/>
      <c r="AK237" s="213">
        <v>0</v>
      </c>
      <c r="AL237" s="213"/>
      <c r="AM237" s="213">
        <f>+O237</f>
        <v>0</v>
      </c>
      <c r="AN237" s="213"/>
      <c r="AO237" s="213"/>
      <c r="AQ237"/>
      <c r="AX237" s="31">
        <f t="shared" si="33"/>
        <v>0</v>
      </c>
      <c r="AY237" s="31">
        <f t="shared" si="34"/>
        <v>0</v>
      </c>
    </row>
    <row r="238" spans="1:51" x14ac:dyDescent="0.2">
      <c r="A238" s="196" t="s">
        <v>9</v>
      </c>
      <c r="B238" s="196"/>
      <c r="C238" s="196"/>
      <c r="D238" s="209">
        <v>3.2000000000000001E-2</v>
      </c>
      <c r="E238" s="196"/>
      <c r="F238" s="196"/>
      <c r="G238" s="265">
        <v>38275</v>
      </c>
      <c r="H238" s="263" t="s">
        <v>111</v>
      </c>
      <c r="I238" s="263"/>
      <c r="J238" s="264" t="s">
        <v>116</v>
      </c>
      <c r="K238" s="263"/>
      <c r="L238" s="263"/>
      <c r="M238" s="4">
        <v>0</v>
      </c>
      <c r="N238" s="263"/>
      <c r="O238" s="293">
        <f t="shared" si="32"/>
        <v>1321</v>
      </c>
      <c r="P238" s="293"/>
      <c r="Q238" s="213">
        <v>0</v>
      </c>
      <c r="R238" s="213"/>
      <c r="S238" s="213">
        <v>0</v>
      </c>
      <c r="T238" s="213"/>
      <c r="U238" s="213">
        <v>0</v>
      </c>
      <c r="V238" s="213"/>
      <c r="W238" s="213">
        <v>0</v>
      </c>
      <c r="X238" s="213"/>
      <c r="Y238" s="213">
        <f>+O238</f>
        <v>1321</v>
      </c>
      <c r="Z238" s="213"/>
      <c r="AA238" s="213">
        <v>0</v>
      </c>
      <c r="AB238" s="213"/>
      <c r="AC238" s="213">
        <v>0</v>
      </c>
      <c r="AD238" s="213"/>
      <c r="AE238" s="213">
        <v>0</v>
      </c>
      <c r="AF238" s="213"/>
      <c r="AG238" s="213">
        <v>0</v>
      </c>
      <c r="AH238" s="213"/>
      <c r="AI238" s="213">
        <v>0</v>
      </c>
      <c r="AJ238" s="213"/>
      <c r="AK238" s="213">
        <v>0</v>
      </c>
      <c r="AL238" s="213"/>
      <c r="AM238" s="213">
        <v>0</v>
      </c>
      <c r="AN238" s="213"/>
      <c r="AO238" s="213"/>
      <c r="AQ238"/>
      <c r="AX238" s="31">
        <f>SUM(Q238:AP238)</f>
        <v>1321</v>
      </c>
      <c r="AY238" s="31">
        <f>+O238-AX238</f>
        <v>0</v>
      </c>
    </row>
    <row r="239" spans="1:51" ht="8.1" customHeight="1" x14ac:dyDescent="0.2">
      <c r="A239" s="102"/>
      <c r="B239" s="102"/>
      <c r="C239" s="102"/>
      <c r="D239" s="32"/>
      <c r="E239" s="7"/>
      <c r="F239" s="7"/>
      <c r="G239" s="80"/>
      <c r="H239" s="81"/>
      <c r="I239" s="81"/>
      <c r="J239" s="78"/>
      <c r="K239" s="81"/>
      <c r="L239" s="81"/>
      <c r="M239" s="128"/>
      <c r="N239" s="81"/>
      <c r="O239" s="128"/>
      <c r="P239" s="79"/>
      <c r="Q239" s="128"/>
      <c r="R239" s="29"/>
      <c r="S239" s="128"/>
      <c r="T239" s="29"/>
      <c r="U239" s="128"/>
      <c r="V239" s="29"/>
      <c r="W239" s="128"/>
      <c r="X239" s="29"/>
      <c r="Y239" s="128"/>
      <c r="Z239" s="29"/>
      <c r="AA239" s="128"/>
      <c r="AB239" s="29"/>
      <c r="AC239" s="128"/>
      <c r="AD239" s="29"/>
      <c r="AE239" s="128"/>
      <c r="AF239" s="29"/>
      <c r="AG239" s="128"/>
      <c r="AH239" s="29"/>
      <c r="AI239" s="128"/>
      <c r="AJ239" s="29"/>
      <c r="AK239" s="128"/>
      <c r="AL239" s="45"/>
      <c r="AM239" s="128"/>
      <c r="AN239" s="29"/>
      <c r="AO239" s="128"/>
      <c r="AQ239"/>
      <c r="AX239" s="128"/>
      <c r="AY239" s="128"/>
    </row>
    <row r="240" spans="1:51" x14ac:dyDescent="0.2">
      <c r="A240" s="102"/>
      <c r="B240" s="102"/>
      <c r="C240" s="102"/>
      <c r="D240" s="32"/>
      <c r="E240" s="7"/>
      <c r="F240" s="7"/>
      <c r="G240" s="80"/>
      <c r="H240" s="81"/>
      <c r="I240" s="81"/>
      <c r="J240" s="78"/>
      <c r="K240" s="81"/>
      <c r="L240" s="81"/>
      <c r="M240" s="45">
        <f>SUM(M229:M239)</f>
        <v>54120</v>
      </c>
      <c r="N240" s="81"/>
      <c r="O240" s="45">
        <f>SUM(O229:O239)</f>
        <v>55105</v>
      </c>
      <c r="P240" s="79"/>
      <c r="Q240" s="45">
        <f>SUM(Q229:Q239)</f>
        <v>0</v>
      </c>
      <c r="R240" s="29"/>
      <c r="S240" s="45">
        <f>SUM(S229:S239)</f>
        <v>0</v>
      </c>
      <c r="T240" s="29"/>
      <c r="U240" s="45">
        <f>SUM(U229:U239)</f>
        <v>0</v>
      </c>
      <c r="V240" s="29"/>
      <c r="W240" s="45">
        <f>SUM(W229:W239)</f>
        <v>1828</v>
      </c>
      <c r="X240" s="29"/>
      <c r="Y240" s="45">
        <f>SUM(Y229:Y239)</f>
        <v>4604</v>
      </c>
      <c r="Z240" s="29"/>
      <c r="AA240" s="45">
        <f>SUM(AA229:AA239)</f>
        <v>11178</v>
      </c>
      <c r="AB240" s="29"/>
      <c r="AC240" s="45">
        <f>SUM(AC229:AC239)</f>
        <v>0</v>
      </c>
      <c r="AD240" s="29"/>
      <c r="AE240" s="45">
        <f>SUM(AE229:AE239)</f>
        <v>0</v>
      </c>
      <c r="AF240" s="29"/>
      <c r="AG240" s="45">
        <f>SUM(AG229:AG239)</f>
        <v>0</v>
      </c>
      <c r="AH240" s="29"/>
      <c r="AI240" s="45">
        <f>SUM(AI229:AI239)</f>
        <v>0</v>
      </c>
      <c r="AJ240" s="29"/>
      <c r="AK240" s="45">
        <f>SUM(AK229:AK239)</f>
        <v>0</v>
      </c>
      <c r="AL240" s="45"/>
      <c r="AM240" s="45">
        <f>SUM(AM229:AM239)</f>
        <v>37495</v>
      </c>
      <c r="AN240" s="29"/>
      <c r="AO240" s="129">
        <f>SUM(AO229:AO239)</f>
        <v>0</v>
      </c>
      <c r="AQ240"/>
      <c r="AX240" s="45">
        <f>SUM(AX229:AX239)</f>
        <v>55105</v>
      </c>
      <c r="AY240" s="45">
        <f>SUM(AY229:AY239)</f>
        <v>0</v>
      </c>
    </row>
    <row r="241" spans="1:51" x14ac:dyDescent="0.2">
      <c r="A241" s="102"/>
      <c r="B241" s="102"/>
      <c r="C241" s="102"/>
      <c r="D241" s="124"/>
      <c r="E241" s="125"/>
      <c r="F241" s="125"/>
      <c r="G241" s="126"/>
      <c r="H241" s="125"/>
      <c r="I241" s="125"/>
      <c r="J241" s="125"/>
      <c r="K241" s="125"/>
      <c r="L241" s="81"/>
      <c r="M241" s="129"/>
      <c r="N241" s="81"/>
      <c r="O241" s="129"/>
      <c r="P241" s="79"/>
      <c r="Q241" s="129">
        <v>0</v>
      </c>
      <c r="R241" s="29"/>
      <c r="S241" s="129">
        <v>0</v>
      </c>
      <c r="T241" s="29"/>
      <c r="U241" s="129">
        <v>0</v>
      </c>
      <c r="V241" s="29"/>
      <c r="W241" s="129">
        <v>0</v>
      </c>
      <c r="X241" s="29"/>
      <c r="Y241" s="129">
        <v>0</v>
      </c>
      <c r="Z241" s="29"/>
      <c r="AA241" s="129">
        <v>0</v>
      </c>
      <c r="AB241" s="29"/>
      <c r="AC241" s="129">
        <v>0</v>
      </c>
      <c r="AD241" s="29"/>
      <c r="AE241" s="129">
        <v>0</v>
      </c>
      <c r="AF241" s="29"/>
      <c r="AG241" s="129">
        <v>0</v>
      </c>
      <c r="AH241" s="29"/>
      <c r="AI241" s="129">
        <v>0</v>
      </c>
      <c r="AJ241" s="29"/>
      <c r="AK241" s="129">
        <f>O241</f>
        <v>0</v>
      </c>
      <c r="AL241" s="129"/>
      <c r="AM241" s="129">
        <f>Q241</f>
        <v>0</v>
      </c>
      <c r="AN241" s="29"/>
      <c r="AO241" s="129">
        <v>0</v>
      </c>
      <c r="AQ241"/>
      <c r="AX241" s="31">
        <f>SUM(Q241:AP241)</f>
        <v>0</v>
      </c>
      <c r="AY241" s="31">
        <f>+O241-AX241</f>
        <v>0</v>
      </c>
    </row>
    <row r="242" spans="1:51" x14ac:dyDescent="0.2">
      <c r="A242" s="102">
        <v>531</v>
      </c>
      <c r="B242" s="102"/>
      <c r="C242" s="102"/>
      <c r="D242" s="100" t="s">
        <v>167</v>
      </c>
      <c r="E242" s="102"/>
      <c r="F242" s="102"/>
      <c r="G242" s="130">
        <v>40825</v>
      </c>
      <c r="H242" s="125" t="s">
        <v>10</v>
      </c>
      <c r="I242" s="125"/>
      <c r="J242" s="126"/>
      <c r="K242" s="125"/>
      <c r="L242" s="81"/>
      <c r="M242" s="4">
        <v>13475</v>
      </c>
      <c r="N242" s="81"/>
      <c r="O242" s="129">
        <v>13475</v>
      </c>
      <c r="P242" s="79"/>
      <c r="Q242" s="4">
        <v>0</v>
      </c>
      <c r="R242" s="29"/>
      <c r="S242" s="4">
        <v>0</v>
      </c>
      <c r="T242" s="29"/>
      <c r="U242" s="4">
        <v>0</v>
      </c>
      <c r="V242" s="29"/>
      <c r="W242" s="4">
        <v>0</v>
      </c>
      <c r="X242" s="29"/>
      <c r="Y242" s="4">
        <v>0</v>
      </c>
      <c r="Z242" s="29"/>
      <c r="AA242" s="4">
        <v>0</v>
      </c>
      <c r="AB242" s="29"/>
      <c r="AC242" s="4">
        <v>0</v>
      </c>
      <c r="AD242" s="29"/>
      <c r="AE242" s="4">
        <v>0</v>
      </c>
      <c r="AF242" s="29"/>
      <c r="AG242" s="29">
        <v>0</v>
      </c>
      <c r="AH242" s="29"/>
      <c r="AI242" s="4">
        <v>0</v>
      </c>
      <c r="AJ242" s="29"/>
      <c r="AK242" s="4">
        <v>0</v>
      </c>
      <c r="AL242" s="4"/>
      <c r="AM242" s="4">
        <f>+O242</f>
        <v>13475</v>
      </c>
      <c r="AN242" s="29"/>
      <c r="AO242" s="4"/>
      <c r="AQ242"/>
      <c r="AX242" s="31">
        <f>SUM(Q242:AP242)</f>
        <v>13475</v>
      </c>
      <c r="AY242" s="31">
        <f>+O242-AX242</f>
        <v>0</v>
      </c>
    </row>
    <row r="243" spans="1:51" ht="8.1" customHeight="1" x14ac:dyDescent="0.2">
      <c r="A243" s="102"/>
      <c r="B243" s="102"/>
      <c r="C243" s="102"/>
      <c r="D243" s="124"/>
      <c r="E243" s="125"/>
      <c r="F243" s="125"/>
      <c r="G243" s="126"/>
      <c r="H243" s="102"/>
      <c r="I243" s="125"/>
      <c r="J243" s="126"/>
      <c r="K243" s="127"/>
      <c r="L243" s="81"/>
      <c r="M243" s="114"/>
      <c r="N243" s="81"/>
      <c r="O243" s="114"/>
      <c r="P243" s="79"/>
      <c r="Q243" s="114"/>
      <c r="R243" s="29"/>
      <c r="S243" s="114"/>
      <c r="T243" s="29"/>
      <c r="U243" s="114"/>
      <c r="V243" s="29"/>
      <c r="W243" s="114"/>
      <c r="X243" s="29"/>
      <c r="Y243" s="114"/>
      <c r="Z243" s="29"/>
      <c r="AA243" s="114"/>
      <c r="AB243" s="29"/>
      <c r="AC243" s="114"/>
      <c r="AD243" s="29"/>
      <c r="AE243" s="114"/>
      <c r="AF243" s="29"/>
      <c r="AG243" s="114"/>
      <c r="AH243" s="29"/>
      <c r="AI243" s="114"/>
      <c r="AJ243" s="29"/>
      <c r="AK243" s="114"/>
      <c r="AL243" s="107"/>
      <c r="AM243" s="114"/>
      <c r="AN243" s="29"/>
      <c r="AO243" s="114"/>
      <c r="AQ243"/>
      <c r="AX243" s="114"/>
      <c r="AY243" s="114"/>
    </row>
    <row r="244" spans="1:51" x14ac:dyDescent="0.2">
      <c r="A244" s="102"/>
      <c r="B244" s="102"/>
      <c r="C244" s="102"/>
      <c r="D244" s="124"/>
      <c r="E244" s="125"/>
      <c r="F244" s="125"/>
      <c r="G244" s="126"/>
      <c r="H244" s="102"/>
      <c r="I244" s="125"/>
      <c r="J244" s="126"/>
      <c r="K244" s="127"/>
      <c r="L244" s="81"/>
      <c r="M244" s="3">
        <f>SUM(M240:M243)</f>
        <v>67595</v>
      </c>
      <c r="N244" s="81"/>
      <c r="O244" s="3">
        <f>SUM(O240:O243)</f>
        <v>68580</v>
      </c>
      <c r="P244" s="79"/>
      <c r="Q244" s="3">
        <f>SUM(Q240:Q243)</f>
        <v>0</v>
      </c>
      <c r="R244" s="29"/>
      <c r="S244" s="3">
        <f>SUM(S240:S243)</f>
        <v>0</v>
      </c>
      <c r="T244" s="29"/>
      <c r="U244" s="3">
        <f>SUM(U240:U243)</f>
        <v>0</v>
      </c>
      <c r="V244" s="29"/>
      <c r="W244" s="3">
        <f>SUM(W240:W243)</f>
        <v>1828</v>
      </c>
      <c r="X244" s="29"/>
      <c r="Y244" s="3">
        <f>SUM(Y240:Y243)</f>
        <v>4604</v>
      </c>
      <c r="Z244" s="29"/>
      <c r="AA244" s="3">
        <f>SUM(AA240:AA243)</f>
        <v>11178</v>
      </c>
      <c r="AB244" s="29"/>
      <c r="AC244" s="3">
        <f>SUM(AC240:AC243)</f>
        <v>0</v>
      </c>
      <c r="AD244" s="29"/>
      <c r="AE244" s="3">
        <f>SUM(AE240:AE243)</f>
        <v>0</v>
      </c>
      <c r="AF244" s="29"/>
      <c r="AG244" s="3">
        <f>SUM(AG240:AG243)</f>
        <v>0</v>
      </c>
      <c r="AH244" s="29"/>
      <c r="AI244" s="3">
        <f>SUM(AI240:AI243)</f>
        <v>0</v>
      </c>
      <c r="AJ244" s="29"/>
      <c r="AK244" s="3">
        <f>SUM(AK240:AK243)</f>
        <v>0</v>
      </c>
      <c r="AL244" s="3"/>
      <c r="AM244" s="3">
        <f>SUM(AM240:AM243)</f>
        <v>50970</v>
      </c>
      <c r="AN244" s="29"/>
      <c r="AO244" s="3">
        <f>SUM(AO240:AO243)</f>
        <v>0</v>
      </c>
      <c r="AQ244"/>
      <c r="AX244" s="3">
        <f>SUM(AX240:AX243)</f>
        <v>68580</v>
      </c>
      <c r="AY244" s="3">
        <f>SUM(AY240:AY243)</f>
        <v>0</v>
      </c>
    </row>
    <row r="245" spans="1:51" x14ac:dyDescent="0.2">
      <c r="A245" s="102"/>
      <c r="B245" s="102"/>
      <c r="C245" s="102"/>
      <c r="D245" s="124"/>
      <c r="E245" s="125"/>
      <c r="F245" s="125"/>
      <c r="G245" s="126"/>
      <c r="H245" s="102" t="s">
        <v>159</v>
      </c>
      <c r="I245" s="125"/>
      <c r="J245" s="126"/>
      <c r="K245" s="127"/>
      <c r="L245" s="81"/>
      <c r="M245" s="3">
        <v>-2087</v>
      </c>
      <c r="N245" s="81"/>
      <c r="O245" s="129">
        <v>0</v>
      </c>
      <c r="P245" s="79"/>
      <c r="Q245" s="3">
        <f>IF(Q240=0,0,ROUND(Q244/$O244*$O245,0))</f>
        <v>0</v>
      </c>
      <c r="R245" s="29"/>
      <c r="S245" s="3">
        <f>IF(S240=0,0,ROUND(S244/$O244*$O245,0))</f>
        <v>0</v>
      </c>
      <c r="T245" s="29"/>
      <c r="U245" s="3">
        <f>IF(U240=0,0,ROUND(U244/$O244*$O245,0))</f>
        <v>0</v>
      </c>
      <c r="V245" s="29"/>
      <c r="W245" s="3">
        <f>IF(W240=0,0,ROUND(W244/$O244*$O245,0))</f>
        <v>0</v>
      </c>
      <c r="X245" s="29"/>
      <c r="Y245" s="3">
        <f>IF(Y240=0,0,ROUND(Y244/$O244*$O245,0))</f>
        <v>0</v>
      </c>
      <c r="Z245" s="29"/>
      <c r="AA245" s="3">
        <f>IF(AA240=0,0,ROUND(AA244/$O244*$O245,0))</f>
        <v>0</v>
      </c>
      <c r="AB245" s="29"/>
      <c r="AC245" s="3">
        <f>IF(AC240=0,0,ROUND(AC244/$O244*$O245,0))</f>
        <v>0</v>
      </c>
      <c r="AD245" s="29"/>
      <c r="AE245" s="3">
        <f>IF(AE240=0,0,ROUND(AE244/$O244*$O245,0))</f>
        <v>0</v>
      </c>
      <c r="AF245" s="29"/>
      <c r="AG245" s="3">
        <f>IF(AG240=0,0,ROUND(AG244/$O244*$O245,0))</f>
        <v>0</v>
      </c>
      <c r="AH245" s="29"/>
      <c r="AI245" s="3">
        <f>IF(AI240=0,0,ROUND(AI244/$O244*$O245,0))</f>
        <v>0</v>
      </c>
      <c r="AJ245" s="29"/>
      <c r="AK245" s="3">
        <f>IF(AK240=0,0,ROUND(AK244/$O244*$O245,0))</f>
        <v>0</v>
      </c>
      <c r="AL245" s="3"/>
      <c r="AM245" s="3">
        <f>IF(AM240=0,0,ROUND(AM244/$O244*$O245,0))</f>
        <v>0</v>
      </c>
      <c r="AN245" s="29"/>
      <c r="AO245" s="3">
        <f>IF(AO240=0,0,ROUND(AO244/$O244*$O245,0))</f>
        <v>0</v>
      </c>
      <c r="AQ245"/>
      <c r="AX245" s="31">
        <f>SUM(Q245:AP245)</f>
        <v>0</v>
      </c>
      <c r="AY245" s="31">
        <f>+O245-AX245</f>
        <v>0</v>
      </c>
    </row>
    <row r="246" spans="1:51" x14ac:dyDescent="0.2">
      <c r="A246" s="102"/>
      <c r="B246" s="102"/>
      <c r="C246" s="102"/>
      <c r="D246" s="124"/>
      <c r="E246" s="125"/>
      <c r="F246" s="125"/>
      <c r="G246" s="126"/>
      <c r="H246" s="102" t="s">
        <v>160</v>
      </c>
      <c r="I246" s="125"/>
      <c r="J246" s="126"/>
      <c r="K246" s="127"/>
      <c r="L246" s="81"/>
      <c r="M246" s="129">
        <v>212</v>
      </c>
      <c r="N246" s="81"/>
      <c r="O246" s="129">
        <v>0</v>
      </c>
      <c r="P246" s="79"/>
      <c r="Q246" s="129">
        <v>0</v>
      </c>
      <c r="R246" s="29"/>
      <c r="S246" s="129">
        <v>0</v>
      </c>
      <c r="T246" s="29"/>
      <c r="U246" s="129">
        <v>0</v>
      </c>
      <c r="V246" s="29"/>
      <c r="W246" s="129">
        <v>0</v>
      </c>
      <c r="X246" s="29"/>
      <c r="Y246" s="129">
        <v>0</v>
      </c>
      <c r="Z246" s="29"/>
      <c r="AA246" s="129">
        <v>0</v>
      </c>
      <c r="AB246" s="29"/>
      <c r="AC246" s="129">
        <v>0</v>
      </c>
      <c r="AD246" s="29"/>
      <c r="AE246" s="129">
        <v>0</v>
      </c>
      <c r="AF246" s="29"/>
      <c r="AG246" s="129">
        <v>0</v>
      </c>
      <c r="AH246" s="29"/>
      <c r="AI246" s="129">
        <v>0</v>
      </c>
      <c r="AJ246" s="29"/>
      <c r="AK246" s="129">
        <v>0</v>
      </c>
      <c r="AL246" s="129"/>
      <c r="AM246" s="129">
        <v>0</v>
      </c>
      <c r="AN246" s="29"/>
      <c r="AO246" s="129">
        <v>0</v>
      </c>
      <c r="AQ246"/>
      <c r="AX246" s="31">
        <f>SUM(Q246:AP246)</f>
        <v>0</v>
      </c>
      <c r="AY246" s="31">
        <f>+O246-AX246</f>
        <v>0</v>
      </c>
    </row>
    <row r="247" spans="1:51" ht="8.1" customHeight="1" x14ac:dyDescent="0.2">
      <c r="A247" s="102"/>
      <c r="B247" s="102"/>
      <c r="C247" s="102"/>
      <c r="D247" s="124"/>
      <c r="E247" s="125"/>
      <c r="F247" s="125"/>
      <c r="G247" s="126"/>
      <c r="H247" s="102"/>
      <c r="I247" s="125"/>
      <c r="J247" s="126"/>
      <c r="K247" s="127"/>
      <c r="L247" s="81"/>
      <c r="M247" s="128"/>
      <c r="N247" s="81"/>
      <c r="O247" s="128"/>
      <c r="P247" s="79"/>
      <c r="Q247" s="128"/>
      <c r="R247" s="29"/>
      <c r="S247" s="128"/>
      <c r="T247" s="29"/>
      <c r="U247" s="128"/>
      <c r="V247" s="29"/>
      <c r="W247" s="128"/>
      <c r="X247" s="29"/>
      <c r="Y247" s="128"/>
      <c r="Z247" s="29"/>
      <c r="AA247" s="128"/>
      <c r="AB247" s="29"/>
      <c r="AC247" s="128"/>
      <c r="AD247" s="29"/>
      <c r="AE247" s="128"/>
      <c r="AF247" s="29"/>
      <c r="AG247" s="128"/>
      <c r="AH247" s="29"/>
      <c r="AI247" s="128"/>
      <c r="AJ247" s="29"/>
      <c r="AK247" s="128"/>
      <c r="AL247" s="45"/>
      <c r="AM247" s="128"/>
      <c r="AN247" s="29"/>
      <c r="AO247" s="128"/>
      <c r="AQ247"/>
      <c r="AX247" s="128"/>
      <c r="AY247" s="128"/>
    </row>
    <row r="248" spans="1:51" ht="12.75" x14ac:dyDescent="0.2">
      <c r="A248" s="102"/>
      <c r="B248" s="102"/>
      <c r="C248" s="102"/>
      <c r="D248" s="123" t="s">
        <v>143</v>
      </c>
      <c r="E248" s="7"/>
      <c r="F248" s="7"/>
      <c r="G248" s="54"/>
      <c r="H248" s="81"/>
      <c r="I248" s="81"/>
      <c r="J248" s="78"/>
      <c r="K248" s="81"/>
      <c r="L248" s="81"/>
      <c r="M248" s="45">
        <f>SUM(M244:M247)</f>
        <v>65720</v>
      </c>
      <c r="N248" s="81"/>
      <c r="O248" s="45">
        <f>SUM(O244:O247)</f>
        <v>68580</v>
      </c>
      <c r="P248" s="79"/>
      <c r="Q248" s="45">
        <f>SUM(Q244:Q247)</f>
        <v>0</v>
      </c>
      <c r="R248" s="29"/>
      <c r="S248" s="45">
        <f>SUM(S244:S247)</f>
        <v>0</v>
      </c>
      <c r="T248" s="29"/>
      <c r="U248" s="45">
        <f>SUM(U244:U247)</f>
        <v>0</v>
      </c>
      <c r="V248" s="29"/>
      <c r="W248" s="45">
        <f>SUM(W244:W247)</f>
        <v>1828</v>
      </c>
      <c r="X248" s="29"/>
      <c r="Y248" s="45">
        <f>SUM(Y244:Y247)</f>
        <v>4604</v>
      </c>
      <c r="Z248" s="29"/>
      <c r="AA248" s="45">
        <f>SUM(AA244:AA247)</f>
        <v>11178</v>
      </c>
      <c r="AB248" s="29"/>
      <c r="AC248" s="45">
        <f>SUM(AC244:AC247)</f>
        <v>0</v>
      </c>
      <c r="AD248" s="29"/>
      <c r="AE248" s="45">
        <f>SUM(AE244:AE247)</f>
        <v>0</v>
      </c>
      <c r="AF248" s="29"/>
      <c r="AG248" s="45">
        <f>SUM(AG244:AG247)</f>
        <v>0</v>
      </c>
      <c r="AH248" s="29"/>
      <c r="AI248" s="45">
        <f>SUM(AI244:AI247)</f>
        <v>0</v>
      </c>
      <c r="AJ248" s="29"/>
      <c r="AK248" s="45">
        <f>SUM(AK244:AK247)</f>
        <v>0</v>
      </c>
      <c r="AL248" s="45"/>
      <c r="AM248" s="45">
        <f>SUM(AM244:AM247)</f>
        <v>50970</v>
      </c>
      <c r="AN248" s="29"/>
      <c r="AO248" s="45">
        <f>SUM(AO244:AO247)</f>
        <v>0</v>
      </c>
      <c r="AU248" s="7"/>
      <c r="AV248" s="7"/>
      <c r="AX248" s="45">
        <f>SUM(AX244:AX247)</f>
        <v>68580</v>
      </c>
      <c r="AY248" s="45">
        <f>SUM(AY244:AY247)</f>
        <v>0</v>
      </c>
    </row>
    <row r="249" spans="1:51" ht="13.5" thickBot="1" x14ac:dyDescent="0.25">
      <c r="A249" s="102"/>
      <c r="B249" s="102"/>
      <c r="C249" s="102"/>
      <c r="D249" s="32"/>
      <c r="E249" s="7"/>
      <c r="F249" s="7"/>
      <c r="G249" s="80"/>
      <c r="H249" s="81"/>
      <c r="I249" s="81"/>
      <c r="J249" s="78"/>
      <c r="K249" s="81"/>
      <c r="L249" s="81"/>
      <c r="M249" s="81"/>
      <c r="N249" s="81"/>
      <c r="O249" s="45"/>
      <c r="P249" s="7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U249" s="7"/>
      <c r="AV249" s="7"/>
    </row>
    <row r="250" spans="1:51" x14ac:dyDescent="0.2">
      <c r="A250" s="215"/>
      <c r="B250" s="216"/>
      <c r="C250" s="216"/>
      <c r="D250" s="246" t="s">
        <v>235</v>
      </c>
      <c r="E250" s="247"/>
      <c r="F250" s="247"/>
      <c r="G250" s="248"/>
      <c r="H250" s="173"/>
      <c r="I250" s="174"/>
      <c r="J250" s="173"/>
      <c r="K250" s="248"/>
      <c r="L250" s="173"/>
      <c r="M250" s="249"/>
      <c r="N250" s="173"/>
      <c r="O250" s="250"/>
      <c r="P250" s="222"/>
      <c r="Q250" s="249"/>
      <c r="R250" s="222"/>
      <c r="S250" s="249"/>
      <c r="T250" s="222"/>
      <c r="U250" s="249"/>
      <c r="V250" s="222"/>
      <c r="W250" s="249"/>
      <c r="X250" s="222"/>
      <c r="Y250" s="249"/>
      <c r="Z250" s="222"/>
      <c r="AA250" s="249"/>
      <c r="AB250" s="222"/>
      <c r="AC250" s="249"/>
      <c r="AD250" s="222"/>
      <c r="AE250" s="249"/>
      <c r="AF250" s="222"/>
      <c r="AG250" s="249"/>
      <c r="AH250" s="222"/>
      <c r="AI250" s="249"/>
      <c r="AJ250" s="222"/>
      <c r="AK250" s="222"/>
      <c r="AL250" s="222"/>
      <c r="AM250" s="222"/>
      <c r="AN250" s="222"/>
      <c r="AO250" s="222"/>
      <c r="AP250" s="173"/>
      <c r="AQ250" s="178"/>
      <c r="AR250" s="173"/>
      <c r="AS250" s="224"/>
      <c r="AT250" s="173"/>
      <c r="AU250" s="226"/>
      <c r="AV250" s="180"/>
      <c r="AW250" s="173"/>
      <c r="AX250" s="173"/>
      <c r="AY250" s="251"/>
    </row>
    <row r="251" spans="1:51" x14ac:dyDescent="0.2">
      <c r="A251" s="239"/>
      <c r="B251" s="205"/>
      <c r="C251" s="205"/>
      <c r="D251" s="279" t="s">
        <v>164</v>
      </c>
      <c r="E251" s="242"/>
      <c r="F251" s="242"/>
      <c r="G251" s="286" t="s">
        <v>240</v>
      </c>
      <c r="H251" s="205"/>
      <c r="I251" s="259"/>
      <c r="J251" s="205"/>
      <c r="K251" s="285" t="s">
        <v>178</v>
      </c>
      <c r="L251" s="205"/>
      <c r="M251" s="203">
        <v>0</v>
      </c>
      <c r="N251" s="205"/>
      <c r="O251" s="201">
        <v>0</v>
      </c>
      <c r="P251" s="204"/>
      <c r="Q251" s="203">
        <f>+O251</f>
        <v>0</v>
      </c>
      <c r="R251" s="204"/>
      <c r="S251" s="203">
        <v>0</v>
      </c>
      <c r="T251" s="204"/>
      <c r="U251" s="203">
        <v>0</v>
      </c>
      <c r="V251" s="204"/>
      <c r="W251" s="203">
        <v>0</v>
      </c>
      <c r="X251" s="204"/>
      <c r="Y251" s="203">
        <v>0</v>
      </c>
      <c r="Z251" s="204"/>
      <c r="AA251" s="203">
        <v>0</v>
      </c>
      <c r="AB251" s="204"/>
      <c r="AC251" s="203">
        <v>0</v>
      </c>
      <c r="AD251" s="204"/>
      <c r="AE251" s="203">
        <v>0</v>
      </c>
      <c r="AF251" s="204"/>
      <c r="AG251" s="203">
        <v>0</v>
      </c>
      <c r="AH251" s="204"/>
      <c r="AI251" s="203">
        <v>0</v>
      </c>
      <c r="AJ251" s="204"/>
      <c r="AK251" s="204">
        <v>0</v>
      </c>
      <c r="AL251" s="204"/>
      <c r="AM251" s="204">
        <v>0</v>
      </c>
      <c r="AN251" s="204"/>
      <c r="AO251" s="204">
        <v>0</v>
      </c>
      <c r="AP251" s="205"/>
      <c r="AQ251" s="38"/>
      <c r="AR251" s="30"/>
      <c r="AS251" s="60"/>
      <c r="AT251" s="30"/>
      <c r="AU251" s="61"/>
      <c r="AV251" s="165"/>
      <c r="AW251" s="30"/>
      <c r="AX251" s="166">
        <f>SUM(Q251:AP251)</f>
        <v>0</v>
      </c>
      <c r="AY251" s="183">
        <f>+O251-AX251</f>
        <v>0</v>
      </c>
    </row>
    <row r="252" spans="1:51" x14ac:dyDescent="0.2">
      <c r="A252" s="228" t="s">
        <v>163</v>
      </c>
      <c r="B252" s="162"/>
      <c r="C252" s="162" t="s">
        <v>242</v>
      </c>
      <c r="D252" s="167">
        <v>7.5600000000000001E-2</v>
      </c>
      <c r="E252" s="132"/>
      <c r="F252" s="132"/>
      <c r="G252" s="280" t="s">
        <v>171</v>
      </c>
      <c r="H252" s="162" t="s">
        <v>164</v>
      </c>
      <c r="I252" s="280"/>
      <c r="J252" s="162"/>
      <c r="K252" s="271">
        <f>902899000/110723812</f>
        <v>8.1545151281460573</v>
      </c>
      <c r="L252" s="30"/>
      <c r="M252" s="105">
        <v>10000</v>
      </c>
      <c r="N252" s="30"/>
      <c r="O252" s="105">
        <v>10000</v>
      </c>
      <c r="P252" s="28"/>
      <c r="Q252" s="105">
        <f>+O252</f>
        <v>10000</v>
      </c>
      <c r="R252" s="28"/>
      <c r="S252" s="105">
        <v>0</v>
      </c>
      <c r="T252" s="28"/>
      <c r="U252" s="105">
        <v>0</v>
      </c>
      <c r="V252" s="28"/>
      <c r="W252" s="105">
        <v>0</v>
      </c>
      <c r="X252" s="28"/>
      <c r="Y252" s="105">
        <v>0</v>
      </c>
      <c r="Z252" s="28"/>
      <c r="AA252" s="105">
        <v>0</v>
      </c>
      <c r="AB252" s="28"/>
      <c r="AC252" s="105">
        <v>0</v>
      </c>
      <c r="AD252" s="28"/>
      <c r="AE252" s="105">
        <v>0</v>
      </c>
      <c r="AF252" s="28"/>
      <c r="AG252" s="105">
        <v>0</v>
      </c>
      <c r="AH252" s="28"/>
      <c r="AI252" s="105">
        <v>0</v>
      </c>
      <c r="AJ252" s="28"/>
      <c r="AK252" s="105">
        <v>0</v>
      </c>
      <c r="AL252" s="105"/>
      <c r="AM252" s="105">
        <v>0</v>
      </c>
      <c r="AN252" s="28"/>
      <c r="AO252" s="105">
        <v>0</v>
      </c>
      <c r="AP252" s="205"/>
      <c r="AQ252" s="38"/>
      <c r="AR252" s="30"/>
      <c r="AS252" s="60"/>
      <c r="AT252" s="30"/>
      <c r="AU252" s="61"/>
      <c r="AV252" s="165"/>
      <c r="AW252" s="30"/>
      <c r="AX252" s="166">
        <f t="shared" ref="AX252:AX268" si="35">SUM(Q252:AP252)</f>
        <v>10000</v>
      </c>
      <c r="AY252" s="183">
        <f t="shared" ref="AY252:AY268" si="36">+O252-AX252</f>
        <v>0</v>
      </c>
    </row>
    <row r="253" spans="1:51" x14ac:dyDescent="0.2">
      <c r="A253" s="228" t="s">
        <v>163</v>
      </c>
      <c r="B253" s="162"/>
      <c r="C253" s="162" t="s">
        <v>242</v>
      </c>
      <c r="D253" s="167">
        <v>7.5600000000000001E-2</v>
      </c>
      <c r="E253" s="132"/>
      <c r="F253" s="132"/>
      <c r="G253" s="280" t="s">
        <v>172</v>
      </c>
      <c r="H253" s="162" t="s">
        <v>164</v>
      </c>
      <c r="I253" s="280"/>
      <c r="J253" s="162"/>
      <c r="K253" s="284">
        <f>+K$252</f>
        <v>8.1545151281460573</v>
      </c>
      <c r="L253" s="30"/>
      <c r="M253" s="105">
        <v>10000</v>
      </c>
      <c r="N253" s="30"/>
      <c r="O253" s="105">
        <v>10000</v>
      </c>
      <c r="P253" s="28"/>
      <c r="Q253" s="105">
        <f t="shared" ref="Q253:Q268" si="37">+O253</f>
        <v>10000</v>
      </c>
      <c r="R253" s="28"/>
      <c r="S253" s="105">
        <v>0</v>
      </c>
      <c r="T253" s="28"/>
      <c r="U253" s="105">
        <v>0</v>
      </c>
      <c r="V253" s="28"/>
      <c r="W253" s="105">
        <v>0</v>
      </c>
      <c r="X253" s="28"/>
      <c r="Y253" s="105">
        <v>0</v>
      </c>
      <c r="Z253" s="28"/>
      <c r="AA253" s="105">
        <v>0</v>
      </c>
      <c r="AB253" s="28"/>
      <c r="AC253" s="105">
        <v>0</v>
      </c>
      <c r="AD253" s="28"/>
      <c r="AE253" s="105">
        <v>0</v>
      </c>
      <c r="AF253" s="28"/>
      <c r="AG253" s="105">
        <v>0</v>
      </c>
      <c r="AH253" s="28"/>
      <c r="AI253" s="105">
        <v>0</v>
      </c>
      <c r="AJ253" s="28"/>
      <c r="AK253" s="105">
        <v>0</v>
      </c>
      <c r="AL253" s="105"/>
      <c r="AM253" s="105">
        <v>0</v>
      </c>
      <c r="AN253" s="28"/>
      <c r="AO253" s="105">
        <v>0</v>
      </c>
      <c r="AP253" s="205"/>
      <c r="AQ253" s="38"/>
      <c r="AR253" s="30"/>
      <c r="AS253" s="60"/>
      <c r="AT253" s="30"/>
      <c r="AU253" s="61"/>
      <c r="AV253" s="165"/>
      <c r="AW253" s="30"/>
      <c r="AX253" s="166">
        <f t="shared" si="35"/>
        <v>10000</v>
      </c>
      <c r="AY253" s="183">
        <f t="shared" si="36"/>
        <v>0</v>
      </c>
    </row>
    <row r="254" spans="1:51" x14ac:dyDescent="0.2">
      <c r="A254" s="228" t="s">
        <v>163</v>
      </c>
      <c r="B254" s="162"/>
      <c r="C254" s="162" t="s">
        <v>242</v>
      </c>
      <c r="D254" s="167">
        <v>7.5600000000000001E-2</v>
      </c>
      <c r="E254" s="132"/>
      <c r="F254" s="132"/>
      <c r="G254" s="280" t="s">
        <v>173</v>
      </c>
      <c r="H254" s="162" t="s">
        <v>164</v>
      </c>
      <c r="I254" s="280"/>
      <c r="J254" s="162"/>
      <c r="K254" s="284">
        <f t="shared" ref="K254:K268" si="38">+K$252</f>
        <v>8.1545151281460573</v>
      </c>
      <c r="L254" s="30"/>
      <c r="M254" s="105">
        <v>5000</v>
      </c>
      <c r="N254" s="30"/>
      <c r="O254" s="105">
        <v>5000</v>
      </c>
      <c r="P254" s="28"/>
      <c r="Q254" s="105">
        <f t="shared" si="37"/>
        <v>5000</v>
      </c>
      <c r="R254" s="28"/>
      <c r="S254" s="105">
        <v>0</v>
      </c>
      <c r="T254" s="28"/>
      <c r="U254" s="105">
        <v>0</v>
      </c>
      <c r="V254" s="28"/>
      <c r="W254" s="105">
        <v>0</v>
      </c>
      <c r="X254" s="28"/>
      <c r="Y254" s="105">
        <v>0</v>
      </c>
      <c r="Z254" s="28"/>
      <c r="AA254" s="105">
        <v>0</v>
      </c>
      <c r="AB254" s="28"/>
      <c r="AC254" s="105">
        <v>0</v>
      </c>
      <c r="AD254" s="28"/>
      <c r="AE254" s="105">
        <v>0</v>
      </c>
      <c r="AF254" s="28"/>
      <c r="AG254" s="105">
        <v>0</v>
      </c>
      <c r="AH254" s="28"/>
      <c r="AI254" s="105">
        <v>0</v>
      </c>
      <c r="AJ254" s="28"/>
      <c r="AK254" s="105">
        <v>0</v>
      </c>
      <c r="AL254" s="105"/>
      <c r="AM254" s="105">
        <v>0</v>
      </c>
      <c r="AN254" s="28"/>
      <c r="AO254" s="105">
        <v>0</v>
      </c>
      <c r="AP254" s="205"/>
      <c r="AQ254" s="38"/>
      <c r="AR254" s="30"/>
      <c r="AS254" s="60"/>
      <c r="AT254" s="30"/>
      <c r="AU254" s="61"/>
      <c r="AV254" s="165"/>
      <c r="AW254" s="30"/>
      <c r="AX254" s="166">
        <f t="shared" si="35"/>
        <v>5000</v>
      </c>
      <c r="AY254" s="183">
        <f t="shared" si="36"/>
        <v>0</v>
      </c>
    </row>
    <row r="255" spans="1:51" x14ac:dyDescent="0.2">
      <c r="A255" s="228" t="s">
        <v>163</v>
      </c>
      <c r="B255" s="162"/>
      <c r="C255" s="162" t="s">
        <v>242</v>
      </c>
      <c r="D255" s="167">
        <v>6.2100000000000002E-2</v>
      </c>
      <c r="E255" s="132"/>
      <c r="F255" s="132"/>
      <c r="G255" s="280" t="s">
        <v>174</v>
      </c>
      <c r="H255" s="162" t="s">
        <v>164</v>
      </c>
      <c r="I255" s="280"/>
      <c r="J255" s="162"/>
      <c r="K255" s="284">
        <f t="shared" si="38"/>
        <v>8.1545151281460573</v>
      </c>
      <c r="L255" s="30"/>
      <c r="M255" s="105">
        <v>61000</v>
      </c>
      <c r="N255" s="30"/>
      <c r="O255" s="105">
        <v>61000</v>
      </c>
      <c r="P255" s="28"/>
      <c r="Q255" s="105">
        <f t="shared" si="37"/>
        <v>61000</v>
      </c>
      <c r="R255" s="28"/>
      <c r="S255" s="105">
        <v>0</v>
      </c>
      <c r="T255" s="28"/>
      <c r="U255" s="105">
        <v>0</v>
      </c>
      <c r="V255" s="28"/>
      <c r="W255" s="105">
        <v>0</v>
      </c>
      <c r="X255" s="28"/>
      <c r="Y255" s="105">
        <v>0</v>
      </c>
      <c r="Z255" s="28"/>
      <c r="AA255" s="105">
        <v>0</v>
      </c>
      <c r="AB255" s="28"/>
      <c r="AC255" s="105">
        <v>0</v>
      </c>
      <c r="AD255" s="28"/>
      <c r="AE255" s="105">
        <v>0</v>
      </c>
      <c r="AF255" s="28"/>
      <c r="AG255" s="105">
        <v>0</v>
      </c>
      <c r="AH255" s="28"/>
      <c r="AI255" s="105">
        <v>0</v>
      </c>
      <c r="AJ255" s="28"/>
      <c r="AK255" s="105">
        <v>0</v>
      </c>
      <c r="AL255" s="105"/>
      <c r="AM255" s="105">
        <v>0</v>
      </c>
      <c r="AN255" s="28"/>
      <c r="AO255" s="105">
        <v>0</v>
      </c>
      <c r="AP255" s="205"/>
      <c r="AQ255" s="38"/>
      <c r="AR255" s="30"/>
      <c r="AS255" s="60"/>
      <c r="AT255" s="30"/>
      <c r="AU255" s="61"/>
      <c r="AV255" s="165"/>
      <c r="AW255" s="30"/>
      <c r="AX255" s="166">
        <f t="shared" si="35"/>
        <v>61000</v>
      </c>
      <c r="AY255" s="183">
        <f t="shared" si="36"/>
        <v>0</v>
      </c>
    </row>
    <row r="256" spans="1:51" x14ac:dyDescent="0.2">
      <c r="A256" s="228" t="s">
        <v>163</v>
      </c>
      <c r="B256" s="162"/>
      <c r="C256" s="162" t="s">
        <v>242</v>
      </c>
      <c r="D256" s="167">
        <v>6.2100000000000002E-2</v>
      </c>
      <c r="E256" s="132"/>
      <c r="F256" s="132"/>
      <c r="G256" s="280" t="s">
        <v>175</v>
      </c>
      <c r="H256" s="162" t="s">
        <v>164</v>
      </c>
      <c r="I256" s="280"/>
      <c r="J256" s="162"/>
      <c r="K256" s="284">
        <f t="shared" si="38"/>
        <v>8.1545151281460573</v>
      </c>
      <c r="L256" s="30"/>
      <c r="M256" s="105">
        <v>60000</v>
      </c>
      <c r="N256" s="30"/>
      <c r="O256" s="105">
        <v>60000</v>
      </c>
      <c r="P256" s="28"/>
      <c r="Q256" s="105">
        <f t="shared" si="37"/>
        <v>60000</v>
      </c>
      <c r="R256" s="28"/>
      <c r="S256" s="105">
        <v>0</v>
      </c>
      <c r="T256" s="28"/>
      <c r="U256" s="105">
        <v>0</v>
      </c>
      <c r="V256" s="28"/>
      <c r="W256" s="105">
        <v>0</v>
      </c>
      <c r="X256" s="28"/>
      <c r="Y256" s="105">
        <v>0</v>
      </c>
      <c r="Z256" s="28"/>
      <c r="AA256" s="105">
        <v>0</v>
      </c>
      <c r="AB256" s="28"/>
      <c r="AC256" s="105">
        <v>0</v>
      </c>
      <c r="AD256" s="28"/>
      <c r="AE256" s="105">
        <v>0</v>
      </c>
      <c r="AF256" s="28"/>
      <c r="AG256" s="105">
        <v>0</v>
      </c>
      <c r="AH256" s="28"/>
      <c r="AI256" s="105">
        <v>0</v>
      </c>
      <c r="AJ256" s="28"/>
      <c r="AK256" s="105">
        <v>0</v>
      </c>
      <c r="AL256" s="105"/>
      <c r="AM256" s="105">
        <v>0</v>
      </c>
      <c r="AN256" s="28"/>
      <c r="AO256" s="105">
        <v>0</v>
      </c>
      <c r="AP256" s="205"/>
      <c r="AQ256" s="38"/>
      <c r="AR256" s="30"/>
      <c r="AS256" s="60"/>
      <c r="AT256" s="30"/>
      <c r="AU256" s="61"/>
      <c r="AV256" s="165"/>
      <c r="AW256" s="30"/>
      <c r="AX256" s="166">
        <f t="shared" si="35"/>
        <v>60000</v>
      </c>
      <c r="AY256" s="183">
        <f t="shared" si="36"/>
        <v>0</v>
      </c>
    </row>
    <row r="257" spans="1:51" x14ac:dyDescent="0.2">
      <c r="A257" s="228" t="s">
        <v>163</v>
      </c>
      <c r="B257" s="162"/>
      <c r="C257" s="162" t="s">
        <v>242</v>
      </c>
      <c r="D257" s="167">
        <v>6.2100000000000002E-2</v>
      </c>
      <c r="E257" s="132"/>
      <c r="F257" s="132"/>
      <c r="G257" s="271"/>
      <c r="H257" s="162" t="s">
        <v>164</v>
      </c>
      <c r="I257" s="280"/>
      <c r="J257" s="162"/>
      <c r="K257" s="284">
        <f t="shared" si="38"/>
        <v>8.1545151281460573</v>
      </c>
      <c r="L257" s="30"/>
      <c r="M257" s="105">
        <v>30000</v>
      </c>
      <c r="N257" s="30"/>
      <c r="O257" s="105">
        <v>30000</v>
      </c>
      <c r="P257" s="28"/>
      <c r="Q257" s="105">
        <f t="shared" si="37"/>
        <v>30000</v>
      </c>
      <c r="R257" s="28"/>
      <c r="S257" s="105">
        <v>0</v>
      </c>
      <c r="T257" s="28"/>
      <c r="U257" s="105">
        <v>0</v>
      </c>
      <c r="V257" s="28"/>
      <c r="W257" s="105">
        <v>0</v>
      </c>
      <c r="X257" s="28"/>
      <c r="Y257" s="105">
        <v>0</v>
      </c>
      <c r="Z257" s="28"/>
      <c r="AA257" s="105">
        <v>0</v>
      </c>
      <c r="AB257" s="28"/>
      <c r="AC257" s="105">
        <v>0</v>
      </c>
      <c r="AD257" s="28"/>
      <c r="AE257" s="105">
        <v>0</v>
      </c>
      <c r="AF257" s="28"/>
      <c r="AG257" s="105">
        <v>0</v>
      </c>
      <c r="AH257" s="28"/>
      <c r="AI257" s="105">
        <v>0</v>
      </c>
      <c r="AJ257" s="28"/>
      <c r="AK257" s="105">
        <v>0</v>
      </c>
      <c r="AL257" s="105"/>
      <c r="AM257" s="105">
        <v>0</v>
      </c>
      <c r="AN257" s="28"/>
      <c r="AO257" s="105">
        <v>0</v>
      </c>
      <c r="AP257" s="205"/>
      <c r="AQ257" s="38"/>
      <c r="AR257" s="30"/>
      <c r="AS257" s="60"/>
      <c r="AT257" s="30"/>
      <c r="AU257" s="61"/>
      <c r="AV257" s="165"/>
      <c r="AW257" s="30"/>
      <c r="AX257" s="166">
        <f t="shared" si="35"/>
        <v>30000</v>
      </c>
      <c r="AY257" s="183">
        <f t="shared" si="36"/>
        <v>0</v>
      </c>
    </row>
    <row r="258" spans="1:51" x14ac:dyDescent="0.2">
      <c r="A258" s="228" t="s">
        <v>163</v>
      </c>
      <c r="B258" s="162"/>
      <c r="C258" s="162" t="s">
        <v>242</v>
      </c>
      <c r="D258" s="167">
        <v>7.5600000000000001E-2</v>
      </c>
      <c r="E258" s="132"/>
      <c r="F258" s="132"/>
      <c r="G258" s="271"/>
      <c r="H258" s="162" t="s">
        <v>164</v>
      </c>
      <c r="I258" s="280"/>
      <c r="J258" s="162"/>
      <c r="K258" s="284">
        <f t="shared" si="38"/>
        <v>8.1545151281460573</v>
      </c>
      <c r="L258" s="30"/>
      <c r="M258" s="105">
        <v>20000</v>
      </c>
      <c r="N258" s="30"/>
      <c r="O258" s="105">
        <v>20000</v>
      </c>
      <c r="P258" s="28"/>
      <c r="Q258" s="105">
        <f t="shared" si="37"/>
        <v>20000</v>
      </c>
      <c r="R258" s="28"/>
      <c r="S258" s="105">
        <v>0</v>
      </c>
      <c r="T258" s="28"/>
      <c r="U258" s="105">
        <v>0</v>
      </c>
      <c r="V258" s="28"/>
      <c r="W258" s="105">
        <v>0</v>
      </c>
      <c r="X258" s="28"/>
      <c r="Y258" s="105">
        <v>0</v>
      </c>
      <c r="Z258" s="28"/>
      <c r="AA258" s="105">
        <v>0</v>
      </c>
      <c r="AB258" s="28"/>
      <c r="AC258" s="105">
        <v>0</v>
      </c>
      <c r="AD258" s="28"/>
      <c r="AE258" s="105">
        <v>0</v>
      </c>
      <c r="AF258" s="28"/>
      <c r="AG258" s="105">
        <v>0</v>
      </c>
      <c r="AH258" s="28"/>
      <c r="AI258" s="105">
        <v>0</v>
      </c>
      <c r="AJ258" s="28"/>
      <c r="AK258" s="105">
        <v>0</v>
      </c>
      <c r="AL258" s="105"/>
      <c r="AM258" s="105">
        <v>0</v>
      </c>
      <c r="AN258" s="28"/>
      <c r="AO258" s="105">
        <v>0</v>
      </c>
      <c r="AP258" s="205"/>
      <c r="AQ258" s="38"/>
      <c r="AR258" s="30"/>
      <c r="AS258" s="60"/>
      <c r="AT258" s="30"/>
      <c r="AU258" s="61"/>
      <c r="AV258" s="165"/>
      <c r="AW258" s="30"/>
      <c r="AX258" s="166">
        <f t="shared" si="35"/>
        <v>20000</v>
      </c>
      <c r="AY258" s="183">
        <f t="shared" si="36"/>
        <v>0</v>
      </c>
    </row>
    <row r="259" spans="1:51" x14ac:dyDescent="0.2">
      <c r="A259" s="228" t="s">
        <v>163</v>
      </c>
      <c r="B259" s="162"/>
      <c r="C259" s="162" t="s">
        <v>242</v>
      </c>
      <c r="D259" s="167">
        <v>7.5600000000000001E-2</v>
      </c>
      <c r="E259" s="132"/>
      <c r="F259" s="132"/>
      <c r="G259" s="271"/>
      <c r="H259" s="162" t="s">
        <v>164</v>
      </c>
      <c r="I259" s="280"/>
      <c r="J259" s="162"/>
      <c r="K259" s="284">
        <f t="shared" si="38"/>
        <v>8.1545151281460573</v>
      </c>
      <c r="L259" s="30"/>
      <c r="M259" s="105">
        <v>20000</v>
      </c>
      <c r="N259" s="30"/>
      <c r="O259" s="105">
        <v>20000</v>
      </c>
      <c r="P259" s="28"/>
      <c r="Q259" s="105">
        <f t="shared" si="37"/>
        <v>20000</v>
      </c>
      <c r="R259" s="28"/>
      <c r="S259" s="105">
        <v>0</v>
      </c>
      <c r="T259" s="28"/>
      <c r="U259" s="105">
        <v>0</v>
      </c>
      <c r="V259" s="28"/>
      <c r="W259" s="105">
        <v>0</v>
      </c>
      <c r="X259" s="28"/>
      <c r="Y259" s="105">
        <v>0</v>
      </c>
      <c r="Z259" s="28"/>
      <c r="AA259" s="105">
        <v>0</v>
      </c>
      <c r="AB259" s="28"/>
      <c r="AC259" s="105">
        <v>0</v>
      </c>
      <c r="AD259" s="28"/>
      <c r="AE259" s="105">
        <v>0</v>
      </c>
      <c r="AF259" s="28"/>
      <c r="AG259" s="105">
        <v>0</v>
      </c>
      <c r="AH259" s="28"/>
      <c r="AI259" s="105">
        <v>0</v>
      </c>
      <c r="AJ259" s="28"/>
      <c r="AK259" s="105">
        <v>0</v>
      </c>
      <c r="AL259" s="105"/>
      <c r="AM259" s="105">
        <v>0</v>
      </c>
      <c r="AN259" s="28"/>
      <c r="AO259" s="105">
        <v>0</v>
      </c>
      <c r="AP259" s="205"/>
      <c r="AQ259" s="38"/>
      <c r="AR259" s="30"/>
      <c r="AS259" s="60"/>
      <c r="AT259" s="30"/>
      <c r="AU259" s="61"/>
      <c r="AV259" s="165"/>
      <c r="AW259" s="30"/>
      <c r="AX259" s="166">
        <f t="shared" si="35"/>
        <v>20000</v>
      </c>
      <c r="AY259" s="183">
        <f t="shared" si="36"/>
        <v>0</v>
      </c>
    </row>
    <row r="260" spans="1:51" x14ac:dyDescent="0.2">
      <c r="A260" s="228" t="s">
        <v>163</v>
      </c>
      <c r="B260" s="162"/>
      <c r="C260" s="162" t="s">
        <v>242</v>
      </c>
      <c r="D260" s="167">
        <v>7.5600000000000001E-2</v>
      </c>
      <c r="E260" s="132"/>
      <c r="F260" s="132"/>
      <c r="G260" s="271"/>
      <c r="H260" s="162" t="s">
        <v>164</v>
      </c>
      <c r="I260" s="280"/>
      <c r="J260" s="162"/>
      <c r="K260" s="284">
        <f t="shared" si="38"/>
        <v>8.1545151281460573</v>
      </c>
      <c r="L260" s="30"/>
      <c r="M260" s="105">
        <v>30000</v>
      </c>
      <c r="N260" s="30"/>
      <c r="O260" s="105">
        <v>30000</v>
      </c>
      <c r="P260" s="28"/>
      <c r="Q260" s="105">
        <f t="shared" si="37"/>
        <v>30000</v>
      </c>
      <c r="R260" s="28"/>
      <c r="S260" s="105">
        <v>0</v>
      </c>
      <c r="T260" s="28"/>
      <c r="U260" s="105">
        <v>0</v>
      </c>
      <c r="V260" s="28"/>
      <c r="W260" s="105">
        <v>0</v>
      </c>
      <c r="X260" s="28"/>
      <c r="Y260" s="105">
        <v>0</v>
      </c>
      <c r="Z260" s="28"/>
      <c r="AA260" s="105">
        <v>0</v>
      </c>
      <c r="AB260" s="28"/>
      <c r="AC260" s="105">
        <v>0</v>
      </c>
      <c r="AD260" s="28"/>
      <c r="AE260" s="105">
        <v>0</v>
      </c>
      <c r="AF260" s="28"/>
      <c r="AG260" s="105">
        <v>0</v>
      </c>
      <c r="AH260" s="28"/>
      <c r="AI260" s="105">
        <v>0</v>
      </c>
      <c r="AJ260" s="28"/>
      <c r="AK260" s="105">
        <v>0</v>
      </c>
      <c r="AL260" s="105"/>
      <c r="AM260" s="105">
        <v>0</v>
      </c>
      <c r="AN260" s="28"/>
      <c r="AO260" s="105">
        <v>0</v>
      </c>
      <c r="AP260" s="205"/>
      <c r="AQ260" s="38"/>
      <c r="AR260" s="30"/>
      <c r="AS260" s="60"/>
      <c r="AT260" s="30"/>
      <c r="AU260" s="61"/>
      <c r="AV260" s="165"/>
      <c r="AW260" s="30"/>
      <c r="AX260" s="166">
        <f t="shared" si="35"/>
        <v>30000</v>
      </c>
      <c r="AY260" s="183">
        <f t="shared" si="36"/>
        <v>0</v>
      </c>
    </row>
    <row r="261" spans="1:51" x14ac:dyDescent="0.2">
      <c r="A261" s="228" t="s">
        <v>163</v>
      </c>
      <c r="B261" s="162"/>
      <c r="C261" s="162" t="s">
        <v>242</v>
      </c>
      <c r="D261" s="167">
        <v>7.5600000000000001E-2</v>
      </c>
      <c r="E261" s="132"/>
      <c r="F261" s="132"/>
      <c r="G261" s="271"/>
      <c r="H261" s="162" t="s">
        <v>164</v>
      </c>
      <c r="I261" s="280"/>
      <c r="J261" s="162"/>
      <c r="K261" s="284">
        <f t="shared" si="38"/>
        <v>8.1545151281460573</v>
      </c>
      <c r="L261" s="30"/>
      <c r="M261" s="105">
        <v>30000</v>
      </c>
      <c r="N261" s="30"/>
      <c r="O261" s="105">
        <v>30000</v>
      </c>
      <c r="P261" s="28"/>
      <c r="Q261" s="105">
        <f t="shared" si="37"/>
        <v>30000</v>
      </c>
      <c r="R261" s="28"/>
      <c r="S261" s="105">
        <v>0</v>
      </c>
      <c r="T261" s="28"/>
      <c r="U261" s="105">
        <v>0</v>
      </c>
      <c r="V261" s="28"/>
      <c r="W261" s="105">
        <v>0</v>
      </c>
      <c r="X261" s="28"/>
      <c r="Y261" s="105">
        <v>0</v>
      </c>
      <c r="Z261" s="28"/>
      <c r="AA261" s="105">
        <v>0</v>
      </c>
      <c r="AB261" s="28"/>
      <c r="AC261" s="105">
        <v>0</v>
      </c>
      <c r="AD261" s="28"/>
      <c r="AE261" s="105">
        <v>0</v>
      </c>
      <c r="AF261" s="28"/>
      <c r="AG261" s="105">
        <v>0</v>
      </c>
      <c r="AH261" s="28"/>
      <c r="AI261" s="105">
        <v>0</v>
      </c>
      <c r="AJ261" s="28"/>
      <c r="AK261" s="105">
        <v>0</v>
      </c>
      <c r="AL261" s="105"/>
      <c r="AM261" s="105">
        <v>0</v>
      </c>
      <c r="AN261" s="28"/>
      <c r="AO261" s="105">
        <v>0</v>
      </c>
      <c r="AP261" s="205"/>
      <c r="AQ261" s="38"/>
      <c r="AR261" s="30"/>
      <c r="AS261" s="60"/>
      <c r="AT261" s="30"/>
      <c r="AU261" s="61"/>
      <c r="AV261" s="165"/>
      <c r="AW261" s="30"/>
      <c r="AX261" s="166">
        <f t="shared" si="35"/>
        <v>30000</v>
      </c>
      <c r="AY261" s="183">
        <f t="shared" si="36"/>
        <v>0</v>
      </c>
    </row>
    <row r="262" spans="1:51" x14ac:dyDescent="0.2">
      <c r="A262" s="228" t="s">
        <v>163</v>
      </c>
      <c r="B262" s="162"/>
      <c r="C262" s="162" t="s">
        <v>242</v>
      </c>
      <c r="D262" s="167">
        <v>6.2100000000000002E-2</v>
      </c>
      <c r="E262" s="132"/>
      <c r="F262" s="132"/>
      <c r="G262" s="271"/>
      <c r="H262" s="162" t="s">
        <v>164</v>
      </c>
      <c r="I262" s="280"/>
      <c r="J262" s="162"/>
      <c r="K262" s="284">
        <f t="shared" si="38"/>
        <v>8.1545151281460573</v>
      </c>
      <c r="L262" s="30"/>
      <c r="M262" s="105">
        <v>20000</v>
      </c>
      <c r="N262" s="30"/>
      <c r="O262" s="105">
        <v>20000</v>
      </c>
      <c r="P262" s="28"/>
      <c r="Q262" s="105">
        <f t="shared" si="37"/>
        <v>20000</v>
      </c>
      <c r="R262" s="28"/>
      <c r="S262" s="105">
        <v>0</v>
      </c>
      <c r="T262" s="28"/>
      <c r="U262" s="105">
        <v>0</v>
      </c>
      <c r="V262" s="28"/>
      <c r="W262" s="105">
        <v>0</v>
      </c>
      <c r="X262" s="28"/>
      <c r="Y262" s="105">
        <v>0</v>
      </c>
      <c r="Z262" s="28"/>
      <c r="AA262" s="105">
        <v>0</v>
      </c>
      <c r="AB262" s="28"/>
      <c r="AC262" s="105">
        <v>0</v>
      </c>
      <c r="AD262" s="28"/>
      <c r="AE262" s="105">
        <v>0</v>
      </c>
      <c r="AF262" s="28"/>
      <c r="AG262" s="105">
        <v>0</v>
      </c>
      <c r="AH262" s="28"/>
      <c r="AI262" s="105">
        <v>0</v>
      </c>
      <c r="AJ262" s="28"/>
      <c r="AK262" s="105">
        <v>0</v>
      </c>
      <c r="AL262" s="105"/>
      <c r="AM262" s="105">
        <v>0</v>
      </c>
      <c r="AN262" s="28"/>
      <c r="AO262" s="105">
        <v>0</v>
      </c>
      <c r="AP262" s="205"/>
      <c r="AQ262" s="38"/>
      <c r="AR262" s="30"/>
      <c r="AS262" s="60"/>
      <c r="AT262" s="30"/>
      <c r="AU262" s="61"/>
      <c r="AV262" s="165"/>
      <c r="AW262" s="30"/>
      <c r="AX262" s="166">
        <f t="shared" si="35"/>
        <v>20000</v>
      </c>
      <c r="AY262" s="183">
        <f t="shared" si="36"/>
        <v>0</v>
      </c>
    </row>
    <row r="263" spans="1:51" x14ac:dyDescent="0.2">
      <c r="A263" s="228" t="s">
        <v>163</v>
      </c>
      <c r="B263" s="162"/>
      <c r="C263" s="162" t="s">
        <v>242</v>
      </c>
      <c r="D263" s="167">
        <v>6.2100000000000002E-2</v>
      </c>
      <c r="E263" s="132"/>
      <c r="F263" s="132"/>
      <c r="G263" s="271"/>
      <c r="H263" s="162" t="s">
        <v>164</v>
      </c>
      <c r="I263" s="280"/>
      <c r="J263" s="162"/>
      <c r="K263" s="284">
        <f t="shared" si="38"/>
        <v>8.1545151281460573</v>
      </c>
      <c r="L263" s="30"/>
      <c r="M263" s="105">
        <v>25000</v>
      </c>
      <c r="N263" s="30"/>
      <c r="O263" s="105">
        <v>25000</v>
      </c>
      <c r="P263" s="28"/>
      <c r="Q263" s="105">
        <f t="shared" si="37"/>
        <v>25000</v>
      </c>
      <c r="R263" s="28"/>
      <c r="S263" s="105">
        <v>0</v>
      </c>
      <c r="T263" s="28"/>
      <c r="U263" s="105">
        <v>0</v>
      </c>
      <c r="V263" s="28"/>
      <c r="W263" s="105">
        <v>0</v>
      </c>
      <c r="X263" s="28"/>
      <c r="Y263" s="105">
        <v>0</v>
      </c>
      <c r="Z263" s="28"/>
      <c r="AA263" s="105">
        <v>0</v>
      </c>
      <c r="AB263" s="28"/>
      <c r="AC263" s="105">
        <v>0</v>
      </c>
      <c r="AD263" s="28"/>
      <c r="AE263" s="105">
        <v>0</v>
      </c>
      <c r="AF263" s="28"/>
      <c r="AG263" s="105">
        <v>0</v>
      </c>
      <c r="AH263" s="28"/>
      <c r="AI263" s="105">
        <v>0</v>
      </c>
      <c r="AJ263" s="28"/>
      <c r="AK263" s="105">
        <v>0</v>
      </c>
      <c r="AL263" s="105"/>
      <c r="AM263" s="105">
        <v>0</v>
      </c>
      <c r="AN263" s="28"/>
      <c r="AO263" s="105">
        <v>0</v>
      </c>
      <c r="AP263" s="205"/>
      <c r="AQ263" s="38"/>
      <c r="AR263" s="30"/>
      <c r="AS263" s="60"/>
      <c r="AT263" s="30"/>
      <c r="AU263" s="61"/>
      <c r="AV263" s="165"/>
      <c r="AW263" s="30"/>
      <c r="AX263" s="166">
        <f t="shared" si="35"/>
        <v>25000</v>
      </c>
      <c r="AY263" s="183">
        <f t="shared" si="36"/>
        <v>0</v>
      </c>
    </row>
    <row r="264" spans="1:51" x14ac:dyDescent="0.2">
      <c r="A264" s="228" t="s">
        <v>163</v>
      </c>
      <c r="B264" s="162"/>
      <c r="C264" s="162" t="s">
        <v>242</v>
      </c>
      <c r="D264" s="167">
        <v>8.0100000000000005E-2</v>
      </c>
      <c r="E264" s="132"/>
      <c r="F264" s="132"/>
      <c r="G264" s="271"/>
      <c r="H264" s="162" t="s">
        <v>164</v>
      </c>
      <c r="I264" s="280"/>
      <c r="J264" s="162"/>
      <c r="K264" s="284">
        <f t="shared" si="38"/>
        <v>8.1545151281460573</v>
      </c>
      <c r="L264" s="30"/>
      <c r="M264" s="105">
        <v>60000</v>
      </c>
      <c r="N264" s="30"/>
      <c r="O264" s="105">
        <v>60000</v>
      </c>
      <c r="P264" s="28"/>
      <c r="Q264" s="105">
        <f t="shared" si="37"/>
        <v>60000</v>
      </c>
      <c r="R264" s="28"/>
      <c r="S264" s="105">
        <v>0</v>
      </c>
      <c r="T264" s="28"/>
      <c r="U264" s="105">
        <v>0</v>
      </c>
      <c r="V264" s="28"/>
      <c r="W264" s="105">
        <v>0</v>
      </c>
      <c r="X264" s="28"/>
      <c r="Y264" s="105">
        <v>0</v>
      </c>
      <c r="Z264" s="28"/>
      <c r="AA264" s="105">
        <v>0</v>
      </c>
      <c r="AB264" s="28"/>
      <c r="AC264" s="105">
        <v>0</v>
      </c>
      <c r="AD264" s="28"/>
      <c r="AE264" s="105">
        <v>0</v>
      </c>
      <c r="AF264" s="28"/>
      <c r="AG264" s="105">
        <v>0</v>
      </c>
      <c r="AH264" s="28"/>
      <c r="AI264" s="105">
        <v>0</v>
      </c>
      <c r="AJ264" s="28"/>
      <c r="AK264" s="105">
        <v>0</v>
      </c>
      <c r="AL264" s="105"/>
      <c r="AM264" s="105">
        <v>0</v>
      </c>
      <c r="AN264" s="28"/>
      <c r="AO264" s="105">
        <v>0</v>
      </c>
      <c r="AP264" s="205"/>
      <c r="AQ264" s="38"/>
      <c r="AR264" s="30"/>
      <c r="AS264" s="60"/>
      <c r="AT264" s="30"/>
      <c r="AU264" s="61"/>
      <c r="AV264" s="165"/>
      <c r="AW264" s="30"/>
      <c r="AX264" s="166">
        <f t="shared" si="35"/>
        <v>60000</v>
      </c>
      <c r="AY264" s="183">
        <f t="shared" si="36"/>
        <v>0</v>
      </c>
    </row>
    <row r="265" spans="1:51" x14ac:dyDescent="0.2">
      <c r="A265" s="228" t="s">
        <v>163</v>
      </c>
      <c r="B265" s="162"/>
      <c r="C265" s="162" t="s">
        <v>242</v>
      </c>
      <c r="D265" s="167">
        <v>8.0100000000000005E-2</v>
      </c>
      <c r="E265" s="132"/>
      <c r="F265" s="132"/>
      <c r="G265" s="271"/>
      <c r="H265" s="162" t="s">
        <v>164</v>
      </c>
      <c r="I265" s="280"/>
      <c r="J265" s="162"/>
      <c r="K265" s="284">
        <f t="shared" si="38"/>
        <v>8.1545151281460573</v>
      </c>
      <c r="L265" s="30"/>
      <c r="M265" s="105">
        <v>40000</v>
      </c>
      <c r="N265" s="30"/>
      <c r="O265" s="105">
        <v>40000</v>
      </c>
      <c r="P265" s="28"/>
      <c r="Q265" s="105">
        <f t="shared" si="37"/>
        <v>40000</v>
      </c>
      <c r="R265" s="28"/>
      <c r="S265" s="105">
        <v>0</v>
      </c>
      <c r="T265" s="28"/>
      <c r="U265" s="105">
        <v>0</v>
      </c>
      <c r="V265" s="28"/>
      <c r="W265" s="105">
        <v>0</v>
      </c>
      <c r="X265" s="28"/>
      <c r="Y265" s="105">
        <v>0</v>
      </c>
      <c r="Z265" s="28"/>
      <c r="AA265" s="105">
        <v>0</v>
      </c>
      <c r="AB265" s="28"/>
      <c r="AC265" s="105">
        <v>0</v>
      </c>
      <c r="AD265" s="28"/>
      <c r="AE265" s="105">
        <v>0</v>
      </c>
      <c r="AF265" s="28"/>
      <c r="AG265" s="105">
        <v>0</v>
      </c>
      <c r="AH265" s="28"/>
      <c r="AI265" s="105">
        <v>0</v>
      </c>
      <c r="AJ265" s="28"/>
      <c r="AK265" s="105">
        <v>0</v>
      </c>
      <c r="AL265" s="105"/>
      <c r="AM265" s="105">
        <v>0</v>
      </c>
      <c r="AN265" s="28"/>
      <c r="AO265" s="105">
        <v>0</v>
      </c>
      <c r="AP265" s="205"/>
      <c r="AQ265" s="38"/>
      <c r="AR265" s="30"/>
      <c r="AS265" s="60"/>
      <c r="AT265" s="30"/>
      <c r="AU265" s="61"/>
      <c r="AV265" s="165"/>
      <c r="AW265" s="30"/>
      <c r="AX265" s="166">
        <f t="shared" si="35"/>
        <v>40000</v>
      </c>
      <c r="AY265" s="183">
        <f t="shared" si="36"/>
        <v>0</v>
      </c>
    </row>
    <row r="266" spans="1:51" x14ac:dyDescent="0.2">
      <c r="A266" s="228" t="s">
        <v>163</v>
      </c>
      <c r="B266" s="162"/>
      <c r="C266" s="162" t="s">
        <v>242</v>
      </c>
      <c r="D266" s="163">
        <v>8.0100000000000005E-2</v>
      </c>
      <c r="E266" s="132"/>
      <c r="F266" s="132"/>
      <c r="G266" s="271"/>
      <c r="H266" s="162" t="s">
        <v>164</v>
      </c>
      <c r="I266" s="280"/>
      <c r="J266" s="162"/>
      <c r="K266" s="284">
        <f t="shared" si="38"/>
        <v>8.1545151281460573</v>
      </c>
      <c r="L266" s="30"/>
      <c r="M266" s="105">
        <v>10829</v>
      </c>
      <c r="N266" s="30"/>
      <c r="O266" s="105">
        <v>10829</v>
      </c>
      <c r="P266" s="28"/>
      <c r="Q266" s="105">
        <f t="shared" si="37"/>
        <v>10829</v>
      </c>
      <c r="R266" s="28"/>
      <c r="S266" s="105">
        <v>0</v>
      </c>
      <c r="T266" s="28"/>
      <c r="U266" s="105">
        <v>0</v>
      </c>
      <c r="V266" s="28"/>
      <c r="W266" s="105">
        <v>0</v>
      </c>
      <c r="X266" s="28"/>
      <c r="Y266" s="105">
        <v>0</v>
      </c>
      <c r="Z266" s="28"/>
      <c r="AA266" s="105">
        <v>0</v>
      </c>
      <c r="AB266" s="28"/>
      <c r="AC266" s="105">
        <v>0</v>
      </c>
      <c r="AD266" s="28"/>
      <c r="AE266" s="105">
        <v>0</v>
      </c>
      <c r="AF266" s="28"/>
      <c r="AG266" s="105">
        <v>0</v>
      </c>
      <c r="AH266" s="28"/>
      <c r="AI266" s="105">
        <v>0</v>
      </c>
      <c r="AJ266" s="28"/>
      <c r="AK266" s="105">
        <v>0</v>
      </c>
      <c r="AL266" s="105"/>
      <c r="AM266" s="105">
        <v>0</v>
      </c>
      <c r="AN266" s="28"/>
      <c r="AO266" s="105">
        <v>0</v>
      </c>
      <c r="AP266" s="205"/>
      <c r="AQ266" s="38"/>
      <c r="AR266" s="30"/>
      <c r="AS266" s="60"/>
      <c r="AT266" s="30"/>
      <c r="AU266" s="61"/>
      <c r="AV266" s="165"/>
      <c r="AW266" s="30"/>
      <c r="AX266" s="166">
        <f t="shared" si="35"/>
        <v>10829</v>
      </c>
      <c r="AY266" s="183">
        <f t="shared" si="36"/>
        <v>0</v>
      </c>
    </row>
    <row r="267" spans="1:51" x14ac:dyDescent="0.2">
      <c r="A267" s="228" t="s">
        <v>163</v>
      </c>
      <c r="B267" s="162"/>
      <c r="C267" s="162" t="s">
        <v>242</v>
      </c>
      <c r="D267" s="163" t="s">
        <v>169</v>
      </c>
      <c r="E267" s="132"/>
      <c r="F267" s="132"/>
      <c r="G267" s="271"/>
      <c r="H267" s="162" t="s">
        <v>164</v>
      </c>
      <c r="I267" s="280"/>
      <c r="J267" s="162"/>
      <c r="K267" s="284">
        <f t="shared" si="38"/>
        <v>8.1545151281460573</v>
      </c>
      <c r="L267" s="30"/>
      <c r="M267" s="105">
        <v>171070</v>
      </c>
      <c r="N267" s="30"/>
      <c r="O267" s="105">
        <v>171070</v>
      </c>
      <c r="P267" s="28"/>
      <c r="Q267" s="105">
        <f t="shared" si="37"/>
        <v>171070</v>
      </c>
      <c r="R267" s="28"/>
      <c r="S267" s="105">
        <v>0</v>
      </c>
      <c r="T267" s="28"/>
      <c r="U267" s="105">
        <v>0</v>
      </c>
      <c r="V267" s="28"/>
      <c r="W267" s="105">
        <v>0</v>
      </c>
      <c r="X267" s="28"/>
      <c r="Y267" s="105">
        <v>0</v>
      </c>
      <c r="Z267" s="28"/>
      <c r="AA267" s="105">
        <v>0</v>
      </c>
      <c r="AB267" s="28"/>
      <c r="AC267" s="105">
        <v>0</v>
      </c>
      <c r="AD267" s="28"/>
      <c r="AE267" s="105">
        <v>0</v>
      </c>
      <c r="AF267" s="28"/>
      <c r="AG267" s="105">
        <v>0</v>
      </c>
      <c r="AH267" s="28"/>
      <c r="AI267" s="105">
        <v>0</v>
      </c>
      <c r="AJ267" s="28"/>
      <c r="AK267" s="105">
        <v>0</v>
      </c>
      <c r="AL267" s="105"/>
      <c r="AM267" s="105">
        <v>0</v>
      </c>
      <c r="AN267" s="28"/>
      <c r="AO267" s="105">
        <v>0</v>
      </c>
      <c r="AP267" s="205"/>
      <c r="AQ267" s="38"/>
      <c r="AR267" s="30"/>
      <c r="AS267" s="60"/>
      <c r="AT267" s="30"/>
      <c r="AU267" s="61"/>
      <c r="AV267" s="165"/>
      <c r="AW267" s="30"/>
      <c r="AX267" s="166">
        <f t="shared" si="35"/>
        <v>171070</v>
      </c>
      <c r="AY267" s="183">
        <f t="shared" si="36"/>
        <v>0</v>
      </c>
    </row>
    <row r="268" spans="1:51" x14ac:dyDescent="0.2">
      <c r="A268" s="228" t="s">
        <v>163</v>
      </c>
      <c r="B268" s="162"/>
      <c r="C268" s="162" t="s">
        <v>242</v>
      </c>
      <c r="D268" s="163">
        <v>8.0100000000000005E-2</v>
      </c>
      <c r="E268" s="132"/>
      <c r="F268" s="132"/>
      <c r="G268" s="280"/>
      <c r="H268" s="162" t="s">
        <v>164</v>
      </c>
      <c r="I268" s="280"/>
      <c r="J268" s="162"/>
      <c r="K268" s="284">
        <f t="shared" si="38"/>
        <v>8.1545151281460573</v>
      </c>
      <c r="L268" s="30"/>
      <c r="M268" s="105">
        <v>300000</v>
      </c>
      <c r="N268" s="30"/>
      <c r="O268" s="105">
        <v>300000</v>
      </c>
      <c r="P268" s="28"/>
      <c r="Q268" s="105">
        <f t="shared" si="37"/>
        <v>300000</v>
      </c>
      <c r="R268" s="28"/>
      <c r="S268" s="105">
        <v>0</v>
      </c>
      <c r="T268" s="28"/>
      <c r="U268" s="105">
        <v>0</v>
      </c>
      <c r="V268" s="28"/>
      <c r="W268" s="105">
        <v>0</v>
      </c>
      <c r="X268" s="28"/>
      <c r="Y268" s="105">
        <v>0</v>
      </c>
      <c r="Z268" s="28"/>
      <c r="AA268" s="105">
        <v>0</v>
      </c>
      <c r="AB268" s="28"/>
      <c r="AC268" s="105">
        <v>0</v>
      </c>
      <c r="AD268" s="28"/>
      <c r="AE268" s="105">
        <v>0</v>
      </c>
      <c r="AF268" s="28"/>
      <c r="AG268" s="105">
        <v>0</v>
      </c>
      <c r="AH268" s="28"/>
      <c r="AI268" s="105">
        <v>0</v>
      </c>
      <c r="AJ268" s="28"/>
      <c r="AK268" s="105">
        <v>0</v>
      </c>
      <c r="AL268" s="105"/>
      <c r="AM268" s="105">
        <v>0</v>
      </c>
      <c r="AN268" s="28"/>
      <c r="AO268" s="105">
        <v>0</v>
      </c>
      <c r="AP268" s="205"/>
      <c r="AQ268" s="38"/>
      <c r="AR268" s="30"/>
      <c r="AS268" s="60"/>
      <c r="AT268" s="30"/>
      <c r="AU268" s="61"/>
      <c r="AV268" s="165"/>
      <c r="AW268" s="30"/>
      <c r="AX268" s="166">
        <f t="shared" si="35"/>
        <v>300000</v>
      </c>
      <c r="AY268" s="183">
        <f t="shared" si="36"/>
        <v>0</v>
      </c>
    </row>
    <row r="269" spans="1:51" ht="8.1" customHeight="1" x14ac:dyDescent="0.2">
      <c r="A269" s="228"/>
      <c r="B269" s="162"/>
      <c r="C269" s="162"/>
      <c r="D269" s="163"/>
      <c r="E269" s="132"/>
      <c r="F269" s="132"/>
      <c r="G269" s="280"/>
      <c r="H269" s="162"/>
      <c r="I269" s="280"/>
      <c r="J269" s="162"/>
      <c r="K269" s="271"/>
      <c r="L269" s="30"/>
      <c r="M269" s="105"/>
      <c r="N269" s="30"/>
      <c r="O269" s="105"/>
      <c r="P269" s="28"/>
      <c r="Q269" s="105"/>
      <c r="R269" s="28"/>
      <c r="S269" s="105"/>
      <c r="T269" s="28"/>
      <c r="U269" s="105"/>
      <c r="V269" s="28"/>
      <c r="W269" s="105"/>
      <c r="X269" s="28"/>
      <c r="Y269" s="105"/>
      <c r="Z269" s="28"/>
      <c r="AA269" s="105"/>
      <c r="AB269" s="28"/>
      <c r="AC269" s="105"/>
      <c r="AD269" s="28"/>
      <c r="AE269" s="105"/>
      <c r="AF269" s="28"/>
      <c r="AG269" s="105"/>
      <c r="AH269" s="28"/>
      <c r="AI269" s="105"/>
      <c r="AJ269" s="28"/>
      <c r="AK269" s="105"/>
      <c r="AL269" s="105"/>
      <c r="AM269" s="105"/>
      <c r="AN269" s="28"/>
      <c r="AO269" s="105"/>
      <c r="AP269" s="205"/>
      <c r="AQ269" s="38"/>
      <c r="AR269" s="30"/>
      <c r="AS269" s="60"/>
      <c r="AT269" s="30"/>
      <c r="AU269" s="61"/>
      <c r="AV269" s="165"/>
      <c r="AW269" s="30"/>
      <c r="AX269" s="166"/>
      <c r="AY269" s="183"/>
    </row>
    <row r="270" spans="1:51" x14ac:dyDescent="0.2">
      <c r="A270" s="228"/>
      <c r="B270" s="162"/>
      <c r="C270" s="162"/>
      <c r="D270" s="163"/>
      <c r="E270" s="132"/>
      <c r="F270" s="132"/>
      <c r="G270" s="281" t="s">
        <v>238</v>
      </c>
      <c r="H270" s="162"/>
      <c r="I270" s="280"/>
      <c r="J270" s="162"/>
      <c r="K270" s="271"/>
      <c r="L270" s="30"/>
      <c r="M270" s="277">
        <f>SUM(M251:M269)</f>
        <v>902899</v>
      </c>
      <c r="N270" s="30"/>
      <c r="O270" s="277">
        <f>SUM(O251:O269)</f>
        <v>902899</v>
      </c>
      <c r="P270" s="28"/>
      <c r="Q270" s="277">
        <f>SUM(Q251:Q269)</f>
        <v>902899</v>
      </c>
      <c r="R270" s="28"/>
      <c r="S270" s="277">
        <f>SUM(S251:S269)</f>
        <v>0</v>
      </c>
      <c r="T270" s="28"/>
      <c r="U270" s="277">
        <f>SUM(U251:U269)</f>
        <v>0</v>
      </c>
      <c r="V270" s="28"/>
      <c r="W270" s="277">
        <f>SUM(W251:W269)</f>
        <v>0</v>
      </c>
      <c r="X270" s="28"/>
      <c r="Y270" s="277">
        <f>SUM(Y251:Y269)</f>
        <v>0</v>
      </c>
      <c r="Z270" s="28"/>
      <c r="AA270" s="277">
        <f>SUM(AA251:AA269)</f>
        <v>0</v>
      </c>
      <c r="AB270" s="28"/>
      <c r="AC270" s="277">
        <f>SUM(AC251:AC269)</f>
        <v>0</v>
      </c>
      <c r="AD270" s="28"/>
      <c r="AE270" s="277">
        <f>SUM(AE251:AE269)</f>
        <v>0</v>
      </c>
      <c r="AF270" s="28"/>
      <c r="AG270" s="277">
        <f>SUM(AG251:AG269)</f>
        <v>0</v>
      </c>
      <c r="AH270" s="28"/>
      <c r="AI270" s="277">
        <f>SUM(AI251:AI269)</f>
        <v>0</v>
      </c>
      <c r="AJ270" s="28"/>
      <c r="AK270" s="277">
        <f>SUM(AK251:AK269)</f>
        <v>0</v>
      </c>
      <c r="AL270" s="99"/>
      <c r="AM270" s="277">
        <f>SUM(AM251:AM269)</f>
        <v>0</v>
      </c>
      <c r="AN270" s="28"/>
      <c r="AO270" s="277">
        <f>SUM(AO251:AO269)</f>
        <v>0</v>
      </c>
      <c r="AP270" s="205"/>
      <c r="AQ270" s="38"/>
      <c r="AR270" s="30"/>
      <c r="AS270" s="60"/>
      <c r="AT270" s="30"/>
      <c r="AU270" s="61"/>
      <c r="AV270" s="165"/>
      <c r="AW270" s="30"/>
      <c r="AX270" s="277">
        <f>SUM(AX251:AX269)</f>
        <v>902899</v>
      </c>
      <c r="AY270" s="282">
        <f>SUM(AY251:AY269)</f>
        <v>0</v>
      </c>
    </row>
    <row r="271" spans="1:51" x14ac:dyDescent="0.2">
      <c r="A271" s="228"/>
      <c r="B271" s="162"/>
      <c r="C271" s="162"/>
      <c r="D271" s="163"/>
      <c r="E271" s="132"/>
      <c r="F271" s="132"/>
      <c r="G271" s="280"/>
      <c r="H271" s="162"/>
      <c r="I271" s="280"/>
      <c r="J271" s="162"/>
      <c r="K271" s="271"/>
      <c r="L271" s="30"/>
      <c r="M271" s="105"/>
      <c r="N271" s="30"/>
      <c r="O271" s="105"/>
      <c r="P271" s="28"/>
      <c r="Q271" s="105"/>
      <c r="R271" s="28"/>
      <c r="S271" s="105"/>
      <c r="T271" s="28"/>
      <c r="U271" s="105"/>
      <c r="V271" s="28"/>
      <c r="W271" s="105"/>
      <c r="X271" s="28"/>
      <c r="Y271" s="105"/>
      <c r="Z271" s="28"/>
      <c r="AA271" s="105"/>
      <c r="AB271" s="28"/>
      <c r="AC271" s="105"/>
      <c r="AD271" s="28"/>
      <c r="AE271" s="105"/>
      <c r="AF271" s="28"/>
      <c r="AG271" s="105"/>
      <c r="AH271" s="28"/>
      <c r="AI271" s="105"/>
      <c r="AJ271" s="28"/>
      <c r="AK271" s="105"/>
      <c r="AL271" s="105"/>
      <c r="AM271" s="105"/>
      <c r="AN271" s="28"/>
      <c r="AO271" s="105"/>
      <c r="AP271" s="205"/>
      <c r="AQ271" s="38"/>
      <c r="AR271" s="30"/>
      <c r="AS271" s="60"/>
      <c r="AT271" s="30"/>
      <c r="AU271" s="61"/>
      <c r="AV271" s="165"/>
      <c r="AW271" s="30"/>
      <c r="AX271" s="166"/>
      <c r="AY271" s="183"/>
    </row>
    <row r="272" spans="1:51" x14ac:dyDescent="0.2">
      <c r="A272" s="228"/>
      <c r="B272" s="162"/>
      <c r="C272" s="162"/>
      <c r="D272" s="167"/>
      <c r="E272" s="132"/>
      <c r="F272" s="132"/>
      <c r="G272" s="280"/>
      <c r="H272" s="162"/>
      <c r="I272" s="280"/>
      <c r="J272" s="162"/>
      <c r="K272" s="271"/>
      <c r="L272" s="30"/>
      <c r="M272" s="105">
        <v>0</v>
      </c>
      <c r="N272" s="30"/>
      <c r="O272" s="105">
        <v>0</v>
      </c>
      <c r="P272" s="28"/>
      <c r="Q272" s="105">
        <f>+O272</f>
        <v>0</v>
      </c>
      <c r="R272" s="28"/>
      <c r="S272" s="105">
        <v>0</v>
      </c>
      <c r="T272" s="28"/>
      <c r="U272" s="105">
        <v>0</v>
      </c>
      <c r="V272" s="28"/>
      <c r="W272" s="105">
        <v>0</v>
      </c>
      <c r="X272" s="28"/>
      <c r="Y272" s="105">
        <v>0</v>
      </c>
      <c r="Z272" s="28"/>
      <c r="AA272" s="105">
        <v>0</v>
      </c>
      <c r="AB272" s="28"/>
      <c r="AC272" s="105">
        <v>0</v>
      </c>
      <c r="AD272" s="28"/>
      <c r="AE272" s="105">
        <v>0</v>
      </c>
      <c r="AF272" s="28"/>
      <c r="AG272" s="105">
        <v>0</v>
      </c>
      <c r="AH272" s="28"/>
      <c r="AI272" s="105">
        <v>0</v>
      </c>
      <c r="AJ272" s="28"/>
      <c r="AK272" s="105">
        <v>0</v>
      </c>
      <c r="AL272" s="105"/>
      <c r="AM272" s="105">
        <v>0</v>
      </c>
      <c r="AN272" s="28"/>
      <c r="AO272" s="105">
        <v>0</v>
      </c>
      <c r="AP272" s="205"/>
      <c r="AQ272" s="38"/>
      <c r="AR272" s="30"/>
      <c r="AS272" s="60"/>
      <c r="AT272" s="30"/>
      <c r="AU272" s="61"/>
      <c r="AV272" s="165"/>
      <c r="AW272" s="30"/>
      <c r="AX272" s="166">
        <f>SUM(Q272:AP272)</f>
        <v>0</v>
      </c>
      <c r="AY272" s="183">
        <f>+O272-AX272</f>
        <v>0</v>
      </c>
    </row>
    <row r="273" spans="1:51" x14ac:dyDescent="0.2">
      <c r="A273" s="239"/>
      <c r="B273" s="205"/>
      <c r="C273" s="205"/>
      <c r="D273" s="257"/>
      <c r="E273" s="242"/>
      <c r="F273" s="242"/>
      <c r="G273" s="258"/>
      <c r="H273" s="205"/>
      <c r="I273" s="259"/>
      <c r="J273" s="205"/>
      <c r="K273" s="258"/>
      <c r="L273" s="205"/>
      <c r="M273" s="203"/>
      <c r="N273" s="205"/>
      <c r="O273" s="201"/>
      <c r="P273" s="204"/>
      <c r="Q273" s="203"/>
      <c r="R273" s="204"/>
      <c r="S273" s="203"/>
      <c r="T273" s="204"/>
      <c r="U273" s="203"/>
      <c r="V273" s="204"/>
      <c r="W273" s="203"/>
      <c r="X273" s="204"/>
      <c r="Y273" s="203"/>
      <c r="Z273" s="204"/>
      <c r="AA273" s="203"/>
      <c r="AB273" s="204"/>
      <c r="AC273" s="203"/>
      <c r="AD273" s="204"/>
      <c r="AE273" s="203"/>
      <c r="AF273" s="204"/>
      <c r="AG273" s="203"/>
      <c r="AH273" s="204"/>
      <c r="AI273" s="203"/>
      <c r="AJ273" s="204"/>
      <c r="AK273" s="204"/>
      <c r="AL273" s="204"/>
      <c r="AM273" s="204"/>
      <c r="AN273" s="204"/>
      <c r="AO273" s="204"/>
      <c r="AP273" s="205"/>
      <c r="AQ273" s="38"/>
      <c r="AR273" s="30"/>
      <c r="AS273" s="60"/>
      <c r="AT273" s="30"/>
      <c r="AU273" s="61"/>
      <c r="AV273" s="165"/>
      <c r="AW273" s="30"/>
      <c r="AX273" s="166"/>
      <c r="AY273" s="183"/>
    </row>
    <row r="274" spans="1:51" ht="8.1" customHeight="1" thickBot="1" x14ac:dyDescent="0.25">
      <c r="A274" s="231"/>
      <c r="B274" s="232"/>
      <c r="C274" s="232"/>
      <c r="D274" s="253"/>
      <c r="E274" s="187"/>
      <c r="F274" s="187"/>
      <c r="G274" s="254"/>
      <c r="H274" s="189"/>
      <c r="I274" s="233"/>
      <c r="J274" s="189"/>
      <c r="K274" s="254"/>
      <c r="L274" s="189"/>
      <c r="M274" s="255"/>
      <c r="N274" s="189"/>
      <c r="O274" s="256"/>
      <c r="P274" s="235"/>
      <c r="Q274" s="255"/>
      <c r="R274" s="235"/>
      <c r="S274" s="255"/>
      <c r="T274" s="235"/>
      <c r="U274" s="255"/>
      <c r="V274" s="235"/>
      <c r="W274" s="255"/>
      <c r="X274" s="235"/>
      <c r="Y274" s="255"/>
      <c r="Z274" s="235"/>
      <c r="AA274" s="255"/>
      <c r="AB274" s="235"/>
      <c r="AC274" s="255"/>
      <c r="AD274" s="235"/>
      <c r="AE274" s="255"/>
      <c r="AF274" s="235"/>
      <c r="AG274" s="255"/>
      <c r="AH274" s="235"/>
      <c r="AI274" s="255"/>
      <c r="AJ274" s="235"/>
      <c r="AK274" s="235"/>
      <c r="AL274" s="235"/>
      <c r="AM274" s="235"/>
      <c r="AN274" s="235"/>
      <c r="AO274" s="235"/>
      <c r="AP274" s="189"/>
      <c r="AQ274" s="191"/>
      <c r="AR274" s="189"/>
      <c r="AS274" s="236"/>
      <c r="AT274" s="189"/>
      <c r="AU274" s="237"/>
      <c r="AV274" s="193"/>
      <c r="AW274" s="189"/>
      <c r="AX274" s="189"/>
      <c r="AY274" s="238"/>
    </row>
    <row r="275" spans="1:51" ht="12.75" x14ac:dyDescent="0.2">
      <c r="A275" s="102"/>
      <c r="B275" s="102"/>
      <c r="C275" s="102"/>
      <c r="D275" s="32"/>
      <c r="E275" s="7"/>
      <c r="F275" s="7"/>
      <c r="G275" s="80"/>
      <c r="H275" s="81"/>
      <c r="I275" s="81"/>
      <c r="J275" s="78"/>
      <c r="K275" s="81"/>
      <c r="L275" s="81"/>
      <c r="M275" s="81"/>
      <c r="N275" s="81"/>
      <c r="O275" s="45"/>
      <c r="P275" s="7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U275" s="7"/>
      <c r="AV275" s="7"/>
    </row>
    <row r="276" spans="1:51" ht="12.75" x14ac:dyDescent="0.2">
      <c r="A276" s="102"/>
      <c r="B276" s="102"/>
      <c r="C276" s="102"/>
      <c r="D276" s="123" t="s">
        <v>162</v>
      </c>
      <c r="E276" s="7"/>
      <c r="F276" s="7"/>
      <c r="G276" s="80"/>
      <c r="H276" s="81"/>
      <c r="I276" s="81"/>
      <c r="J276" s="78"/>
      <c r="K276" s="81"/>
      <c r="L276" s="81"/>
      <c r="M276" s="81"/>
      <c r="N276" s="81"/>
      <c r="O276" s="45"/>
      <c r="P276" s="7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U276" s="7"/>
      <c r="AV276" s="7"/>
    </row>
    <row r="277" spans="1:51" ht="12.75" x14ac:dyDescent="0.2">
      <c r="A277" s="102"/>
      <c r="B277" s="102"/>
      <c r="C277" s="102"/>
      <c r="D277" s="279" t="s">
        <v>0</v>
      </c>
      <c r="E277" s="7"/>
      <c r="F277" s="7"/>
      <c r="G277" s="80"/>
      <c r="H277" s="81"/>
      <c r="I277" s="81"/>
      <c r="J277" s="78"/>
      <c r="K277" s="81"/>
      <c r="L277" s="81"/>
      <c r="M277" s="81"/>
      <c r="N277" s="81"/>
      <c r="O277" s="45"/>
      <c r="P277" s="7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U277" s="7"/>
      <c r="AV277" s="7"/>
    </row>
    <row r="278" spans="1:51" x14ac:dyDescent="0.2">
      <c r="A278" s="102">
        <v>814</v>
      </c>
      <c r="B278" s="102"/>
      <c r="C278" s="102" t="s">
        <v>242</v>
      </c>
      <c r="D278" s="100" t="s">
        <v>263</v>
      </c>
      <c r="E278" s="101"/>
      <c r="F278" s="101"/>
      <c r="G278" s="120"/>
      <c r="H278" s="102" t="s">
        <v>249</v>
      </c>
      <c r="I278" s="112"/>
      <c r="J278" s="102"/>
      <c r="K278" s="120"/>
      <c r="M278" s="103">
        <v>0</v>
      </c>
      <c r="O278" s="103">
        <v>14247</v>
      </c>
      <c r="P278" s="29"/>
      <c r="Q278" s="103">
        <f>+O278</f>
        <v>14247</v>
      </c>
      <c r="R278" s="29"/>
      <c r="S278" s="103">
        <v>0</v>
      </c>
      <c r="T278" s="29"/>
      <c r="U278" s="103">
        <v>0</v>
      </c>
      <c r="V278" s="29"/>
      <c r="W278" s="103">
        <v>0</v>
      </c>
      <c r="X278" s="29"/>
      <c r="Y278" s="103">
        <v>0</v>
      </c>
      <c r="Z278" s="29"/>
      <c r="AA278" s="103">
        <v>0</v>
      </c>
      <c r="AB278" s="29"/>
      <c r="AC278" s="103">
        <v>0</v>
      </c>
      <c r="AD278" s="29"/>
      <c r="AE278" s="103">
        <v>0</v>
      </c>
      <c r="AF278" s="29"/>
      <c r="AG278" s="103">
        <v>0</v>
      </c>
      <c r="AH278" s="29"/>
      <c r="AI278" s="103">
        <v>0</v>
      </c>
      <c r="AJ278" s="29"/>
      <c r="AK278" s="103">
        <v>0</v>
      </c>
      <c r="AL278" s="103"/>
      <c r="AM278" s="103">
        <v>0</v>
      </c>
      <c r="AN278" s="29"/>
      <c r="AO278" s="103">
        <v>0</v>
      </c>
      <c r="AQ278">
        <f>SUM(Q278:AK278)</f>
        <v>14247</v>
      </c>
      <c r="AR278" s="7">
        <f>AQ278-O278</f>
        <v>0</v>
      </c>
      <c r="AS278" s="51"/>
      <c r="AT278" s="7">
        <f>O278*SUM(AU278:AV278)</f>
        <v>0</v>
      </c>
      <c r="AU278" s="52"/>
      <c r="AV278" s="12" t="str">
        <f>D278</f>
        <v>5.?%</v>
      </c>
      <c r="AW278" s="7">
        <f>O278</f>
        <v>14247</v>
      </c>
      <c r="AX278" s="31">
        <f>SUM(Q278:AP278)</f>
        <v>14247</v>
      </c>
      <c r="AY278" s="31">
        <f>+O278-AX278</f>
        <v>0</v>
      </c>
    </row>
    <row r="279" spans="1:51" x14ac:dyDescent="0.2">
      <c r="A279" s="102" t="s">
        <v>250</v>
      </c>
      <c r="B279" s="102"/>
      <c r="C279" s="102" t="s">
        <v>242</v>
      </c>
      <c r="D279" s="121"/>
      <c r="E279" s="101"/>
      <c r="F279" s="101"/>
      <c r="G279" s="120"/>
      <c r="H279" s="102" t="s">
        <v>251</v>
      </c>
      <c r="I279" s="112"/>
      <c r="J279" s="102"/>
      <c r="K279" s="120"/>
      <c r="M279" s="103">
        <v>0</v>
      </c>
      <c r="O279" s="103">
        <v>296</v>
      </c>
      <c r="P279" s="29"/>
      <c r="Q279" s="103">
        <f>+O279</f>
        <v>296</v>
      </c>
      <c r="R279" s="29"/>
      <c r="S279" s="103">
        <v>0</v>
      </c>
      <c r="T279" s="29"/>
      <c r="U279" s="103">
        <v>0</v>
      </c>
      <c r="V279" s="29"/>
      <c r="W279" s="103">
        <v>0</v>
      </c>
      <c r="X279" s="29"/>
      <c r="Y279" s="103">
        <v>0</v>
      </c>
      <c r="Z279" s="29"/>
      <c r="AA279" s="103">
        <v>0</v>
      </c>
      <c r="AB279" s="29"/>
      <c r="AC279" s="103">
        <v>0</v>
      </c>
      <c r="AD279" s="29"/>
      <c r="AE279" s="103">
        <v>0</v>
      </c>
      <c r="AF279" s="29"/>
      <c r="AG279" s="103">
        <v>0</v>
      </c>
      <c r="AH279" s="29"/>
      <c r="AI279" s="103">
        <v>0</v>
      </c>
      <c r="AJ279" s="29"/>
      <c r="AK279" s="103">
        <v>0</v>
      </c>
      <c r="AL279" s="103"/>
      <c r="AM279" s="103">
        <v>0</v>
      </c>
      <c r="AN279" s="29"/>
      <c r="AO279" s="103">
        <v>0</v>
      </c>
      <c r="AQ279">
        <f>SUM(Q279:AK279)</f>
        <v>296</v>
      </c>
      <c r="AR279" s="7">
        <f>AQ279-O279</f>
        <v>0</v>
      </c>
      <c r="AS279" s="51"/>
      <c r="AT279" s="7">
        <f>O279*SUM(AU279:AV279)</f>
        <v>0</v>
      </c>
      <c r="AU279" s="52"/>
      <c r="AV279" s="12">
        <f>D279</f>
        <v>0</v>
      </c>
      <c r="AW279" s="7">
        <f>O279</f>
        <v>296</v>
      </c>
      <c r="AX279" s="31">
        <f>SUM(Q279:AP279)</f>
        <v>296</v>
      </c>
      <c r="AY279" s="31">
        <f>+O279-AX279</f>
        <v>0</v>
      </c>
    </row>
    <row r="280" spans="1:51" ht="8.1" customHeight="1" x14ac:dyDescent="0.2">
      <c r="A280" s="102"/>
      <c r="B280" s="102"/>
      <c r="C280" s="102"/>
      <c r="D280" s="123"/>
      <c r="E280" s="7"/>
      <c r="F280" s="7"/>
      <c r="G280" s="80"/>
      <c r="H280" s="81"/>
      <c r="I280" s="81"/>
      <c r="J280" s="78"/>
      <c r="K280" s="81"/>
      <c r="L280" s="81"/>
      <c r="M280" s="81"/>
      <c r="N280" s="81"/>
      <c r="O280" s="45"/>
      <c r="P280" s="7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U280" s="7"/>
      <c r="AV280" s="7"/>
    </row>
    <row r="281" spans="1:51" ht="12.75" x14ac:dyDescent="0.2">
      <c r="A281" s="102"/>
      <c r="B281" s="102"/>
      <c r="C281" s="102"/>
      <c r="D281" s="123"/>
      <c r="E281" s="7"/>
      <c r="F281" s="7"/>
      <c r="G281" s="281" t="s">
        <v>234</v>
      </c>
      <c r="H281" s="81"/>
      <c r="I281" s="81"/>
      <c r="J281" s="78"/>
      <c r="K281" s="81"/>
      <c r="L281" s="81"/>
      <c r="M281" s="277">
        <f>SUM(M277:M280)</f>
        <v>0</v>
      </c>
      <c r="N281" s="81"/>
      <c r="O281" s="277">
        <f>SUM(O277:O280)</f>
        <v>14543</v>
      </c>
      <c r="P281" s="79"/>
      <c r="Q281" s="277">
        <f>SUM(Q277:Q280)</f>
        <v>14543</v>
      </c>
      <c r="R281" s="29"/>
      <c r="S281" s="277">
        <f>SUM(S277:S280)</f>
        <v>0</v>
      </c>
      <c r="T281" s="29"/>
      <c r="U281" s="277">
        <f>SUM(U277:U280)</f>
        <v>0</v>
      </c>
      <c r="V281" s="29"/>
      <c r="W281" s="277">
        <f>SUM(W277:W280)</f>
        <v>0</v>
      </c>
      <c r="X281" s="29"/>
      <c r="Y281" s="277">
        <f>SUM(Y277:Y280)</f>
        <v>0</v>
      </c>
      <c r="Z281" s="29"/>
      <c r="AA281" s="277">
        <f>SUM(AA277:AA280)</f>
        <v>0</v>
      </c>
      <c r="AB281" s="29"/>
      <c r="AC281" s="277">
        <f>SUM(AC277:AC280)</f>
        <v>0</v>
      </c>
      <c r="AD281" s="29"/>
      <c r="AE281" s="277">
        <f>SUM(AE277:AE280)</f>
        <v>0</v>
      </c>
      <c r="AF281" s="29"/>
      <c r="AG281" s="277">
        <f>SUM(AG277:AG280)</f>
        <v>0</v>
      </c>
      <c r="AH281" s="29"/>
      <c r="AI281" s="277">
        <f>SUM(AI277:AI280)</f>
        <v>0</v>
      </c>
      <c r="AJ281" s="29"/>
      <c r="AK281" s="277">
        <f>SUM(AK277:AK280)</f>
        <v>0</v>
      </c>
      <c r="AL281" s="99"/>
      <c r="AM281" s="277">
        <f>SUM(AM277:AM280)</f>
        <v>0</v>
      </c>
      <c r="AN281" s="29"/>
      <c r="AO281" s="277">
        <f>SUM(AO277:AO280)</f>
        <v>0</v>
      </c>
      <c r="AU281" s="7"/>
      <c r="AV281" s="7"/>
      <c r="AX281" s="277">
        <f>SUM(AX277:AX280)</f>
        <v>14543</v>
      </c>
      <c r="AY281" s="277">
        <f>SUM(AY277:AY280)</f>
        <v>0</v>
      </c>
    </row>
    <row r="282" spans="1:51" ht="12.75" x14ac:dyDescent="0.2">
      <c r="A282" s="102"/>
      <c r="B282" s="102"/>
      <c r="C282" s="102"/>
      <c r="D282" s="123"/>
      <c r="E282" s="7"/>
      <c r="F282" s="7"/>
      <c r="G282" s="80"/>
      <c r="H282" s="81"/>
      <c r="I282" s="81"/>
      <c r="J282" s="78"/>
      <c r="K282" s="81"/>
      <c r="L282" s="81"/>
      <c r="M282" s="81"/>
      <c r="N282" s="81"/>
      <c r="O282" s="45"/>
      <c r="P282" s="7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U282" s="7"/>
      <c r="AV282" s="7"/>
    </row>
    <row r="283" spans="1:51" ht="12.75" x14ac:dyDescent="0.2">
      <c r="A283" s="102"/>
      <c r="B283" s="102"/>
      <c r="C283" s="102"/>
      <c r="D283" s="279" t="s">
        <v>119</v>
      </c>
      <c r="E283" s="7"/>
      <c r="F283" s="7"/>
      <c r="G283" s="80"/>
      <c r="H283" s="81"/>
      <c r="I283" s="81"/>
      <c r="J283" s="78"/>
      <c r="K283" s="81"/>
      <c r="L283" s="81"/>
      <c r="M283" s="81"/>
      <c r="N283" s="81"/>
      <c r="O283" s="45"/>
      <c r="P283" s="7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U283" s="7"/>
      <c r="AV283" s="7"/>
    </row>
    <row r="284" spans="1:51" x14ac:dyDescent="0.2">
      <c r="A284" s="102">
        <v>449</v>
      </c>
      <c r="B284" s="102"/>
      <c r="C284" s="102"/>
      <c r="D284" s="121">
        <v>0.10249999999999999</v>
      </c>
      <c r="E284" s="101"/>
      <c r="F284" s="101"/>
      <c r="G284" s="120" t="s">
        <v>118</v>
      </c>
      <c r="H284" s="102" t="s">
        <v>119</v>
      </c>
      <c r="I284" s="112"/>
      <c r="J284" s="102"/>
      <c r="K284" s="120"/>
      <c r="M284" s="103">
        <v>7950</v>
      </c>
      <c r="O284" s="103">
        <v>6625</v>
      </c>
      <c r="P284" s="29"/>
      <c r="Q284" s="103">
        <v>0</v>
      </c>
      <c r="R284" s="29"/>
      <c r="S284" s="103">
        <v>0</v>
      </c>
      <c r="T284" s="29"/>
      <c r="U284" s="103">
        <v>0</v>
      </c>
      <c r="V284" s="29"/>
      <c r="W284" s="103">
        <f>+O284</f>
        <v>6625</v>
      </c>
      <c r="X284" s="29"/>
      <c r="Y284" s="103">
        <v>0</v>
      </c>
      <c r="Z284" s="29"/>
      <c r="AA284" s="103">
        <v>0</v>
      </c>
      <c r="AB284" s="29"/>
      <c r="AC284" s="103">
        <v>0</v>
      </c>
      <c r="AD284" s="29"/>
      <c r="AE284" s="103">
        <v>0</v>
      </c>
      <c r="AF284" s="29"/>
      <c r="AG284" s="103">
        <v>0</v>
      </c>
      <c r="AH284" s="29"/>
      <c r="AI284" s="103">
        <v>0</v>
      </c>
      <c r="AJ284" s="29"/>
      <c r="AK284" s="103">
        <v>0</v>
      </c>
      <c r="AL284" s="103"/>
      <c r="AM284" s="103">
        <v>0</v>
      </c>
      <c r="AN284" s="29"/>
      <c r="AO284" s="103">
        <v>0</v>
      </c>
      <c r="AQ284">
        <f>SUM(Q284:AK284)</f>
        <v>6625</v>
      </c>
      <c r="AR284" s="7">
        <f>AQ284-O284</f>
        <v>0</v>
      </c>
      <c r="AS284" s="51"/>
      <c r="AT284" s="7">
        <f>O284*SUM(AU284:AV284)</f>
        <v>679.0625</v>
      </c>
      <c r="AU284" s="52"/>
      <c r="AV284" s="12">
        <f>D284</f>
        <v>0.10249999999999999</v>
      </c>
      <c r="AW284" s="7">
        <f>O284</f>
        <v>6625</v>
      </c>
      <c r="AX284" s="31">
        <f>SUM(Q284:AP284)</f>
        <v>6625</v>
      </c>
      <c r="AY284" s="31">
        <f>+O284-AX284</f>
        <v>0</v>
      </c>
    </row>
    <row r="285" spans="1:51" x14ac:dyDescent="0.2">
      <c r="A285" s="102">
        <v>449</v>
      </c>
      <c r="B285" s="102"/>
      <c r="C285" s="102"/>
      <c r="D285" s="121">
        <v>9.1200000000000003E-2</v>
      </c>
      <c r="E285" s="101"/>
      <c r="F285" s="101"/>
      <c r="G285" s="120" t="s">
        <v>52</v>
      </c>
      <c r="H285" s="102" t="s">
        <v>119</v>
      </c>
      <c r="I285" s="112"/>
      <c r="J285" s="102"/>
      <c r="K285" s="120"/>
      <c r="M285" s="103">
        <v>13600</v>
      </c>
      <c r="O285" s="103">
        <v>11000</v>
      </c>
      <c r="P285" s="29"/>
      <c r="Q285" s="103">
        <v>0</v>
      </c>
      <c r="R285" s="29"/>
      <c r="S285" s="103">
        <v>0</v>
      </c>
      <c r="T285" s="29"/>
      <c r="U285" s="103">
        <v>0</v>
      </c>
      <c r="V285" s="29"/>
      <c r="W285" s="103">
        <f>+O285</f>
        <v>11000</v>
      </c>
      <c r="X285" s="29"/>
      <c r="Y285" s="103">
        <v>0</v>
      </c>
      <c r="Z285" s="29"/>
      <c r="AA285" s="103">
        <v>0</v>
      </c>
      <c r="AB285" s="29"/>
      <c r="AC285" s="103">
        <v>0</v>
      </c>
      <c r="AD285" s="29"/>
      <c r="AE285" s="103">
        <v>0</v>
      </c>
      <c r="AF285" s="29"/>
      <c r="AG285" s="103">
        <v>0</v>
      </c>
      <c r="AH285" s="29"/>
      <c r="AI285" s="103">
        <v>0</v>
      </c>
      <c r="AJ285" s="29"/>
      <c r="AK285" s="103">
        <v>0</v>
      </c>
      <c r="AL285" s="103"/>
      <c r="AM285" s="103">
        <v>0</v>
      </c>
      <c r="AN285" s="29"/>
      <c r="AO285" s="103">
        <v>0</v>
      </c>
      <c r="AQ285">
        <f>SUM(Q285:AK285)</f>
        <v>11000</v>
      </c>
      <c r="AR285" s="7">
        <f>AQ285-O285</f>
        <v>0</v>
      </c>
      <c r="AS285" s="51"/>
      <c r="AT285" s="7">
        <f>O285*SUM(AU285:AV285)</f>
        <v>1003.2</v>
      </c>
      <c r="AU285" s="52"/>
      <c r="AV285" s="12">
        <f>D285</f>
        <v>9.1200000000000003E-2</v>
      </c>
      <c r="AW285" s="7">
        <f>O285</f>
        <v>11000</v>
      </c>
      <c r="AX285" s="31">
        <f>SUM(Q285:AP285)</f>
        <v>11000</v>
      </c>
      <c r="AY285" s="31">
        <f>+O285-AX285</f>
        <v>0</v>
      </c>
    </row>
    <row r="286" spans="1:51" ht="8.1" customHeight="1" x14ac:dyDescent="0.2">
      <c r="A286" s="102"/>
      <c r="B286" s="102"/>
      <c r="C286" s="102"/>
      <c r="D286" s="121"/>
      <c r="E286" s="101"/>
      <c r="F286" s="101"/>
      <c r="G286" s="120"/>
      <c r="H286" s="102"/>
      <c r="I286" s="112"/>
      <c r="J286" s="102"/>
      <c r="K286" s="120"/>
      <c r="M286" s="103"/>
      <c r="O286" s="103"/>
      <c r="P286" s="29"/>
      <c r="Q286" s="103"/>
      <c r="R286" s="29"/>
      <c r="S286" s="103"/>
      <c r="T286" s="29"/>
      <c r="U286" s="103"/>
      <c r="V286" s="29"/>
      <c r="W286" s="103"/>
      <c r="X286" s="29"/>
      <c r="Y286" s="103"/>
      <c r="Z286" s="29"/>
      <c r="AA286" s="103"/>
      <c r="AB286" s="29"/>
      <c r="AC286" s="103"/>
      <c r="AD286" s="29"/>
      <c r="AE286" s="103"/>
      <c r="AF286" s="29"/>
      <c r="AG286" s="103"/>
      <c r="AH286" s="29"/>
      <c r="AI286" s="103"/>
      <c r="AJ286" s="29"/>
      <c r="AK286" s="103"/>
      <c r="AL286" s="103"/>
      <c r="AM286" s="103"/>
      <c r="AN286" s="29"/>
      <c r="AO286" s="103"/>
      <c r="AQ286"/>
      <c r="AS286" s="51"/>
      <c r="AU286" s="52"/>
      <c r="AX286" s="31"/>
      <c r="AY286" s="31"/>
    </row>
    <row r="287" spans="1:51" x14ac:dyDescent="0.2">
      <c r="A287" s="102"/>
      <c r="B287" s="102"/>
      <c r="C287" s="102"/>
      <c r="D287" s="121"/>
      <c r="E287" s="101"/>
      <c r="F287" s="101"/>
      <c r="G287" s="281" t="s">
        <v>239</v>
      </c>
      <c r="H287" s="102"/>
      <c r="I287" s="112"/>
      <c r="J287" s="102"/>
      <c r="K287" s="120"/>
      <c r="M287" s="277">
        <f>SUM(M283:M286)</f>
        <v>21550</v>
      </c>
      <c r="O287" s="277">
        <f>SUM(O283:O286)</f>
        <v>17625</v>
      </c>
      <c r="P287" s="29"/>
      <c r="Q287" s="277">
        <f>SUM(Q283:Q286)</f>
        <v>0</v>
      </c>
      <c r="R287" s="29"/>
      <c r="S287" s="277">
        <f>SUM(S283:S286)</f>
        <v>0</v>
      </c>
      <c r="T287" s="29"/>
      <c r="U287" s="277">
        <f>SUM(U283:U286)</f>
        <v>0</v>
      </c>
      <c r="V287" s="29"/>
      <c r="W287" s="277">
        <f>SUM(W283:W286)</f>
        <v>17625</v>
      </c>
      <c r="X287" s="29"/>
      <c r="Y287" s="277">
        <f>SUM(Y283:Y286)</f>
        <v>0</v>
      </c>
      <c r="Z287" s="29"/>
      <c r="AA287" s="277">
        <f>SUM(AA283:AA286)</f>
        <v>0</v>
      </c>
      <c r="AB287" s="29"/>
      <c r="AC287" s="277">
        <f>SUM(AC283:AC286)</f>
        <v>0</v>
      </c>
      <c r="AD287" s="29"/>
      <c r="AE287" s="277">
        <f>SUM(AE283:AE286)</f>
        <v>0</v>
      </c>
      <c r="AF287" s="29"/>
      <c r="AG287" s="277">
        <f>SUM(AG283:AG286)</f>
        <v>0</v>
      </c>
      <c r="AH287" s="29"/>
      <c r="AI287" s="277">
        <f>SUM(AI283:AI286)</f>
        <v>0</v>
      </c>
      <c r="AJ287" s="29"/>
      <c r="AK287" s="277">
        <f>SUM(AK283:AK286)</f>
        <v>0</v>
      </c>
      <c r="AL287" s="99"/>
      <c r="AM287" s="277">
        <f>SUM(AM283:AM286)</f>
        <v>0</v>
      </c>
      <c r="AN287" s="29"/>
      <c r="AO287" s="277">
        <f>SUM(AO283:AO286)</f>
        <v>0</v>
      </c>
      <c r="AQ287"/>
      <c r="AS287" s="51"/>
      <c r="AU287" s="52"/>
      <c r="AX287" s="277">
        <f>SUM(AX283:AX286)</f>
        <v>17625</v>
      </c>
      <c r="AY287" s="277">
        <f>SUM(AY283:AY286)</f>
        <v>0</v>
      </c>
    </row>
    <row r="288" spans="1:51" ht="9.9499999999999993" customHeight="1" x14ac:dyDescent="0.2">
      <c r="A288" s="102"/>
      <c r="B288" s="102"/>
      <c r="C288" s="102"/>
      <c r="D288" s="121"/>
      <c r="E288" s="101"/>
      <c r="F288" s="101"/>
      <c r="G288" s="120"/>
      <c r="H288" s="102"/>
      <c r="I288" s="112"/>
      <c r="J288" s="102"/>
      <c r="K288" s="120"/>
      <c r="M288" s="103"/>
      <c r="O288" s="103"/>
      <c r="P288" s="29"/>
      <c r="Q288" s="103"/>
      <c r="R288" s="29"/>
      <c r="S288" s="103"/>
      <c r="T288" s="29"/>
      <c r="U288" s="103"/>
      <c r="V288" s="29"/>
      <c r="W288" s="103"/>
      <c r="X288" s="29"/>
      <c r="Y288" s="103"/>
      <c r="Z288" s="29"/>
      <c r="AA288" s="103"/>
      <c r="AB288" s="29"/>
      <c r="AC288" s="103"/>
      <c r="AD288" s="29"/>
      <c r="AE288" s="103"/>
      <c r="AF288" s="29"/>
      <c r="AG288" s="103"/>
      <c r="AH288" s="29"/>
      <c r="AI288" s="103"/>
      <c r="AJ288" s="29"/>
      <c r="AK288" s="103"/>
      <c r="AL288" s="103"/>
      <c r="AM288" s="103"/>
      <c r="AN288" s="29"/>
      <c r="AO288" s="103"/>
      <c r="AQ288"/>
      <c r="AS288" s="51"/>
      <c r="AU288" s="52"/>
      <c r="AX288" s="31"/>
      <c r="AY288" s="31"/>
    </row>
    <row r="289" spans="1:51" x14ac:dyDescent="0.2">
      <c r="A289" s="102"/>
      <c r="B289" s="102"/>
      <c r="C289" s="102"/>
      <c r="D289" s="279" t="s">
        <v>164</v>
      </c>
      <c r="E289" s="101"/>
      <c r="F289" s="101"/>
      <c r="G289" s="120"/>
      <c r="H289" s="102"/>
      <c r="I289" s="112"/>
      <c r="J289" s="102"/>
      <c r="K289" s="120"/>
      <c r="M289" s="103"/>
      <c r="O289" s="103"/>
      <c r="P289" s="29"/>
      <c r="Q289" s="103"/>
      <c r="R289" s="29"/>
      <c r="S289" s="103"/>
      <c r="T289" s="29"/>
      <c r="U289" s="103"/>
      <c r="V289" s="29"/>
      <c r="W289" s="103"/>
      <c r="X289" s="29"/>
      <c r="Y289" s="103"/>
      <c r="Z289" s="29"/>
      <c r="AA289" s="103"/>
      <c r="AB289" s="29"/>
      <c r="AC289" s="103"/>
      <c r="AD289" s="29"/>
      <c r="AE289" s="103"/>
      <c r="AF289" s="29"/>
      <c r="AG289" s="103"/>
      <c r="AH289" s="29"/>
      <c r="AI289" s="103"/>
      <c r="AJ289" s="29"/>
      <c r="AK289" s="103"/>
      <c r="AL289" s="103"/>
      <c r="AM289" s="103"/>
      <c r="AN289" s="29"/>
      <c r="AO289" s="103"/>
      <c r="AQ289"/>
      <c r="AS289" s="51"/>
      <c r="AU289" s="52"/>
      <c r="AX289" s="31"/>
      <c r="AY289" s="31"/>
    </row>
    <row r="290" spans="1:51" x14ac:dyDescent="0.2">
      <c r="A290" s="196" t="s">
        <v>163</v>
      </c>
      <c r="B290" s="196"/>
      <c r="C290" s="196" t="s">
        <v>242</v>
      </c>
      <c r="D290" s="197">
        <v>7.5600000000000001E-2</v>
      </c>
      <c r="E290" s="198"/>
      <c r="F290" s="198"/>
      <c r="G290" s="200" t="s">
        <v>171</v>
      </c>
      <c r="H290" s="196" t="s">
        <v>164</v>
      </c>
      <c r="I290" s="200"/>
      <c r="J290" s="196"/>
      <c r="K290" s="283"/>
      <c r="L290" s="196"/>
      <c r="M290" s="212">
        <v>1208</v>
      </c>
      <c r="N290" s="196"/>
      <c r="O290" s="212">
        <f t="shared" ref="O290:O306" si="39">ROUND(+O252/K252,0)</f>
        <v>1226</v>
      </c>
      <c r="P290" s="213"/>
      <c r="Q290" s="212">
        <f>+O290</f>
        <v>1226</v>
      </c>
      <c r="R290" s="213"/>
      <c r="S290" s="212">
        <v>0</v>
      </c>
      <c r="T290" s="213"/>
      <c r="U290" s="212">
        <v>0</v>
      </c>
      <c r="V290" s="213"/>
      <c r="W290" s="212">
        <v>0</v>
      </c>
      <c r="X290" s="213"/>
      <c r="Y290" s="212">
        <v>0</v>
      </c>
      <c r="Z290" s="213"/>
      <c r="AA290" s="212">
        <v>0</v>
      </c>
      <c r="AB290" s="213"/>
      <c r="AC290" s="212">
        <v>0</v>
      </c>
      <c r="AD290" s="213"/>
      <c r="AE290" s="212">
        <v>0</v>
      </c>
      <c r="AF290" s="213"/>
      <c r="AG290" s="212">
        <v>0</v>
      </c>
      <c r="AH290" s="213"/>
      <c r="AI290" s="212">
        <v>0</v>
      </c>
      <c r="AJ290" s="213"/>
      <c r="AK290" s="212">
        <v>0</v>
      </c>
      <c r="AL290" s="212"/>
      <c r="AM290" s="212">
        <v>0</v>
      </c>
      <c r="AN290" s="213"/>
      <c r="AO290" s="212">
        <v>0</v>
      </c>
      <c r="AP290" s="196"/>
      <c r="AQ290">
        <f t="shared" ref="AQ290:AQ306" si="40">SUM(Q290:AK290)</f>
        <v>1226</v>
      </c>
      <c r="AR290" s="7">
        <f t="shared" ref="AR290:AR306" si="41">AQ290-O290</f>
        <v>0</v>
      </c>
      <c r="AS290" s="51"/>
      <c r="AT290" s="7">
        <f t="shared" ref="AT290:AT306" si="42">O290*SUM(AU290:AV290)</f>
        <v>92.685599999999994</v>
      </c>
      <c r="AU290" s="52"/>
      <c r="AV290" s="12">
        <f t="shared" ref="AV290:AV305" si="43">D290</f>
        <v>7.5600000000000001E-2</v>
      </c>
      <c r="AW290" s="7">
        <f t="shared" ref="AW290:AW305" si="44">O290</f>
        <v>1226</v>
      </c>
      <c r="AX290" s="31">
        <f t="shared" ref="AX290:AX306" si="45">SUM(Q290:AP290)</f>
        <v>1226</v>
      </c>
      <c r="AY290" s="31">
        <f t="shared" ref="AY290:AY306" si="46">+O290-AX290</f>
        <v>0</v>
      </c>
    </row>
    <row r="291" spans="1:51" x14ac:dyDescent="0.2">
      <c r="A291" s="196" t="s">
        <v>163</v>
      </c>
      <c r="B291" s="196"/>
      <c r="C291" s="196" t="s">
        <v>242</v>
      </c>
      <c r="D291" s="197">
        <v>7.5600000000000001E-2</v>
      </c>
      <c r="E291" s="198"/>
      <c r="F291" s="198"/>
      <c r="G291" s="200" t="s">
        <v>172</v>
      </c>
      <c r="H291" s="196" t="s">
        <v>164</v>
      </c>
      <c r="I291" s="200"/>
      <c r="J291" s="196"/>
      <c r="K291" s="283"/>
      <c r="L291" s="196"/>
      <c r="M291" s="212">
        <v>1208</v>
      </c>
      <c r="N291" s="196"/>
      <c r="O291" s="212">
        <f t="shared" si="39"/>
        <v>1226</v>
      </c>
      <c r="P291" s="213"/>
      <c r="Q291" s="212">
        <f t="shared" ref="Q291:Q306" si="47">+O291</f>
        <v>1226</v>
      </c>
      <c r="R291" s="213"/>
      <c r="S291" s="212">
        <v>0</v>
      </c>
      <c r="T291" s="213"/>
      <c r="U291" s="212">
        <v>0</v>
      </c>
      <c r="V291" s="213"/>
      <c r="W291" s="212">
        <v>0</v>
      </c>
      <c r="X291" s="213"/>
      <c r="Y291" s="212">
        <v>0</v>
      </c>
      <c r="Z291" s="213"/>
      <c r="AA291" s="212">
        <v>0</v>
      </c>
      <c r="AB291" s="213"/>
      <c r="AC291" s="212">
        <v>0</v>
      </c>
      <c r="AD291" s="213"/>
      <c r="AE291" s="212">
        <v>0</v>
      </c>
      <c r="AF291" s="213"/>
      <c r="AG291" s="212">
        <v>0</v>
      </c>
      <c r="AH291" s="213"/>
      <c r="AI291" s="212">
        <v>0</v>
      </c>
      <c r="AJ291" s="213"/>
      <c r="AK291" s="212">
        <v>0</v>
      </c>
      <c r="AL291" s="212"/>
      <c r="AM291" s="212">
        <v>0</v>
      </c>
      <c r="AN291" s="213"/>
      <c r="AO291" s="212">
        <v>0</v>
      </c>
      <c r="AP291" s="196"/>
      <c r="AQ291">
        <f t="shared" si="40"/>
        <v>1226</v>
      </c>
      <c r="AR291" s="7">
        <f t="shared" si="41"/>
        <v>0</v>
      </c>
      <c r="AS291" s="51"/>
      <c r="AT291" s="7">
        <f t="shared" si="42"/>
        <v>92.685599999999994</v>
      </c>
      <c r="AU291" s="52"/>
      <c r="AV291" s="12">
        <f t="shared" si="43"/>
        <v>7.5600000000000001E-2</v>
      </c>
      <c r="AW291" s="7">
        <f t="shared" si="44"/>
        <v>1226</v>
      </c>
      <c r="AX291" s="31">
        <f t="shared" si="45"/>
        <v>1226</v>
      </c>
      <c r="AY291" s="31">
        <f t="shared" si="46"/>
        <v>0</v>
      </c>
    </row>
    <row r="292" spans="1:51" x14ac:dyDescent="0.2">
      <c r="A292" s="196" t="s">
        <v>163</v>
      </c>
      <c r="B292" s="196"/>
      <c r="C292" s="196" t="s">
        <v>242</v>
      </c>
      <c r="D292" s="197">
        <v>7.5600000000000001E-2</v>
      </c>
      <c r="E292" s="198"/>
      <c r="F292" s="198"/>
      <c r="G292" s="200" t="s">
        <v>173</v>
      </c>
      <c r="H292" s="196" t="s">
        <v>164</v>
      </c>
      <c r="I292" s="200"/>
      <c r="J292" s="196"/>
      <c r="K292" s="283"/>
      <c r="L292" s="196"/>
      <c r="M292" s="212">
        <v>604</v>
      </c>
      <c r="N292" s="196"/>
      <c r="O292" s="212">
        <f t="shared" si="39"/>
        <v>613</v>
      </c>
      <c r="P292" s="213"/>
      <c r="Q292" s="212">
        <f t="shared" si="47"/>
        <v>613</v>
      </c>
      <c r="R292" s="213"/>
      <c r="S292" s="212">
        <v>0</v>
      </c>
      <c r="T292" s="213"/>
      <c r="U292" s="212">
        <v>0</v>
      </c>
      <c r="V292" s="213"/>
      <c r="W292" s="212">
        <v>0</v>
      </c>
      <c r="X292" s="213"/>
      <c r="Y292" s="212">
        <v>0</v>
      </c>
      <c r="Z292" s="213"/>
      <c r="AA292" s="212">
        <v>0</v>
      </c>
      <c r="AB292" s="213"/>
      <c r="AC292" s="212">
        <v>0</v>
      </c>
      <c r="AD292" s="213"/>
      <c r="AE292" s="212">
        <v>0</v>
      </c>
      <c r="AF292" s="213"/>
      <c r="AG292" s="212">
        <v>0</v>
      </c>
      <c r="AH292" s="213"/>
      <c r="AI292" s="212">
        <v>0</v>
      </c>
      <c r="AJ292" s="213"/>
      <c r="AK292" s="212">
        <v>0</v>
      </c>
      <c r="AL292" s="212"/>
      <c r="AM292" s="212">
        <v>0</v>
      </c>
      <c r="AN292" s="213"/>
      <c r="AO292" s="212">
        <v>0</v>
      </c>
      <c r="AP292" s="196"/>
      <c r="AQ292">
        <f t="shared" si="40"/>
        <v>613</v>
      </c>
      <c r="AR292" s="7">
        <f t="shared" si="41"/>
        <v>0</v>
      </c>
      <c r="AS292" s="51"/>
      <c r="AT292" s="7">
        <f t="shared" si="42"/>
        <v>46.342799999999997</v>
      </c>
      <c r="AU292" s="52"/>
      <c r="AV292" s="12">
        <f t="shared" si="43"/>
        <v>7.5600000000000001E-2</v>
      </c>
      <c r="AW292" s="7">
        <f t="shared" si="44"/>
        <v>613</v>
      </c>
      <c r="AX292" s="31">
        <f t="shared" si="45"/>
        <v>613</v>
      </c>
      <c r="AY292" s="31">
        <f t="shared" si="46"/>
        <v>0</v>
      </c>
    </row>
    <row r="293" spans="1:51" x14ac:dyDescent="0.2">
      <c r="A293" s="196" t="s">
        <v>163</v>
      </c>
      <c r="B293" s="196"/>
      <c r="C293" s="196" t="s">
        <v>242</v>
      </c>
      <c r="D293" s="197">
        <v>6.2100000000000002E-2</v>
      </c>
      <c r="E293" s="198"/>
      <c r="F293" s="198"/>
      <c r="G293" s="200" t="s">
        <v>174</v>
      </c>
      <c r="H293" s="196" t="s">
        <v>164</v>
      </c>
      <c r="I293" s="200"/>
      <c r="J293" s="196"/>
      <c r="K293" s="283"/>
      <c r="L293" s="196"/>
      <c r="M293" s="212">
        <v>7368</v>
      </c>
      <c r="N293" s="196"/>
      <c r="O293" s="212">
        <f t="shared" si="39"/>
        <v>7481</v>
      </c>
      <c r="P293" s="213"/>
      <c r="Q293" s="212">
        <f t="shared" si="47"/>
        <v>7481</v>
      </c>
      <c r="R293" s="213"/>
      <c r="S293" s="212">
        <v>0</v>
      </c>
      <c r="T293" s="213"/>
      <c r="U293" s="212">
        <v>0</v>
      </c>
      <c r="V293" s="213"/>
      <c r="W293" s="212">
        <v>0</v>
      </c>
      <c r="X293" s="213"/>
      <c r="Y293" s="212">
        <v>0</v>
      </c>
      <c r="Z293" s="213"/>
      <c r="AA293" s="212">
        <v>0</v>
      </c>
      <c r="AB293" s="213"/>
      <c r="AC293" s="212">
        <v>0</v>
      </c>
      <c r="AD293" s="213"/>
      <c r="AE293" s="212">
        <v>0</v>
      </c>
      <c r="AF293" s="213"/>
      <c r="AG293" s="212">
        <v>0</v>
      </c>
      <c r="AH293" s="213"/>
      <c r="AI293" s="212">
        <v>0</v>
      </c>
      <c r="AJ293" s="213"/>
      <c r="AK293" s="212">
        <v>0</v>
      </c>
      <c r="AL293" s="212"/>
      <c r="AM293" s="212">
        <v>0</v>
      </c>
      <c r="AN293" s="213"/>
      <c r="AO293" s="212">
        <v>0</v>
      </c>
      <c r="AP293" s="196"/>
      <c r="AQ293">
        <f t="shared" si="40"/>
        <v>7481</v>
      </c>
      <c r="AR293" s="7">
        <f t="shared" si="41"/>
        <v>0</v>
      </c>
      <c r="AS293" s="51"/>
      <c r="AT293" s="7">
        <f t="shared" si="42"/>
        <v>464.57010000000002</v>
      </c>
      <c r="AU293" s="52"/>
      <c r="AV293" s="12">
        <f t="shared" si="43"/>
        <v>6.2100000000000002E-2</v>
      </c>
      <c r="AW293" s="7">
        <f t="shared" si="44"/>
        <v>7481</v>
      </c>
      <c r="AX293" s="31">
        <f t="shared" si="45"/>
        <v>7481</v>
      </c>
      <c r="AY293" s="31">
        <f t="shared" si="46"/>
        <v>0</v>
      </c>
    </row>
    <row r="294" spans="1:51" x14ac:dyDescent="0.2">
      <c r="A294" s="196" t="s">
        <v>163</v>
      </c>
      <c r="B294" s="196"/>
      <c r="C294" s="196" t="s">
        <v>242</v>
      </c>
      <c r="D294" s="197">
        <v>6.2100000000000002E-2</v>
      </c>
      <c r="E294" s="198"/>
      <c r="F294" s="198"/>
      <c r="G294" s="200" t="s">
        <v>175</v>
      </c>
      <c r="H294" s="196" t="s">
        <v>164</v>
      </c>
      <c r="I294" s="200"/>
      <c r="J294" s="196"/>
      <c r="K294" s="283"/>
      <c r="L294" s="196"/>
      <c r="M294" s="212">
        <v>7247</v>
      </c>
      <c r="N294" s="196"/>
      <c r="O294" s="212">
        <f t="shared" si="39"/>
        <v>7358</v>
      </c>
      <c r="P294" s="213"/>
      <c r="Q294" s="212">
        <f t="shared" si="47"/>
        <v>7358</v>
      </c>
      <c r="R294" s="213"/>
      <c r="S294" s="212">
        <v>0</v>
      </c>
      <c r="T294" s="213"/>
      <c r="U294" s="212">
        <v>0</v>
      </c>
      <c r="V294" s="213"/>
      <c r="W294" s="212">
        <v>0</v>
      </c>
      <c r="X294" s="213"/>
      <c r="Y294" s="212">
        <v>0</v>
      </c>
      <c r="Z294" s="213"/>
      <c r="AA294" s="212">
        <v>0</v>
      </c>
      <c r="AB294" s="213"/>
      <c r="AC294" s="212">
        <v>0</v>
      </c>
      <c r="AD294" s="213"/>
      <c r="AE294" s="212">
        <v>0</v>
      </c>
      <c r="AF294" s="213"/>
      <c r="AG294" s="212">
        <v>0</v>
      </c>
      <c r="AH294" s="213"/>
      <c r="AI294" s="212">
        <v>0</v>
      </c>
      <c r="AJ294" s="213"/>
      <c r="AK294" s="212">
        <v>0</v>
      </c>
      <c r="AL294" s="212"/>
      <c r="AM294" s="212">
        <v>0</v>
      </c>
      <c r="AN294" s="213"/>
      <c r="AO294" s="212">
        <v>0</v>
      </c>
      <c r="AP294" s="196"/>
      <c r="AQ294">
        <f t="shared" si="40"/>
        <v>7358</v>
      </c>
      <c r="AR294" s="7">
        <f t="shared" si="41"/>
        <v>0</v>
      </c>
      <c r="AS294" s="51"/>
      <c r="AT294" s="7">
        <f t="shared" si="42"/>
        <v>456.93180000000001</v>
      </c>
      <c r="AU294" s="52"/>
      <c r="AV294" s="12">
        <f t="shared" si="43"/>
        <v>6.2100000000000002E-2</v>
      </c>
      <c r="AW294" s="7">
        <f t="shared" si="44"/>
        <v>7358</v>
      </c>
      <c r="AX294" s="31">
        <f t="shared" si="45"/>
        <v>7358</v>
      </c>
      <c r="AY294" s="31">
        <f t="shared" si="46"/>
        <v>0</v>
      </c>
    </row>
    <row r="295" spans="1:51" x14ac:dyDescent="0.2">
      <c r="A295" s="196" t="s">
        <v>163</v>
      </c>
      <c r="B295" s="196"/>
      <c r="C295" s="196" t="s">
        <v>242</v>
      </c>
      <c r="D295" s="197">
        <v>6.2100000000000002E-2</v>
      </c>
      <c r="E295" s="198"/>
      <c r="F295" s="198"/>
      <c r="G295" s="283"/>
      <c r="H295" s="196" t="s">
        <v>164</v>
      </c>
      <c r="I295" s="200"/>
      <c r="J295" s="196"/>
      <c r="K295" s="283"/>
      <c r="L295" s="196"/>
      <c r="M295" s="212">
        <v>3623</v>
      </c>
      <c r="N295" s="196"/>
      <c r="O295" s="212">
        <f t="shared" si="39"/>
        <v>3679</v>
      </c>
      <c r="P295" s="213"/>
      <c r="Q295" s="212">
        <f t="shared" si="47"/>
        <v>3679</v>
      </c>
      <c r="R295" s="213"/>
      <c r="S295" s="212">
        <v>0</v>
      </c>
      <c r="T295" s="213"/>
      <c r="U295" s="212">
        <v>0</v>
      </c>
      <c r="V295" s="213"/>
      <c r="W295" s="212">
        <v>0</v>
      </c>
      <c r="X295" s="213"/>
      <c r="Y295" s="212">
        <v>0</v>
      </c>
      <c r="Z295" s="213"/>
      <c r="AA295" s="212">
        <v>0</v>
      </c>
      <c r="AB295" s="213"/>
      <c r="AC295" s="212">
        <v>0</v>
      </c>
      <c r="AD295" s="213"/>
      <c r="AE295" s="212">
        <v>0</v>
      </c>
      <c r="AF295" s="213"/>
      <c r="AG295" s="212">
        <v>0</v>
      </c>
      <c r="AH295" s="213"/>
      <c r="AI295" s="212">
        <v>0</v>
      </c>
      <c r="AJ295" s="213"/>
      <c r="AK295" s="212">
        <v>0</v>
      </c>
      <c r="AL295" s="212"/>
      <c r="AM295" s="212">
        <v>0</v>
      </c>
      <c r="AN295" s="213"/>
      <c r="AO295" s="212">
        <v>0</v>
      </c>
      <c r="AP295" s="196"/>
      <c r="AQ295">
        <f t="shared" si="40"/>
        <v>3679</v>
      </c>
      <c r="AR295" s="7">
        <f t="shared" si="41"/>
        <v>0</v>
      </c>
      <c r="AS295" s="51"/>
      <c r="AT295" s="7">
        <f t="shared" si="42"/>
        <v>228.4659</v>
      </c>
      <c r="AU295" s="52"/>
      <c r="AV295" s="12">
        <f t="shared" si="43"/>
        <v>6.2100000000000002E-2</v>
      </c>
      <c r="AW295" s="7">
        <f t="shared" si="44"/>
        <v>3679</v>
      </c>
      <c r="AX295" s="31">
        <f t="shared" si="45"/>
        <v>3679</v>
      </c>
      <c r="AY295" s="31">
        <f t="shared" si="46"/>
        <v>0</v>
      </c>
    </row>
    <row r="296" spans="1:51" x14ac:dyDescent="0.2">
      <c r="A296" s="196" t="s">
        <v>163</v>
      </c>
      <c r="B296" s="196"/>
      <c r="C296" s="196" t="s">
        <v>242</v>
      </c>
      <c r="D296" s="197">
        <v>7.5600000000000001E-2</v>
      </c>
      <c r="E296" s="198"/>
      <c r="F296" s="198"/>
      <c r="G296" s="283"/>
      <c r="H296" s="196" t="s">
        <v>164</v>
      </c>
      <c r="I296" s="200"/>
      <c r="J296" s="196"/>
      <c r="K296" s="283"/>
      <c r="L296" s="196"/>
      <c r="M296" s="212">
        <v>2416</v>
      </c>
      <c r="N296" s="196"/>
      <c r="O296" s="212">
        <f t="shared" si="39"/>
        <v>2453</v>
      </c>
      <c r="P296" s="213"/>
      <c r="Q296" s="212">
        <f t="shared" si="47"/>
        <v>2453</v>
      </c>
      <c r="R296" s="213"/>
      <c r="S296" s="212">
        <v>0</v>
      </c>
      <c r="T296" s="213"/>
      <c r="U296" s="212">
        <v>0</v>
      </c>
      <c r="V296" s="213"/>
      <c r="W296" s="212">
        <v>0</v>
      </c>
      <c r="X296" s="213"/>
      <c r="Y296" s="212">
        <v>0</v>
      </c>
      <c r="Z296" s="213"/>
      <c r="AA296" s="212">
        <v>0</v>
      </c>
      <c r="AB296" s="213"/>
      <c r="AC296" s="212">
        <v>0</v>
      </c>
      <c r="AD296" s="213"/>
      <c r="AE296" s="212">
        <v>0</v>
      </c>
      <c r="AF296" s="213"/>
      <c r="AG296" s="212">
        <v>0</v>
      </c>
      <c r="AH296" s="213"/>
      <c r="AI296" s="212">
        <v>0</v>
      </c>
      <c r="AJ296" s="213"/>
      <c r="AK296" s="212">
        <v>0</v>
      </c>
      <c r="AL296" s="212"/>
      <c r="AM296" s="212">
        <v>0</v>
      </c>
      <c r="AN296" s="213"/>
      <c r="AO296" s="212">
        <v>0</v>
      </c>
      <c r="AP296" s="196"/>
      <c r="AQ296">
        <f t="shared" si="40"/>
        <v>2453</v>
      </c>
      <c r="AR296" s="7">
        <f t="shared" si="41"/>
        <v>0</v>
      </c>
      <c r="AS296" s="51"/>
      <c r="AT296" s="7">
        <f t="shared" si="42"/>
        <v>185.4468</v>
      </c>
      <c r="AU296" s="52"/>
      <c r="AV296" s="12">
        <f t="shared" si="43"/>
        <v>7.5600000000000001E-2</v>
      </c>
      <c r="AW296" s="7">
        <f t="shared" si="44"/>
        <v>2453</v>
      </c>
      <c r="AX296" s="31">
        <f t="shared" si="45"/>
        <v>2453</v>
      </c>
      <c r="AY296" s="31">
        <f t="shared" si="46"/>
        <v>0</v>
      </c>
    </row>
    <row r="297" spans="1:51" x14ac:dyDescent="0.2">
      <c r="A297" s="196" t="s">
        <v>163</v>
      </c>
      <c r="B297" s="196"/>
      <c r="C297" s="196" t="s">
        <v>242</v>
      </c>
      <c r="D297" s="197">
        <v>7.5600000000000001E-2</v>
      </c>
      <c r="E297" s="198"/>
      <c r="F297" s="198"/>
      <c r="G297" s="283"/>
      <c r="H297" s="196" t="s">
        <v>164</v>
      </c>
      <c r="I297" s="200"/>
      <c r="J297" s="196"/>
      <c r="K297" s="283"/>
      <c r="L297" s="196"/>
      <c r="M297" s="212">
        <v>2416</v>
      </c>
      <c r="N297" s="196"/>
      <c r="O297" s="212">
        <f t="shared" si="39"/>
        <v>2453</v>
      </c>
      <c r="P297" s="213"/>
      <c r="Q297" s="212">
        <f t="shared" si="47"/>
        <v>2453</v>
      </c>
      <c r="R297" s="213"/>
      <c r="S297" s="212">
        <v>0</v>
      </c>
      <c r="T297" s="213"/>
      <c r="U297" s="212">
        <v>0</v>
      </c>
      <c r="V297" s="213"/>
      <c r="W297" s="212">
        <v>0</v>
      </c>
      <c r="X297" s="213"/>
      <c r="Y297" s="212">
        <v>0</v>
      </c>
      <c r="Z297" s="213"/>
      <c r="AA297" s="212">
        <v>0</v>
      </c>
      <c r="AB297" s="213"/>
      <c r="AC297" s="212">
        <v>0</v>
      </c>
      <c r="AD297" s="213"/>
      <c r="AE297" s="212">
        <v>0</v>
      </c>
      <c r="AF297" s="213"/>
      <c r="AG297" s="212">
        <v>0</v>
      </c>
      <c r="AH297" s="213"/>
      <c r="AI297" s="212">
        <v>0</v>
      </c>
      <c r="AJ297" s="213"/>
      <c r="AK297" s="212">
        <v>0</v>
      </c>
      <c r="AL297" s="212"/>
      <c r="AM297" s="212">
        <v>0</v>
      </c>
      <c r="AN297" s="213"/>
      <c r="AO297" s="212">
        <v>0</v>
      </c>
      <c r="AP297" s="196"/>
      <c r="AQ297">
        <f t="shared" si="40"/>
        <v>2453</v>
      </c>
      <c r="AR297" s="7">
        <f t="shared" si="41"/>
        <v>0</v>
      </c>
      <c r="AS297" s="51"/>
      <c r="AT297" s="7">
        <f t="shared" si="42"/>
        <v>185.4468</v>
      </c>
      <c r="AU297" s="52"/>
      <c r="AV297" s="12">
        <f t="shared" si="43"/>
        <v>7.5600000000000001E-2</v>
      </c>
      <c r="AW297" s="7">
        <f t="shared" si="44"/>
        <v>2453</v>
      </c>
      <c r="AX297" s="31">
        <f t="shared" si="45"/>
        <v>2453</v>
      </c>
      <c r="AY297" s="31">
        <f t="shared" si="46"/>
        <v>0</v>
      </c>
    </row>
    <row r="298" spans="1:51" x14ac:dyDescent="0.2">
      <c r="A298" s="196" t="s">
        <v>163</v>
      </c>
      <c r="B298" s="196"/>
      <c r="C298" s="196" t="s">
        <v>242</v>
      </c>
      <c r="D298" s="197">
        <v>7.5600000000000001E-2</v>
      </c>
      <c r="E298" s="198"/>
      <c r="F298" s="198"/>
      <c r="G298" s="283"/>
      <c r="H298" s="196" t="s">
        <v>164</v>
      </c>
      <c r="I298" s="200"/>
      <c r="J298" s="196"/>
      <c r="K298" s="283"/>
      <c r="L298" s="196"/>
      <c r="M298" s="212">
        <v>3623</v>
      </c>
      <c r="N298" s="196"/>
      <c r="O298" s="212">
        <f t="shared" si="39"/>
        <v>3679</v>
      </c>
      <c r="P298" s="213"/>
      <c r="Q298" s="212">
        <f t="shared" si="47"/>
        <v>3679</v>
      </c>
      <c r="R298" s="213"/>
      <c r="S298" s="212">
        <v>0</v>
      </c>
      <c r="T298" s="213"/>
      <c r="U298" s="212">
        <v>0</v>
      </c>
      <c r="V298" s="213"/>
      <c r="W298" s="212">
        <v>0</v>
      </c>
      <c r="X298" s="213"/>
      <c r="Y298" s="212">
        <v>0</v>
      </c>
      <c r="Z298" s="213"/>
      <c r="AA298" s="212">
        <v>0</v>
      </c>
      <c r="AB298" s="213"/>
      <c r="AC298" s="212">
        <v>0</v>
      </c>
      <c r="AD298" s="213"/>
      <c r="AE298" s="212">
        <v>0</v>
      </c>
      <c r="AF298" s="213"/>
      <c r="AG298" s="212">
        <v>0</v>
      </c>
      <c r="AH298" s="213"/>
      <c r="AI298" s="212">
        <v>0</v>
      </c>
      <c r="AJ298" s="213"/>
      <c r="AK298" s="212">
        <v>0</v>
      </c>
      <c r="AL298" s="212"/>
      <c r="AM298" s="212">
        <v>0</v>
      </c>
      <c r="AN298" s="213"/>
      <c r="AO298" s="212">
        <v>0</v>
      </c>
      <c r="AP298" s="196"/>
      <c r="AQ298">
        <f t="shared" si="40"/>
        <v>3679</v>
      </c>
      <c r="AR298" s="7">
        <f t="shared" si="41"/>
        <v>0</v>
      </c>
      <c r="AS298" s="51"/>
      <c r="AT298" s="7">
        <f t="shared" si="42"/>
        <v>278.13240000000002</v>
      </c>
      <c r="AU298" s="52"/>
      <c r="AV298" s="12">
        <f t="shared" si="43"/>
        <v>7.5600000000000001E-2</v>
      </c>
      <c r="AW298" s="7">
        <f t="shared" si="44"/>
        <v>3679</v>
      </c>
      <c r="AX298" s="31">
        <f t="shared" si="45"/>
        <v>3679</v>
      </c>
      <c r="AY298" s="31">
        <f t="shared" si="46"/>
        <v>0</v>
      </c>
    </row>
    <row r="299" spans="1:51" x14ac:dyDescent="0.2">
      <c r="A299" s="196" t="s">
        <v>163</v>
      </c>
      <c r="B299" s="196"/>
      <c r="C299" s="196" t="s">
        <v>242</v>
      </c>
      <c r="D299" s="197">
        <v>7.5600000000000001E-2</v>
      </c>
      <c r="E299" s="198"/>
      <c r="F299" s="198"/>
      <c r="G299" s="283"/>
      <c r="H299" s="196" t="s">
        <v>164</v>
      </c>
      <c r="I299" s="200"/>
      <c r="J299" s="196"/>
      <c r="K299" s="283"/>
      <c r="L299" s="196"/>
      <c r="M299" s="212">
        <v>3623</v>
      </c>
      <c r="N299" s="196"/>
      <c r="O299" s="212">
        <f t="shared" si="39"/>
        <v>3679</v>
      </c>
      <c r="P299" s="213"/>
      <c r="Q299" s="212">
        <f t="shared" si="47"/>
        <v>3679</v>
      </c>
      <c r="R299" s="213"/>
      <c r="S299" s="212">
        <v>0</v>
      </c>
      <c r="T299" s="213"/>
      <c r="U299" s="212">
        <v>0</v>
      </c>
      <c r="V299" s="213"/>
      <c r="W299" s="212">
        <v>0</v>
      </c>
      <c r="X299" s="213"/>
      <c r="Y299" s="212">
        <v>0</v>
      </c>
      <c r="Z299" s="213"/>
      <c r="AA299" s="212">
        <v>0</v>
      </c>
      <c r="AB299" s="213"/>
      <c r="AC299" s="212">
        <v>0</v>
      </c>
      <c r="AD299" s="213"/>
      <c r="AE299" s="212">
        <v>0</v>
      </c>
      <c r="AF299" s="213"/>
      <c r="AG299" s="212">
        <v>0</v>
      </c>
      <c r="AH299" s="213"/>
      <c r="AI299" s="212">
        <v>0</v>
      </c>
      <c r="AJ299" s="213"/>
      <c r="AK299" s="212">
        <v>0</v>
      </c>
      <c r="AL299" s="212"/>
      <c r="AM299" s="212">
        <v>0</v>
      </c>
      <c r="AN299" s="213"/>
      <c r="AO299" s="212">
        <v>0</v>
      </c>
      <c r="AP299" s="196"/>
      <c r="AQ299">
        <f t="shared" si="40"/>
        <v>3679</v>
      </c>
      <c r="AR299" s="7">
        <f t="shared" si="41"/>
        <v>0</v>
      </c>
      <c r="AS299" s="51"/>
      <c r="AT299" s="7">
        <f t="shared" si="42"/>
        <v>278.13240000000002</v>
      </c>
      <c r="AU299" s="52"/>
      <c r="AV299" s="12">
        <f t="shared" si="43"/>
        <v>7.5600000000000001E-2</v>
      </c>
      <c r="AW299" s="7">
        <f t="shared" si="44"/>
        <v>3679</v>
      </c>
      <c r="AX299" s="31">
        <f t="shared" si="45"/>
        <v>3679</v>
      </c>
      <c r="AY299" s="31">
        <f t="shared" si="46"/>
        <v>0</v>
      </c>
    </row>
    <row r="300" spans="1:51" x14ac:dyDescent="0.2">
      <c r="A300" s="196" t="s">
        <v>163</v>
      </c>
      <c r="B300" s="196"/>
      <c r="C300" s="196" t="s">
        <v>242</v>
      </c>
      <c r="D300" s="197">
        <v>6.2100000000000002E-2</v>
      </c>
      <c r="E300" s="198"/>
      <c r="F300" s="198"/>
      <c r="G300" s="283"/>
      <c r="H300" s="196" t="s">
        <v>164</v>
      </c>
      <c r="I300" s="200"/>
      <c r="J300" s="196"/>
      <c r="K300" s="283"/>
      <c r="L300" s="196"/>
      <c r="M300" s="212">
        <v>2416</v>
      </c>
      <c r="N300" s="196"/>
      <c r="O300" s="212">
        <f t="shared" si="39"/>
        <v>2453</v>
      </c>
      <c r="P300" s="213"/>
      <c r="Q300" s="212">
        <f t="shared" si="47"/>
        <v>2453</v>
      </c>
      <c r="R300" s="213"/>
      <c r="S300" s="212">
        <v>0</v>
      </c>
      <c r="T300" s="213"/>
      <c r="U300" s="212">
        <v>0</v>
      </c>
      <c r="V300" s="213"/>
      <c r="W300" s="212">
        <v>0</v>
      </c>
      <c r="X300" s="213"/>
      <c r="Y300" s="212">
        <v>0</v>
      </c>
      <c r="Z300" s="213"/>
      <c r="AA300" s="212">
        <v>0</v>
      </c>
      <c r="AB300" s="213"/>
      <c r="AC300" s="212">
        <v>0</v>
      </c>
      <c r="AD300" s="213"/>
      <c r="AE300" s="212">
        <v>0</v>
      </c>
      <c r="AF300" s="213"/>
      <c r="AG300" s="212">
        <v>0</v>
      </c>
      <c r="AH300" s="213"/>
      <c r="AI300" s="212">
        <v>0</v>
      </c>
      <c r="AJ300" s="213"/>
      <c r="AK300" s="212">
        <v>0</v>
      </c>
      <c r="AL300" s="212"/>
      <c r="AM300" s="212">
        <v>0</v>
      </c>
      <c r="AN300" s="213"/>
      <c r="AO300" s="212">
        <v>0</v>
      </c>
      <c r="AP300" s="196"/>
      <c r="AQ300">
        <f t="shared" si="40"/>
        <v>2453</v>
      </c>
      <c r="AR300" s="7">
        <f t="shared" si="41"/>
        <v>0</v>
      </c>
      <c r="AS300" s="51"/>
      <c r="AT300" s="7">
        <f t="shared" si="42"/>
        <v>152.3313</v>
      </c>
      <c r="AU300" s="52"/>
      <c r="AV300" s="12">
        <f t="shared" si="43"/>
        <v>6.2100000000000002E-2</v>
      </c>
      <c r="AW300" s="7">
        <f t="shared" si="44"/>
        <v>2453</v>
      </c>
      <c r="AX300" s="31">
        <f t="shared" si="45"/>
        <v>2453</v>
      </c>
      <c r="AY300" s="31">
        <f t="shared" si="46"/>
        <v>0</v>
      </c>
    </row>
    <row r="301" spans="1:51" x14ac:dyDescent="0.2">
      <c r="A301" s="196" t="s">
        <v>163</v>
      </c>
      <c r="B301" s="196"/>
      <c r="C301" s="196" t="s">
        <v>242</v>
      </c>
      <c r="D301" s="197">
        <v>6.2100000000000002E-2</v>
      </c>
      <c r="E301" s="198"/>
      <c r="F301" s="198"/>
      <c r="G301" s="283"/>
      <c r="H301" s="196" t="s">
        <v>164</v>
      </c>
      <c r="I301" s="200"/>
      <c r="J301" s="196"/>
      <c r="K301" s="283"/>
      <c r="L301" s="196"/>
      <c r="M301" s="212">
        <v>3020</v>
      </c>
      <c r="N301" s="196"/>
      <c r="O301" s="212">
        <f t="shared" si="39"/>
        <v>3066</v>
      </c>
      <c r="P301" s="213"/>
      <c r="Q301" s="212">
        <f t="shared" si="47"/>
        <v>3066</v>
      </c>
      <c r="R301" s="213"/>
      <c r="S301" s="212">
        <v>0</v>
      </c>
      <c r="T301" s="213"/>
      <c r="U301" s="212">
        <v>0</v>
      </c>
      <c r="V301" s="213"/>
      <c r="W301" s="212">
        <v>0</v>
      </c>
      <c r="X301" s="213"/>
      <c r="Y301" s="212">
        <v>0</v>
      </c>
      <c r="Z301" s="213"/>
      <c r="AA301" s="212">
        <v>0</v>
      </c>
      <c r="AB301" s="213"/>
      <c r="AC301" s="212">
        <v>0</v>
      </c>
      <c r="AD301" s="213"/>
      <c r="AE301" s="212">
        <v>0</v>
      </c>
      <c r="AF301" s="213"/>
      <c r="AG301" s="212">
        <v>0</v>
      </c>
      <c r="AH301" s="213"/>
      <c r="AI301" s="212">
        <v>0</v>
      </c>
      <c r="AJ301" s="213"/>
      <c r="AK301" s="212">
        <v>0</v>
      </c>
      <c r="AL301" s="212"/>
      <c r="AM301" s="212">
        <v>0</v>
      </c>
      <c r="AN301" s="213"/>
      <c r="AO301" s="212">
        <v>0</v>
      </c>
      <c r="AP301" s="196"/>
      <c r="AQ301">
        <f t="shared" si="40"/>
        <v>3066</v>
      </c>
      <c r="AR301" s="7">
        <f t="shared" si="41"/>
        <v>0</v>
      </c>
      <c r="AS301" s="51"/>
      <c r="AT301" s="7">
        <f t="shared" si="42"/>
        <v>190.39860000000002</v>
      </c>
      <c r="AU301" s="52"/>
      <c r="AV301" s="12">
        <f t="shared" si="43"/>
        <v>6.2100000000000002E-2</v>
      </c>
      <c r="AW301" s="7">
        <f t="shared" si="44"/>
        <v>3066</v>
      </c>
      <c r="AX301" s="31">
        <f t="shared" si="45"/>
        <v>3066</v>
      </c>
      <c r="AY301" s="31">
        <f t="shared" si="46"/>
        <v>0</v>
      </c>
    </row>
    <row r="302" spans="1:51" x14ac:dyDescent="0.2">
      <c r="A302" s="196" t="s">
        <v>163</v>
      </c>
      <c r="B302" s="196"/>
      <c r="C302" s="196" t="s">
        <v>242</v>
      </c>
      <c r="D302" s="197">
        <v>8.0100000000000005E-2</v>
      </c>
      <c r="E302" s="198"/>
      <c r="F302" s="198"/>
      <c r="G302" s="283"/>
      <c r="H302" s="196" t="s">
        <v>164</v>
      </c>
      <c r="I302" s="200"/>
      <c r="J302" s="196"/>
      <c r="K302" s="283"/>
      <c r="L302" s="196"/>
      <c r="M302" s="212">
        <v>7247</v>
      </c>
      <c r="N302" s="196"/>
      <c r="O302" s="212">
        <f t="shared" si="39"/>
        <v>7358</v>
      </c>
      <c r="P302" s="213"/>
      <c r="Q302" s="212">
        <f t="shared" si="47"/>
        <v>7358</v>
      </c>
      <c r="R302" s="213"/>
      <c r="S302" s="212">
        <v>0</v>
      </c>
      <c r="T302" s="213"/>
      <c r="U302" s="212">
        <v>0</v>
      </c>
      <c r="V302" s="213"/>
      <c r="W302" s="212">
        <v>0</v>
      </c>
      <c r="X302" s="213"/>
      <c r="Y302" s="212">
        <v>0</v>
      </c>
      <c r="Z302" s="213"/>
      <c r="AA302" s="212">
        <v>0</v>
      </c>
      <c r="AB302" s="213"/>
      <c r="AC302" s="212">
        <v>0</v>
      </c>
      <c r="AD302" s="213"/>
      <c r="AE302" s="212">
        <v>0</v>
      </c>
      <c r="AF302" s="213"/>
      <c r="AG302" s="212">
        <v>0</v>
      </c>
      <c r="AH302" s="213"/>
      <c r="AI302" s="212">
        <v>0</v>
      </c>
      <c r="AJ302" s="213"/>
      <c r="AK302" s="212">
        <v>0</v>
      </c>
      <c r="AL302" s="212"/>
      <c r="AM302" s="212">
        <v>0</v>
      </c>
      <c r="AN302" s="213"/>
      <c r="AO302" s="212">
        <v>0</v>
      </c>
      <c r="AP302" s="196"/>
      <c r="AQ302">
        <f t="shared" si="40"/>
        <v>7358</v>
      </c>
      <c r="AR302" s="7">
        <f t="shared" si="41"/>
        <v>0</v>
      </c>
      <c r="AS302" s="51"/>
      <c r="AT302" s="7">
        <f t="shared" si="42"/>
        <v>589.37580000000003</v>
      </c>
      <c r="AU302" s="52"/>
      <c r="AV302" s="12">
        <f t="shared" si="43"/>
        <v>8.0100000000000005E-2</v>
      </c>
      <c r="AW302" s="7">
        <f t="shared" si="44"/>
        <v>7358</v>
      </c>
      <c r="AX302" s="31">
        <f t="shared" si="45"/>
        <v>7358</v>
      </c>
      <c r="AY302" s="31">
        <f t="shared" si="46"/>
        <v>0</v>
      </c>
    </row>
    <row r="303" spans="1:51" x14ac:dyDescent="0.2">
      <c r="A303" s="196" t="s">
        <v>163</v>
      </c>
      <c r="B303" s="196"/>
      <c r="C303" s="196" t="s">
        <v>242</v>
      </c>
      <c r="D303" s="197">
        <v>8.0100000000000005E-2</v>
      </c>
      <c r="E303" s="198"/>
      <c r="F303" s="198"/>
      <c r="G303" s="283"/>
      <c r="H303" s="196" t="s">
        <v>164</v>
      </c>
      <c r="I303" s="200"/>
      <c r="J303" s="196"/>
      <c r="K303" s="283"/>
      <c r="L303" s="196"/>
      <c r="M303" s="212">
        <v>4831</v>
      </c>
      <c r="N303" s="196"/>
      <c r="O303" s="212">
        <f t="shared" si="39"/>
        <v>4905</v>
      </c>
      <c r="P303" s="213"/>
      <c r="Q303" s="212">
        <f t="shared" si="47"/>
        <v>4905</v>
      </c>
      <c r="R303" s="213"/>
      <c r="S303" s="212">
        <v>0</v>
      </c>
      <c r="T303" s="213"/>
      <c r="U303" s="212">
        <v>0</v>
      </c>
      <c r="V303" s="213"/>
      <c r="W303" s="212">
        <v>0</v>
      </c>
      <c r="X303" s="213"/>
      <c r="Y303" s="212">
        <v>0</v>
      </c>
      <c r="Z303" s="213"/>
      <c r="AA303" s="212">
        <v>0</v>
      </c>
      <c r="AB303" s="213"/>
      <c r="AC303" s="212">
        <v>0</v>
      </c>
      <c r="AD303" s="213"/>
      <c r="AE303" s="212">
        <v>0</v>
      </c>
      <c r="AF303" s="213"/>
      <c r="AG303" s="212">
        <v>0</v>
      </c>
      <c r="AH303" s="213"/>
      <c r="AI303" s="212">
        <v>0</v>
      </c>
      <c r="AJ303" s="213"/>
      <c r="AK303" s="212">
        <v>0</v>
      </c>
      <c r="AL303" s="212"/>
      <c r="AM303" s="212">
        <v>0</v>
      </c>
      <c r="AN303" s="213"/>
      <c r="AO303" s="212">
        <v>0</v>
      </c>
      <c r="AP303" s="196"/>
      <c r="AQ303">
        <f t="shared" si="40"/>
        <v>4905</v>
      </c>
      <c r="AR303" s="7">
        <f t="shared" si="41"/>
        <v>0</v>
      </c>
      <c r="AS303" s="51"/>
      <c r="AT303" s="7">
        <f t="shared" si="42"/>
        <v>392.89050000000003</v>
      </c>
      <c r="AU303" s="52"/>
      <c r="AV303" s="12">
        <f t="shared" si="43"/>
        <v>8.0100000000000005E-2</v>
      </c>
      <c r="AW303" s="7">
        <f t="shared" si="44"/>
        <v>4905</v>
      </c>
      <c r="AX303" s="31">
        <f t="shared" si="45"/>
        <v>4905</v>
      </c>
      <c r="AY303" s="31">
        <f t="shared" si="46"/>
        <v>0</v>
      </c>
    </row>
    <row r="304" spans="1:51" x14ac:dyDescent="0.2">
      <c r="A304" s="196" t="s">
        <v>163</v>
      </c>
      <c r="B304" s="196"/>
      <c r="C304" s="196" t="s">
        <v>242</v>
      </c>
      <c r="D304" s="209">
        <v>8.0100000000000005E-2</v>
      </c>
      <c r="E304" s="198"/>
      <c r="F304" s="198"/>
      <c r="G304" s="283"/>
      <c r="H304" s="196" t="s">
        <v>164</v>
      </c>
      <c r="I304" s="200"/>
      <c r="J304" s="196"/>
      <c r="K304" s="283"/>
      <c r="L304" s="196"/>
      <c r="M304" s="212">
        <v>1308</v>
      </c>
      <c r="N304" s="196"/>
      <c r="O304" s="212">
        <f t="shared" si="39"/>
        <v>1328</v>
      </c>
      <c r="P304" s="213"/>
      <c r="Q304" s="212">
        <f t="shared" si="47"/>
        <v>1328</v>
      </c>
      <c r="R304" s="213"/>
      <c r="S304" s="212">
        <v>0</v>
      </c>
      <c r="T304" s="213"/>
      <c r="U304" s="212">
        <v>0</v>
      </c>
      <c r="V304" s="213"/>
      <c r="W304" s="212">
        <v>0</v>
      </c>
      <c r="X304" s="213"/>
      <c r="Y304" s="212">
        <v>0</v>
      </c>
      <c r="Z304" s="213"/>
      <c r="AA304" s="212">
        <v>0</v>
      </c>
      <c r="AB304" s="213"/>
      <c r="AC304" s="212">
        <v>0</v>
      </c>
      <c r="AD304" s="213"/>
      <c r="AE304" s="212">
        <v>0</v>
      </c>
      <c r="AF304" s="213"/>
      <c r="AG304" s="212">
        <v>0</v>
      </c>
      <c r="AH304" s="213"/>
      <c r="AI304" s="212">
        <v>0</v>
      </c>
      <c r="AJ304" s="213"/>
      <c r="AK304" s="212">
        <v>0</v>
      </c>
      <c r="AL304" s="212"/>
      <c r="AM304" s="212">
        <v>0</v>
      </c>
      <c r="AN304" s="213"/>
      <c r="AO304" s="212">
        <v>0</v>
      </c>
      <c r="AP304" s="196"/>
      <c r="AQ304">
        <f t="shared" si="40"/>
        <v>1328</v>
      </c>
      <c r="AR304" s="7">
        <f t="shared" si="41"/>
        <v>0</v>
      </c>
      <c r="AS304" s="51"/>
      <c r="AT304" s="7">
        <f t="shared" si="42"/>
        <v>106.37280000000001</v>
      </c>
      <c r="AU304" s="52"/>
      <c r="AV304" s="12">
        <f t="shared" si="43"/>
        <v>8.0100000000000005E-2</v>
      </c>
      <c r="AW304" s="7">
        <f t="shared" si="44"/>
        <v>1328</v>
      </c>
      <c r="AX304" s="31">
        <f t="shared" si="45"/>
        <v>1328</v>
      </c>
      <c r="AY304" s="31">
        <f t="shared" si="46"/>
        <v>0</v>
      </c>
    </row>
    <row r="305" spans="1:51" x14ac:dyDescent="0.2">
      <c r="A305" s="196" t="s">
        <v>163</v>
      </c>
      <c r="B305" s="196"/>
      <c r="C305" s="196" t="s">
        <v>242</v>
      </c>
      <c r="D305" s="209" t="s">
        <v>169</v>
      </c>
      <c r="E305" s="198"/>
      <c r="F305" s="198"/>
      <c r="G305" s="283"/>
      <c r="H305" s="196" t="s">
        <v>164</v>
      </c>
      <c r="I305" s="200"/>
      <c r="J305" s="196"/>
      <c r="K305" s="283"/>
      <c r="L305" s="196"/>
      <c r="M305" s="212">
        <v>20662</v>
      </c>
      <c r="N305" s="196"/>
      <c r="O305" s="212">
        <f t="shared" si="39"/>
        <v>20979</v>
      </c>
      <c r="P305" s="213"/>
      <c r="Q305" s="212">
        <f t="shared" si="47"/>
        <v>20979</v>
      </c>
      <c r="R305" s="213"/>
      <c r="S305" s="212">
        <v>0</v>
      </c>
      <c r="T305" s="213"/>
      <c r="U305" s="212">
        <v>0</v>
      </c>
      <c r="V305" s="213"/>
      <c r="W305" s="212">
        <v>0</v>
      </c>
      <c r="X305" s="213"/>
      <c r="Y305" s="212">
        <v>0</v>
      </c>
      <c r="Z305" s="213"/>
      <c r="AA305" s="212">
        <v>0</v>
      </c>
      <c r="AB305" s="213"/>
      <c r="AC305" s="212">
        <v>0</v>
      </c>
      <c r="AD305" s="213"/>
      <c r="AE305" s="212">
        <v>0</v>
      </c>
      <c r="AF305" s="213"/>
      <c r="AG305" s="212">
        <v>0</v>
      </c>
      <c r="AH305" s="213"/>
      <c r="AI305" s="212">
        <v>0</v>
      </c>
      <c r="AJ305" s="213"/>
      <c r="AK305" s="212">
        <v>0</v>
      </c>
      <c r="AL305" s="212"/>
      <c r="AM305" s="212">
        <v>0</v>
      </c>
      <c r="AN305" s="213"/>
      <c r="AO305" s="212">
        <v>0</v>
      </c>
      <c r="AP305" s="196"/>
      <c r="AQ305">
        <f t="shared" si="40"/>
        <v>20979</v>
      </c>
      <c r="AR305" s="7">
        <f t="shared" si="41"/>
        <v>0</v>
      </c>
      <c r="AS305" s="51"/>
      <c r="AT305" s="7">
        <f t="shared" si="42"/>
        <v>0</v>
      </c>
      <c r="AU305" s="52"/>
      <c r="AV305" s="12" t="str">
        <f t="shared" si="43"/>
        <v>Interest Expense</v>
      </c>
      <c r="AW305" s="7">
        <f t="shared" si="44"/>
        <v>20979</v>
      </c>
      <c r="AX305" s="31">
        <f t="shared" si="45"/>
        <v>20979</v>
      </c>
      <c r="AY305" s="31">
        <f t="shared" si="46"/>
        <v>0</v>
      </c>
    </row>
    <row r="306" spans="1:51" x14ac:dyDescent="0.2">
      <c r="A306" s="196" t="s">
        <v>163</v>
      </c>
      <c r="B306" s="196"/>
      <c r="C306" s="196" t="s">
        <v>242</v>
      </c>
      <c r="D306" s="209">
        <v>8.0100000000000005E-2</v>
      </c>
      <c r="E306" s="198"/>
      <c r="F306" s="198"/>
      <c r="G306" s="200"/>
      <c r="H306" s="196" t="s">
        <v>164</v>
      </c>
      <c r="I306" s="200"/>
      <c r="J306" s="196"/>
      <c r="K306" s="283"/>
      <c r="L306" s="196"/>
      <c r="M306" s="212">
        <v>36235</v>
      </c>
      <c r="N306" s="196"/>
      <c r="O306" s="212">
        <f t="shared" si="39"/>
        <v>36789</v>
      </c>
      <c r="P306" s="213"/>
      <c r="Q306" s="212">
        <f t="shared" si="47"/>
        <v>36789</v>
      </c>
      <c r="R306" s="213"/>
      <c r="S306" s="212">
        <v>0</v>
      </c>
      <c r="T306" s="213"/>
      <c r="U306" s="212">
        <v>0</v>
      </c>
      <c r="V306" s="213"/>
      <c r="W306" s="212">
        <v>0</v>
      </c>
      <c r="X306" s="213"/>
      <c r="Y306" s="212">
        <v>0</v>
      </c>
      <c r="Z306" s="213"/>
      <c r="AA306" s="212">
        <v>0</v>
      </c>
      <c r="AB306" s="213"/>
      <c r="AC306" s="212">
        <v>0</v>
      </c>
      <c r="AD306" s="213"/>
      <c r="AE306" s="212">
        <v>0</v>
      </c>
      <c r="AF306" s="213"/>
      <c r="AG306" s="212">
        <v>0</v>
      </c>
      <c r="AH306" s="213"/>
      <c r="AI306" s="212">
        <v>0</v>
      </c>
      <c r="AJ306" s="213"/>
      <c r="AK306" s="212">
        <v>0</v>
      </c>
      <c r="AL306" s="212"/>
      <c r="AM306" s="212">
        <v>0</v>
      </c>
      <c r="AN306" s="213"/>
      <c r="AO306" s="212">
        <v>0</v>
      </c>
      <c r="AP306" s="196"/>
      <c r="AQ306">
        <f t="shared" si="40"/>
        <v>36789</v>
      </c>
      <c r="AR306" s="7">
        <f t="shared" si="41"/>
        <v>0</v>
      </c>
      <c r="AS306" s="51"/>
      <c r="AT306" s="7">
        <f t="shared" si="42"/>
        <v>2946.7989000000002</v>
      </c>
      <c r="AU306" s="52"/>
      <c r="AV306" s="12">
        <f>D306</f>
        <v>8.0100000000000005E-2</v>
      </c>
      <c r="AW306" s="7">
        <f>O306</f>
        <v>36789</v>
      </c>
      <c r="AX306" s="31">
        <f t="shared" si="45"/>
        <v>36789</v>
      </c>
      <c r="AY306" s="31">
        <f t="shared" si="46"/>
        <v>0</v>
      </c>
    </row>
    <row r="307" spans="1:51" ht="8.1" customHeight="1" x14ac:dyDescent="0.2">
      <c r="A307" s="196"/>
      <c r="B307" s="196"/>
      <c r="C307" s="196"/>
      <c r="D307" s="209"/>
      <c r="E307" s="198"/>
      <c r="F307" s="198"/>
      <c r="G307" s="200"/>
      <c r="H307" s="196"/>
      <c r="I307" s="200"/>
      <c r="J307" s="196"/>
      <c r="K307" s="283"/>
      <c r="L307" s="196"/>
      <c r="M307" s="212"/>
      <c r="N307" s="196"/>
      <c r="O307" s="212"/>
      <c r="P307" s="213"/>
      <c r="Q307" s="212"/>
      <c r="R307" s="213"/>
      <c r="S307" s="212"/>
      <c r="T307" s="213"/>
      <c r="U307" s="212"/>
      <c r="V307" s="213"/>
      <c r="W307" s="212"/>
      <c r="X307" s="213"/>
      <c r="Y307" s="212"/>
      <c r="Z307" s="213"/>
      <c r="AA307" s="212"/>
      <c r="AB307" s="213"/>
      <c r="AC307" s="212"/>
      <c r="AD307" s="213"/>
      <c r="AE307" s="212"/>
      <c r="AF307" s="213"/>
      <c r="AG307" s="212"/>
      <c r="AH307" s="213"/>
      <c r="AI307" s="212"/>
      <c r="AJ307" s="213"/>
      <c r="AK307" s="212"/>
      <c r="AL307" s="212"/>
      <c r="AM307" s="212"/>
      <c r="AN307" s="213"/>
      <c r="AO307" s="212"/>
      <c r="AP307" s="196"/>
      <c r="AQ307"/>
      <c r="AS307" s="51"/>
      <c r="AU307" s="52"/>
      <c r="AX307" s="31"/>
      <c r="AY307" s="31"/>
    </row>
    <row r="308" spans="1:51" x14ac:dyDescent="0.2">
      <c r="A308" s="196"/>
      <c r="B308" s="196"/>
      <c r="C308" s="196"/>
      <c r="D308" s="209"/>
      <c r="E308" s="198"/>
      <c r="F308" s="198"/>
      <c r="G308" s="281" t="s">
        <v>238</v>
      </c>
      <c r="H308" s="196"/>
      <c r="I308" s="200"/>
      <c r="J308" s="196"/>
      <c r="K308" s="283"/>
      <c r="L308" s="196"/>
      <c r="M308" s="277">
        <f>SUM(M289:M307)</f>
        <v>109055</v>
      </c>
      <c r="N308" s="196"/>
      <c r="O308" s="277">
        <f>SUM(O289:O307)</f>
        <v>110725</v>
      </c>
      <c r="P308" s="213"/>
      <c r="Q308" s="277">
        <f>SUM(Q289:Q307)</f>
        <v>110725</v>
      </c>
      <c r="R308" s="213"/>
      <c r="S308" s="277">
        <f>SUM(S289:S307)</f>
        <v>0</v>
      </c>
      <c r="T308" s="213"/>
      <c r="U308" s="277">
        <f>SUM(U289:U307)</f>
        <v>0</v>
      </c>
      <c r="V308" s="213"/>
      <c r="W308" s="277">
        <f>SUM(W289:W307)</f>
        <v>0</v>
      </c>
      <c r="X308" s="213"/>
      <c r="Y308" s="277">
        <f>SUM(Y289:Y307)</f>
        <v>0</v>
      </c>
      <c r="Z308" s="213"/>
      <c r="AA308" s="277">
        <f>SUM(AA289:AA307)</f>
        <v>0</v>
      </c>
      <c r="AB308" s="213"/>
      <c r="AC308" s="277">
        <f>SUM(AC289:AC307)</f>
        <v>0</v>
      </c>
      <c r="AD308" s="213"/>
      <c r="AE308" s="277">
        <f>SUM(AE289:AE307)</f>
        <v>0</v>
      </c>
      <c r="AF308" s="213"/>
      <c r="AG308" s="277">
        <f>SUM(AG289:AG307)</f>
        <v>0</v>
      </c>
      <c r="AH308" s="213"/>
      <c r="AI308" s="277">
        <f>SUM(AI289:AI307)</f>
        <v>0</v>
      </c>
      <c r="AJ308" s="213"/>
      <c r="AK308" s="277">
        <f>SUM(AK289:AK307)</f>
        <v>0</v>
      </c>
      <c r="AL308" s="99"/>
      <c r="AM308" s="277">
        <f>SUM(AM289:AM307)</f>
        <v>0</v>
      </c>
      <c r="AN308" s="213"/>
      <c r="AO308" s="277">
        <f>SUM(AO289:AO307)</f>
        <v>0</v>
      </c>
      <c r="AP308" s="196"/>
      <c r="AQ308"/>
      <c r="AS308" s="51"/>
      <c r="AU308" s="52"/>
      <c r="AX308" s="277">
        <f>SUM(AX289:AX307)</f>
        <v>110725</v>
      </c>
      <c r="AY308" s="277">
        <f>SUM(AY289:AY307)</f>
        <v>0</v>
      </c>
    </row>
    <row r="309" spans="1:51" ht="8.1" customHeight="1" x14ac:dyDescent="0.2">
      <c r="A309" s="102"/>
      <c r="B309" s="102"/>
      <c r="C309" s="102"/>
      <c r="D309" s="121"/>
      <c r="E309" s="101"/>
      <c r="F309" s="101"/>
      <c r="G309" s="120"/>
      <c r="H309" s="102"/>
      <c r="I309" s="112"/>
      <c r="J309" s="102"/>
      <c r="K309" s="120"/>
      <c r="M309" s="40"/>
      <c r="O309" s="40"/>
      <c r="P309" s="29"/>
      <c r="Q309" s="40"/>
      <c r="R309" s="29"/>
      <c r="S309" s="40"/>
      <c r="T309" s="29"/>
      <c r="U309" s="40"/>
      <c r="V309" s="29"/>
      <c r="W309" s="40"/>
      <c r="X309" s="29"/>
      <c r="Y309" s="40"/>
      <c r="Z309" s="29"/>
      <c r="AA309" s="40"/>
      <c r="AB309" s="29"/>
      <c r="AC309" s="40"/>
      <c r="AD309" s="29"/>
      <c r="AE309" s="40"/>
      <c r="AF309" s="29"/>
      <c r="AG309" s="40"/>
      <c r="AH309" s="29"/>
      <c r="AI309" s="40"/>
      <c r="AJ309" s="29"/>
      <c r="AK309" s="40"/>
      <c r="AL309" s="25"/>
      <c r="AM309" s="40"/>
      <c r="AN309" s="29"/>
      <c r="AO309" s="40"/>
      <c r="AQ309"/>
      <c r="AS309" s="51"/>
      <c r="AU309" s="52"/>
      <c r="AX309" s="40"/>
      <c r="AY309" s="40"/>
    </row>
    <row r="310" spans="1:51" x14ac:dyDescent="0.2">
      <c r="A310" s="102"/>
      <c r="B310" s="102"/>
      <c r="C310" s="102"/>
      <c r="D310" s="123" t="s">
        <v>161</v>
      </c>
      <c r="E310" s="23"/>
      <c r="F310" s="23"/>
      <c r="G310" s="54" t="s">
        <v>120</v>
      </c>
      <c r="K310" s="34"/>
      <c r="M310" s="25">
        <f>+M281+M287+M308</f>
        <v>130605</v>
      </c>
      <c r="O310" s="25">
        <f>+O281+O287+O308</f>
        <v>142893</v>
      </c>
      <c r="P310" s="29"/>
      <c r="Q310" s="25">
        <f>+Q281+Q287+Q308</f>
        <v>125268</v>
      </c>
      <c r="R310" s="29"/>
      <c r="S310" s="25">
        <f>+S281+S287+S308</f>
        <v>0</v>
      </c>
      <c r="T310" s="29"/>
      <c r="U310" s="25">
        <f>+U281+U287+U308</f>
        <v>0</v>
      </c>
      <c r="V310" s="29"/>
      <c r="W310" s="25">
        <f>+W281+W287+W308</f>
        <v>17625</v>
      </c>
      <c r="X310" s="29"/>
      <c r="Y310" s="25">
        <f>+Y281+Y287+Y308</f>
        <v>0</v>
      </c>
      <c r="Z310" s="29"/>
      <c r="AA310" s="25">
        <f>+AA281+AA287+AA308</f>
        <v>0</v>
      </c>
      <c r="AB310" s="29"/>
      <c r="AC310" s="25">
        <f>+AC281+AC287+AC308</f>
        <v>0</v>
      </c>
      <c r="AD310" s="29"/>
      <c r="AE310" s="25">
        <f>+AE281+AE287+AE308</f>
        <v>0</v>
      </c>
      <c r="AF310" s="29"/>
      <c r="AG310" s="25">
        <f>+AG281+AG287+AG308</f>
        <v>0</v>
      </c>
      <c r="AH310" s="29"/>
      <c r="AI310" s="25">
        <f>+AI281+AI287+AI308</f>
        <v>0</v>
      </c>
      <c r="AJ310" s="29"/>
      <c r="AK310" s="25">
        <f>+AK281+AK287+AK308</f>
        <v>0</v>
      </c>
      <c r="AL310" s="25"/>
      <c r="AM310" s="25">
        <f>+AM281+AM287+AM308</f>
        <v>0</v>
      </c>
      <c r="AN310" s="29"/>
      <c r="AO310" s="25">
        <f>+AO281+AO287+AO308</f>
        <v>0</v>
      </c>
      <c r="AQ310"/>
      <c r="AS310" s="51"/>
      <c r="AU310" s="52"/>
      <c r="AX310" s="25">
        <f>+AX281+AX287+AX308</f>
        <v>142893</v>
      </c>
      <c r="AY310" s="25">
        <f>+AY281+AY287+AY308</f>
        <v>0</v>
      </c>
    </row>
    <row r="311" spans="1:51" ht="15.75" thickBot="1" x14ac:dyDescent="0.25">
      <c r="A311" s="102"/>
      <c r="B311" s="102"/>
      <c r="C311" s="102"/>
      <c r="D311" s="22"/>
      <c r="E311" s="23"/>
      <c r="F311" s="23"/>
      <c r="G311" s="34"/>
      <c r="K311" s="34"/>
      <c r="M311" s="26"/>
      <c r="O311" s="33"/>
      <c r="P311" s="29"/>
      <c r="Q311" s="26"/>
      <c r="R311" s="29"/>
      <c r="S311" s="26"/>
      <c r="T311" s="29"/>
      <c r="U311" s="26"/>
      <c r="V311" s="29"/>
      <c r="W311" s="26"/>
      <c r="X311" s="29"/>
      <c r="Y311" s="26"/>
      <c r="Z311" s="29"/>
      <c r="AA311" s="26"/>
      <c r="AB311" s="29"/>
      <c r="AC311" s="26"/>
      <c r="AD311" s="29"/>
      <c r="AE311" s="26"/>
      <c r="AF311" s="29"/>
      <c r="AG311" s="26"/>
      <c r="AH311" s="29"/>
      <c r="AI311" s="26"/>
      <c r="AJ311" s="29"/>
      <c r="AK311" s="29"/>
      <c r="AL311" s="29"/>
      <c r="AM311" s="29"/>
      <c r="AN311" s="29"/>
      <c r="AO311" s="29"/>
      <c r="AQ311"/>
      <c r="AS311" s="51"/>
      <c r="AU311" s="52"/>
    </row>
    <row r="312" spans="1:51" x14ac:dyDescent="0.2">
      <c r="A312" s="215"/>
      <c r="B312" s="216"/>
      <c r="C312" s="216"/>
      <c r="D312" s="246" t="s">
        <v>221</v>
      </c>
      <c r="E312" s="247"/>
      <c r="F312" s="247"/>
      <c r="G312" s="248"/>
      <c r="H312" s="173"/>
      <c r="I312" s="174"/>
      <c r="J312" s="173"/>
      <c r="K312" s="248"/>
      <c r="L312" s="173"/>
      <c r="M312" s="249"/>
      <c r="N312" s="173"/>
      <c r="O312" s="250"/>
      <c r="P312" s="222"/>
      <c r="Q312" s="249"/>
      <c r="R312" s="222"/>
      <c r="S312" s="249"/>
      <c r="T312" s="222"/>
      <c r="U312" s="249"/>
      <c r="V312" s="222"/>
      <c r="W312" s="249"/>
      <c r="X312" s="222"/>
      <c r="Y312" s="249"/>
      <c r="Z312" s="222"/>
      <c r="AA312" s="249"/>
      <c r="AB312" s="222"/>
      <c r="AC312" s="249"/>
      <c r="AD312" s="222"/>
      <c r="AE312" s="249"/>
      <c r="AF312" s="222"/>
      <c r="AG312" s="249"/>
      <c r="AH312" s="222"/>
      <c r="AI312" s="249"/>
      <c r="AJ312" s="222"/>
      <c r="AK312" s="222"/>
      <c r="AL312" s="222"/>
      <c r="AM312" s="222"/>
      <c r="AN312" s="222"/>
      <c r="AO312" s="222"/>
      <c r="AP312" s="173"/>
      <c r="AQ312" s="178"/>
      <c r="AR312" s="173"/>
      <c r="AS312" s="224"/>
      <c r="AT312" s="173"/>
      <c r="AU312" s="226"/>
      <c r="AV312" s="180"/>
      <c r="AW312" s="173"/>
      <c r="AX312" s="173"/>
      <c r="AY312" s="251"/>
    </row>
    <row r="313" spans="1:51" x14ac:dyDescent="0.2">
      <c r="A313" s="239"/>
      <c r="B313" s="205"/>
      <c r="C313" s="205"/>
      <c r="D313" s="257"/>
      <c r="E313" s="242"/>
      <c r="F313" s="242"/>
      <c r="G313" s="258"/>
      <c r="H313" s="205"/>
      <c r="I313" s="259"/>
      <c r="J313" s="205"/>
      <c r="K313" s="258"/>
      <c r="L313" s="205"/>
      <c r="M313" s="203">
        <v>0</v>
      </c>
      <c r="N313" s="205"/>
      <c r="O313" s="201">
        <v>0</v>
      </c>
      <c r="P313" s="204"/>
      <c r="Q313" s="260">
        <f>+O313</f>
        <v>0</v>
      </c>
      <c r="R313" s="213"/>
      <c r="S313" s="260">
        <v>0</v>
      </c>
      <c r="T313" s="213"/>
      <c r="U313" s="260">
        <v>0</v>
      </c>
      <c r="V313" s="213"/>
      <c r="W313" s="260">
        <v>0</v>
      </c>
      <c r="X313" s="213"/>
      <c r="Y313" s="260">
        <v>0</v>
      </c>
      <c r="Z313" s="213"/>
      <c r="AA313" s="260">
        <v>0</v>
      </c>
      <c r="AB313" s="213"/>
      <c r="AC313" s="260">
        <v>0</v>
      </c>
      <c r="AD313" s="213"/>
      <c r="AE313" s="260">
        <v>0</v>
      </c>
      <c r="AF313" s="213"/>
      <c r="AG313" s="260">
        <v>0</v>
      </c>
      <c r="AH313" s="213"/>
      <c r="AI313" s="260">
        <v>0</v>
      </c>
      <c r="AJ313" s="213"/>
      <c r="AK313" s="213">
        <v>0</v>
      </c>
      <c r="AL313" s="213"/>
      <c r="AM313" s="213">
        <v>0</v>
      </c>
      <c r="AN313" s="213"/>
      <c r="AO313" s="213">
        <v>0</v>
      </c>
      <c r="AP313" s="196"/>
      <c r="AQ313"/>
      <c r="AS313" s="51"/>
      <c r="AU313" s="52"/>
      <c r="AX313" s="31">
        <f>SUM(Q313:AP313)</f>
        <v>0</v>
      </c>
      <c r="AY313" s="183">
        <f>+O313-AX313</f>
        <v>0</v>
      </c>
    </row>
    <row r="314" spans="1:51" ht="8.1" customHeight="1" thickBot="1" x14ac:dyDescent="0.25">
      <c r="A314" s="231"/>
      <c r="B314" s="232"/>
      <c r="C314" s="232"/>
      <c r="D314" s="253"/>
      <c r="E314" s="187"/>
      <c r="F314" s="187"/>
      <c r="G314" s="254"/>
      <c r="H314" s="189"/>
      <c r="I314" s="233"/>
      <c r="J314" s="189"/>
      <c r="K314" s="254"/>
      <c r="L314" s="189"/>
      <c r="M314" s="255"/>
      <c r="N314" s="189"/>
      <c r="O314" s="256"/>
      <c r="P314" s="235"/>
      <c r="Q314" s="255"/>
      <c r="R314" s="235"/>
      <c r="S314" s="255"/>
      <c r="T314" s="235"/>
      <c r="U314" s="255"/>
      <c r="V314" s="235"/>
      <c r="W314" s="255"/>
      <c r="X314" s="235"/>
      <c r="Y314" s="255"/>
      <c r="Z314" s="235"/>
      <c r="AA314" s="255"/>
      <c r="AB314" s="235"/>
      <c r="AC314" s="255"/>
      <c r="AD314" s="235"/>
      <c r="AE314" s="255"/>
      <c r="AF314" s="235"/>
      <c r="AG314" s="255"/>
      <c r="AH314" s="235"/>
      <c r="AI314" s="255"/>
      <c r="AJ314" s="235"/>
      <c r="AK314" s="235"/>
      <c r="AL314" s="235"/>
      <c r="AM314" s="235"/>
      <c r="AN314" s="235"/>
      <c r="AO314" s="235"/>
      <c r="AP314" s="189"/>
      <c r="AQ314" s="191"/>
      <c r="AR314" s="189"/>
      <c r="AS314" s="236"/>
      <c r="AT314" s="189"/>
      <c r="AU314" s="237"/>
      <c r="AV314" s="193"/>
      <c r="AW314" s="189"/>
      <c r="AX314" s="189"/>
      <c r="AY314" s="238"/>
    </row>
    <row r="315" spans="1:51" x14ac:dyDescent="0.2">
      <c r="A315" s="102"/>
      <c r="B315" s="102"/>
      <c r="C315" s="102"/>
      <c r="D315" s="123" t="s">
        <v>222</v>
      </c>
      <c r="E315" s="23"/>
      <c r="F315" s="23"/>
      <c r="G315" s="34"/>
      <c r="K315" s="34"/>
      <c r="M315" s="26"/>
      <c r="O315" s="33"/>
      <c r="P315" s="29"/>
      <c r="Q315" s="26"/>
      <c r="R315" s="29"/>
      <c r="S315" s="26"/>
      <c r="T315" s="29"/>
      <c r="U315" s="26"/>
      <c r="V315" s="29"/>
      <c r="W315" s="26"/>
      <c r="X315" s="29"/>
      <c r="Y315" s="26"/>
      <c r="Z315" s="29"/>
      <c r="AA315" s="26"/>
      <c r="AB315" s="29"/>
      <c r="AC315" s="26"/>
      <c r="AD315" s="29"/>
      <c r="AE315" s="26"/>
      <c r="AF315" s="29"/>
      <c r="AG315" s="26"/>
      <c r="AH315" s="29"/>
      <c r="AI315" s="26"/>
      <c r="AJ315" s="29"/>
      <c r="AK315" s="29"/>
      <c r="AL315" s="29"/>
      <c r="AM315" s="29"/>
      <c r="AN315" s="29"/>
      <c r="AO315" s="29"/>
      <c r="AQ315"/>
      <c r="AS315" s="51"/>
      <c r="AU315" s="52"/>
    </row>
    <row r="316" spans="1:51" x14ac:dyDescent="0.2">
      <c r="A316" s="102"/>
      <c r="B316" s="102"/>
      <c r="C316" s="102"/>
      <c r="D316" s="278" t="s">
        <v>0</v>
      </c>
      <c r="E316" s="23"/>
      <c r="F316" s="23"/>
      <c r="G316" s="34"/>
      <c r="K316" s="34"/>
      <c r="M316" s="26"/>
      <c r="O316" s="33"/>
      <c r="P316" s="29"/>
      <c r="Q316" s="26"/>
      <c r="R316" s="29"/>
      <c r="S316" s="26"/>
      <c r="T316" s="29"/>
      <c r="U316" s="26"/>
      <c r="V316" s="29"/>
      <c r="W316" s="26"/>
      <c r="X316" s="29"/>
      <c r="Y316" s="26"/>
      <c r="Z316" s="29"/>
      <c r="AA316" s="26"/>
      <c r="AB316" s="29"/>
      <c r="AC316" s="26"/>
      <c r="AD316" s="29"/>
      <c r="AE316" s="26"/>
      <c r="AF316" s="29"/>
      <c r="AG316" s="26"/>
      <c r="AH316" s="29"/>
      <c r="AI316" s="26"/>
      <c r="AJ316" s="29"/>
      <c r="AK316" s="29"/>
      <c r="AL316" s="29"/>
      <c r="AM316" s="29"/>
      <c r="AN316" s="29"/>
      <c r="AO316" s="29"/>
      <c r="AQ316"/>
      <c r="AS316" s="51"/>
      <c r="AU316" s="52"/>
    </row>
    <row r="317" spans="1:51" x14ac:dyDescent="0.2">
      <c r="A317" s="102">
        <v>215</v>
      </c>
      <c r="B317" s="102"/>
      <c r="C317" s="102" t="s">
        <v>242</v>
      </c>
      <c r="D317" s="100" t="s">
        <v>158</v>
      </c>
      <c r="E317" s="101"/>
      <c r="F317" s="101"/>
      <c r="G317" s="145">
        <v>36722</v>
      </c>
      <c r="H317" s="102" t="s">
        <v>6</v>
      </c>
      <c r="I317" s="112"/>
      <c r="J317" s="102"/>
      <c r="K317" s="120"/>
      <c r="M317" s="103">
        <v>8778</v>
      </c>
      <c r="O317" s="105">
        <v>9520</v>
      </c>
      <c r="P317" s="29"/>
      <c r="Q317" s="104">
        <f>+O317</f>
        <v>9520</v>
      </c>
      <c r="R317" s="29"/>
      <c r="S317" s="104">
        <v>0</v>
      </c>
      <c r="T317" s="29"/>
      <c r="U317" s="104">
        <v>0</v>
      </c>
      <c r="V317" s="29"/>
      <c r="W317" s="104">
        <v>0</v>
      </c>
      <c r="X317" s="29"/>
      <c r="Y317" s="104">
        <v>0</v>
      </c>
      <c r="Z317" s="29"/>
      <c r="AA317" s="104">
        <v>0</v>
      </c>
      <c r="AB317" s="29"/>
      <c r="AC317" s="104">
        <v>0</v>
      </c>
      <c r="AD317" s="29"/>
      <c r="AE317" s="104">
        <v>0</v>
      </c>
      <c r="AF317" s="29"/>
      <c r="AG317" s="104">
        <v>0</v>
      </c>
      <c r="AH317" s="29"/>
      <c r="AI317" s="104">
        <v>0</v>
      </c>
      <c r="AJ317" s="29"/>
      <c r="AK317" s="4">
        <v>0</v>
      </c>
      <c r="AL317" s="4"/>
      <c r="AM317" s="4">
        <v>0</v>
      </c>
      <c r="AN317" s="29"/>
      <c r="AO317" s="4">
        <v>0</v>
      </c>
      <c r="AQ317">
        <f>SUM(Q317:AK317)</f>
        <v>9520</v>
      </c>
      <c r="AR317" s="7">
        <f>AQ317-O317</f>
        <v>0</v>
      </c>
      <c r="AS317" s="51"/>
      <c r="AT317" s="7">
        <f>O317*SUM(AU317:AV317)</f>
        <v>0</v>
      </c>
      <c r="AU317" s="52"/>
      <c r="AV317" s="12" t="str">
        <f t="shared" ref="AV317:AV328" si="48">D317</f>
        <v>Libor+.2%</v>
      </c>
      <c r="AW317" s="7">
        <f t="shared" ref="AW317:AW328" si="49">O317</f>
        <v>9520</v>
      </c>
      <c r="AX317" s="31">
        <f>SUM(Q317:AP317)</f>
        <v>9520</v>
      </c>
      <c r="AY317" s="31">
        <f>+O317-AX317</f>
        <v>0</v>
      </c>
    </row>
    <row r="318" spans="1:51" ht="8.1" customHeight="1" x14ac:dyDescent="0.2">
      <c r="A318" s="102"/>
      <c r="B318" s="102"/>
      <c r="C318" s="102"/>
      <c r="D318" s="100"/>
      <c r="E318" s="101"/>
      <c r="F318" s="101"/>
      <c r="G318" s="145"/>
      <c r="H318" s="102"/>
      <c r="I318" s="112"/>
      <c r="J318" s="102"/>
      <c r="K318" s="120"/>
      <c r="M318" s="103"/>
      <c r="O318" s="105"/>
      <c r="P318" s="29"/>
      <c r="Q318" s="104"/>
      <c r="R318" s="29"/>
      <c r="S318" s="104"/>
      <c r="T318" s="29"/>
      <c r="U318" s="104"/>
      <c r="V318" s="29"/>
      <c r="W318" s="104"/>
      <c r="X318" s="29"/>
      <c r="Y318" s="104"/>
      <c r="Z318" s="29"/>
      <c r="AA318" s="104"/>
      <c r="AB318" s="29"/>
      <c r="AC318" s="104"/>
      <c r="AD318" s="29"/>
      <c r="AE318" s="104"/>
      <c r="AF318" s="29"/>
      <c r="AG318" s="104"/>
      <c r="AH318" s="29"/>
      <c r="AI318" s="104"/>
      <c r="AJ318" s="29"/>
      <c r="AK318" s="4"/>
      <c r="AL318" s="4"/>
      <c r="AM318" s="4"/>
      <c r="AN318" s="29"/>
      <c r="AO318" s="4"/>
      <c r="AQ318"/>
      <c r="AS318" s="51"/>
      <c r="AU318" s="52"/>
      <c r="AX318" s="31"/>
      <c r="AY318" s="31"/>
    </row>
    <row r="319" spans="1:51" x14ac:dyDescent="0.2">
      <c r="A319" s="102"/>
      <c r="B319" s="102"/>
      <c r="C319" s="102"/>
      <c r="D319" s="100"/>
      <c r="E319" s="101"/>
      <c r="F319" s="101"/>
      <c r="G319" s="276" t="s">
        <v>234</v>
      </c>
      <c r="H319" s="102"/>
      <c r="I319" s="112"/>
      <c r="J319" s="102"/>
      <c r="K319" s="120"/>
      <c r="M319" s="277">
        <f>SUM(M316:M318)</f>
        <v>8778</v>
      </c>
      <c r="O319" s="277">
        <f>SUM(O316:O318)</f>
        <v>9520</v>
      </c>
      <c r="P319" s="29"/>
      <c r="Q319" s="277">
        <f>SUM(Q316:Q318)</f>
        <v>9520</v>
      </c>
      <c r="R319" s="29"/>
      <c r="S319" s="277">
        <f>SUM(S316:S318)</f>
        <v>0</v>
      </c>
      <c r="T319" s="29"/>
      <c r="U319" s="277">
        <f>SUM(U316:U318)</f>
        <v>0</v>
      </c>
      <c r="V319" s="29"/>
      <c r="W319" s="277">
        <f>SUM(W316:W318)</f>
        <v>0</v>
      </c>
      <c r="X319" s="29"/>
      <c r="Y319" s="277">
        <f>SUM(Y316:Y318)</f>
        <v>0</v>
      </c>
      <c r="Z319" s="29"/>
      <c r="AA319" s="277">
        <f>SUM(AA316:AA318)</f>
        <v>0</v>
      </c>
      <c r="AB319" s="29"/>
      <c r="AC319" s="277">
        <f>SUM(AC316:AC318)</f>
        <v>0</v>
      </c>
      <c r="AD319" s="29"/>
      <c r="AE319" s="277">
        <f>SUM(AE316:AE318)</f>
        <v>0</v>
      </c>
      <c r="AF319" s="29"/>
      <c r="AG319" s="277">
        <f>SUM(AG316:AG318)</f>
        <v>0</v>
      </c>
      <c r="AH319" s="29"/>
      <c r="AI319" s="277">
        <f>SUM(AI316:AI318)</f>
        <v>0</v>
      </c>
      <c r="AJ319" s="29"/>
      <c r="AK319" s="277">
        <f>SUM(AK316:AK318)</f>
        <v>0</v>
      </c>
      <c r="AL319" s="99"/>
      <c r="AM319" s="277">
        <f>SUM(AM316:AM318)</f>
        <v>0</v>
      </c>
      <c r="AN319" s="29"/>
      <c r="AO319" s="277">
        <f>SUM(AO316:AO318)</f>
        <v>0</v>
      </c>
      <c r="AQ319"/>
      <c r="AS319" s="51"/>
      <c r="AU319" s="52"/>
      <c r="AX319" s="277">
        <f>SUM(AX316:AX318)</f>
        <v>9520</v>
      </c>
      <c r="AY319" s="277">
        <f>SUM(AY316:AY318)</f>
        <v>0</v>
      </c>
    </row>
    <row r="320" spans="1:51" x14ac:dyDescent="0.2">
      <c r="A320" s="102"/>
      <c r="B320" s="102"/>
      <c r="C320" s="102"/>
      <c r="D320" s="158" t="s">
        <v>214</v>
      </c>
      <c r="E320" s="101"/>
      <c r="F320" s="101"/>
      <c r="G320" s="145"/>
      <c r="H320" s="102"/>
      <c r="I320" s="112"/>
      <c r="J320" s="102"/>
      <c r="K320" s="120"/>
      <c r="M320" s="103"/>
      <c r="O320" s="105"/>
      <c r="P320" s="29"/>
      <c r="Q320" s="104"/>
      <c r="R320" s="29"/>
      <c r="S320" s="104"/>
      <c r="T320" s="29"/>
      <c r="U320" s="104"/>
      <c r="V320" s="29"/>
      <c r="W320" s="104"/>
      <c r="X320" s="29"/>
      <c r="Y320" s="104"/>
      <c r="Z320" s="29"/>
      <c r="AA320" s="104"/>
      <c r="AB320" s="29"/>
      <c r="AC320" s="104"/>
      <c r="AD320" s="29"/>
      <c r="AE320" s="104"/>
      <c r="AF320" s="29"/>
      <c r="AG320" s="104"/>
      <c r="AH320" s="29"/>
      <c r="AI320" s="104"/>
      <c r="AJ320" s="29"/>
      <c r="AK320" s="4"/>
      <c r="AL320" s="4"/>
      <c r="AM320" s="4"/>
      <c r="AN320" s="29"/>
      <c r="AO320" s="4"/>
      <c r="AQ320"/>
      <c r="AS320" s="51"/>
      <c r="AU320" s="52"/>
      <c r="AX320" s="31"/>
      <c r="AY320" s="31"/>
    </row>
    <row r="321" spans="1:51" x14ac:dyDescent="0.2">
      <c r="A321" s="102" t="s">
        <v>246</v>
      </c>
      <c r="B321" s="102"/>
      <c r="C321" s="102" t="s">
        <v>242</v>
      </c>
      <c r="D321" s="100" t="s">
        <v>215</v>
      </c>
      <c r="E321" s="101"/>
      <c r="F321" s="275">
        <v>35333</v>
      </c>
      <c r="G321" s="145">
        <v>39173</v>
      </c>
      <c r="H321" s="102"/>
      <c r="I321" s="102" t="s">
        <v>229</v>
      </c>
      <c r="J321" s="102"/>
      <c r="K321" s="120"/>
      <c r="M321" s="105">
        <v>10375</v>
      </c>
      <c r="O321" s="105">
        <f>9634-741</f>
        <v>8893</v>
      </c>
      <c r="P321" s="29"/>
      <c r="Q321" s="104">
        <v>0</v>
      </c>
      <c r="R321" s="29"/>
      <c r="S321" s="104">
        <v>1482</v>
      </c>
      <c r="T321" s="29"/>
      <c r="U321" s="104">
        <v>1482</v>
      </c>
      <c r="V321" s="29"/>
      <c r="W321" s="104">
        <v>1482</v>
      </c>
      <c r="X321" s="29"/>
      <c r="Y321" s="104">
        <v>1482</v>
      </c>
      <c r="Z321" s="29"/>
      <c r="AA321" s="104">
        <v>1482</v>
      </c>
      <c r="AB321" s="29"/>
      <c r="AC321" s="104">
        <v>1483</v>
      </c>
      <c r="AD321" s="29"/>
      <c r="AE321" s="104">
        <v>0</v>
      </c>
      <c r="AF321" s="29"/>
      <c r="AG321" s="104">
        <v>0</v>
      </c>
      <c r="AH321" s="29"/>
      <c r="AI321" s="104">
        <v>0</v>
      </c>
      <c r="AJ321" s="29"/>
      <c r="AK321" s="4">
        <v>0</v>
      </c>
      <c r="AL321" s="4"/>
      <c r="AM321" s="4">
        <v>0</v>
      </c>
      <c r="AN321" s="29"/>
      <c r="AO321" s="4">
        <v>0</v>
      </c>
      <c r="AQ321">
        <f>SUM(Q321:AK321)</f>
        <v>8893</v>
      </c>
      <c r="AR321" s="7">
        <f>AQ321-O321</f>
        <v>0</v>
      </c>
      <c r="AS321" s="51"/>
      <c r="AT321" s="7">
        <f>O321*SUM(AU321:AV321)</f>
        <v>0</v>
      </c>
      <c r="AU321" s="52"/>
      <c r="AV321" s="12" t="str">
        <f t="shared" si="48"/>
        <v>Libor + .125%</v>
      </c>
      <c r="AW321" s="7">
        <f t="shared" si="49"/>
        <v>8893</v>
      </c>
      <c r="AX321" s="31">
        <f>SUM(Q321:AP321)</f>
        <v>8893</v>
      </c>
      <c r="AY321" s="31">
        <f>+O321-AX321</f>
        <v>0</v>
      </c>
    </row>
    <row r="322" spans="1:51" x14ac:dyDescent="0.2">
      <c r="A322" s="102" t="s">
        <v>246</v>
      </c>
      <c r="B322" s="102"/>
      <c r="C322" s="102" t="s">
        <v>242</v>
      </c>
      <c r="D322" s="100" t="s">
        <v>215</v>
      </c>
      <c r="E322" s="101"/>
      <c r="F322" s="275">
        <v>35333</v>
      </c>
      <c r="G322" s="145">
        <v>39173</v>
      </c>
      <c r="H322" s="102"/>
      <c r="I322" s="102" t="s">
        <v>228</v>
      </c>
      <c r="J322" s="102"/>
      <c r="K322" s="120"/>
      <c r="M322" s="105">
        <v>34266</v>
      </c>
      <c r="O322" s="105">
        <f>31818-2448+254</f>
        <v>29624</v>
      </c>
      <c r="P322" s="29"/>
      <c r="Q322" s="104">
        <v>0</v>
      </c>
      <c r="R322" s="29"/>
      <c r="S322" s="104">
        <f>4895+42</f>
        <v>4937</v>
      </c>
      <c r="T322" s="29"/>
      <c r="U322" s="104">
        <f>4895+42</f>
        <v>4937</v>
      </c>
      <c r="V322" s="29"/>
      <c r="W322" s="104">
        <f>4895+42</f>
        <v>4937</v>
      </c>
      <c r="X322" s="29"/>
      <c r="Y322" s="104">
        <f>4895+42</f>
        <v>4937</v>
      </c>
      <c r="Z322" s="29"/>
      <c r="AA322" s="104">
        <f>4895+43</f>
        <v>4938</v>
      </c>
      <c r="AB322" s="29"/>
      <c r="AC322" s="104">
        <f>4895+43</f>
        <v>4938</v>
      </c>
      <c r="AD322" s="29"/>
      <c r="AE322" s="104">
        <v>0</v>
      </c>
      <c r="AF322" s="29"/>
      <c r="AG322" s="104">
        <v>0</v>
      </c>
      <c r="AH322" s="29"/>
      <c r="AI322" s="104">
        <v>0</v>
      </c>
      <c r="AJ322" s="29"/>
      <c r="AK322" s="4">
        <v>0</v>
      </c>
      <c r="AL322" s="4"/>
      <c r="AM322" s="4">
        <v>0</v>
      </c>
      <c r="AN322" s="29"/>
      <c r="AO322" s="4">
        <v>0</v>
      </c>
      <c r="AQ322">
        <f>SUM(Q322:AK322)</f>
        <v>29624</v>
      </c>
      <c r="AR322" s="7">
        <f>AQ322-O322</f>
        <v>0</v>
      </c>
      <c r="AS322" s="51"/>
      <c r="AT322" s="7">
        <f>O322*SUM(AU322:AV322)</f>
        <v>0</v>
      </c>
      <c r="AU322" s="52"/>
      <c r="AV322" s="12" t="str">
        <f t="shared" si="48"/>
        <v>Libor + .125%</v>
      </c>
      <c r="AW322" s="7">
        <f t="shared" si="49"/>
        <v>29624</v>
      </c>
      <c r="AX322" s="31">
        <f>SUM(Q322:AP322)</f>
        <v>29624</v>
      </c>
      <c r="AY322" s="31">
        <f>+O322-AX322</f>
        <v>0</v>
      </c>
    </row>
    <row r="323" spans="1:51" x14ac:dyDescent="0.2">
      <c r="A323" s="102" t="s">
        <v>246</v>
      </c>
      <c r="B323" s="102"/>
      <c r="C323" s="102" t="s">
        <v>242</v>
      </c>
      <c r="D323" s="100">
        <v>7.5999999999999998E-2</v>
      </c>
      <c r="E323" s="101"/>
      <c r="F323" s="275">
        <v>35359</v>
      </c>
      <c r="G323" s="145">
        <v>39173</v>
      </c>
      <c r="H323" s="102"/>
      <c r="I323" s="102" t="s">
        <v>230</v>
      </c>
      <c r="J323" s="102"/>
      <c r="K323" s="120"/>
      <c r="M323" s="105">
        <v>7844</v>
      </c>
      <c r="O323" s="105">
        <f>7005-500</f>
        <v>6505</v>
      </c>
      <c r="P323" s="29"/>
      <c r="Q323" s="104">
        <v>0</v>
      </c>
      <c r="R323" s="29"/>
      <c r="S323" s="104">
        <v>1001</v>
      </c>
      <c r="T323" s="29"/>
      <c r="U323" s="104">
        <v>1001</v>
      </c>
      <c r="V323" s="29"/>
      <c r="W323" s="104">
        <v>1001</v>
      </c>
      <c r="X323" s="29"/>
      <c r="Y323" s="104">
        <v>1001</v>
      </c>
      <c r="Z323" s="29"/>
      <c r="AA323" s="104">
        <v>1001</v>
      </c>
      <c r="AB323" s="29"/>
      <c r="AC323" s="104">
        <v>1001</v>
      </c>
      <c r="AD323" s="29"/>
      <c r="AE323" s="104">
        <v>499</v>
      </c>
      <c r="AF323" s="29"/>
      <c r="AG323" s="104">
        <v>0</v>
      </c>
      <c r="AH323" s="29"/>
      <c r="AI323" s="104">
        <v>0</v>
      </c>
      <c r="AJ323" s="29"/>
      <c r="AK323" s="4">
        <v>0</v>
      </c>
      <c r="AL323" s="4"/>
      <c r="AM323" s="4">
        <v>0</v>
      </c>
      <c r="AN323" s="29"/>
      <c r="AO323" s="4">
        <v>0</v>
      </c>
      <c r="AQ323">
        <f>SUM(Q323:AK323)</f>
        <v>6505</v>
      </c>
      <c r="AR323" s="7">
        <f>AQ323-O323</f>
        <v>0</v>
      </c>
      <c r="AS323" s="51"/>
      <c r="AT323" s="7">
        <f>O323*SUM(AU323:AV323)</f>
        <v>494.38</v>
      </c>
      <c r="AU323" s="52"/>
      <c r="AV323" s="12">
        <f t="shared" si="48"/>
        <v>7.5999999999999998E-2</v>
      </c>
      <c r="AW323" s="7">
        <f t="shared" si="49"/>
        <v>6505</v>
      </c>
      <c r="AX323" s="31">
        <f>SUM(Q323:AP323)</f>
        <v>6505</v>
      </c>
      <c r="AY323" s="31">
        <f>+O323-AX323</f>
        <v>0</v>
      </c>
    </row>
    <row r="324" spans="1:51" x14ac:dyDescent="0.2">
      <c r="A324" s="102" t="s">
        <v>246</v>
      </c>
      <c r="B324" s="102"/>
      <c r="C324" s="102" t="s">
        <v>242</v>
      </c>
      <c r="D324" s="100">
        <v>7.4800000000000005E-2</v>
      </c>
      <c r="E324" s="101"/>
      <c r="F324" s="275">
        <v>36027</v>
      </c>
      <c r="G324" s="145">
        <v>37926</v>
      </c>
      <c r="H324" s="102"/>
      <c r="I324" s="102" t="s">
        <v>231</v>
      </c>
      <c r="J324" s="102"/>
      <c r="K324" s="120"/>
      <c r="M324" s="105">
        <v>2653</v>
      </c>
      <c r="O324" s="105">
        <v>2653</v>
      </c>
      <c r="P324" s="29"/>
      <c r="Q324" s="104">
        <v>0</v>
      </c>
      <c r="R324" s="29"/>
      <c r="S324" s="104">
        <v>0</v>
      </c>
      <c r="T324" s="29"/>
      <c r="U324" s="104">
        <v>0</v>
      </c>
      <c r="V324" s="29"/>
      <c r="W324" s="104">
        <f>+O324</f>
        <v>2653</v>
      </c>
      <c r="X324" s="29"/>
      <c r="Y324" s="104">
        <v>0</v>
      </c>
      <c r="Z324" s="29"/>
      <c r="AA324" s="104">
        <v>0</v>
      </c>
      <c r="AB324" s="29"/>
      <c r="AC324" s="104">
        <v>0</v>
      </c>
      <c r="AD324" s="29"/>
      <c r="AE324" s="104">
        <v>0</v>
      </c>
      <c r="AF324" s="29"/>
      <c r="AG324" s="104">
        <v>0</v>
      </c>
      <c r="AH324" s="29"/>
      <c r="AI324" s="104">
        <v>0</v>
      </c>
      <c r="AJ324" s="29"/>
      <c r="AK324" s="4">
        <v>0</v>
      </c>
      <c r="AL324" s="4"/>
      <c r="AM324" s="4">
        <v>0</v>
      </c>
      <c r="AN324" s="29"/>
      <c r="AO324" s="4">
        <v>0</v>
      </c>
      <c r="AQ324">
        <f>SUM(Q324:AK324)</f>
        <v>2653</v>
      </c>
      <c r="AR324" s="7">
        <f>AQ324-O324</f>
        <v>0</v>
      </c>
      <c r="AS324" s="51"/>
      <c r="AT324" s="7">
        <f>O324*SUM(AU324:AV324)</f>
        <v>198.4444</v>
      </c>
      <c r="AU324" s="52"/>
      <c r="AV324" s="12">
        <f t="shared" si="48"/>
        <v>7.4800000000000005E-2</v>
      </c>
      <c r="AW324" s="7">
        <f t="shared" si="49"/>
        <v>2653</v>
      </c>
      <c r="AX324" s="31">
        <f>SUM(Q324:AP324)</f>
        <v>2653</v>
      </c>
      <c r="AY324" s="31">
        <f>+O324-AX324</f>
        <v>0</v>
      </c>
    </row>
    <row r="325" spans="1:51" x14ac:dyDescent="0.2">
      <c r="A325" s="102" t="s">
        <v>246</v>
      </c>
      <c r="B325" s="102"/>
      <c r="C325" s="102" t="s">
        <v>242</v>
      </c>
      <c r="D325" s="100" t="s">
        <v>216</v>
      </c>
      <c r="E325" s="101"/>
      <c r="F325" s="275">
        <v>36517</v>
      </c>
      <c r="G325" s="145">
        <v>36883</v>
      </c>
      <c r="H325" s="102"/>
      <c r="I325" s="102" t="s">
        <v>232</v>
      </c>
      <c r="J325" s="102"/>
      <c r="K325" s="120"/>
      <c r="M325" s="105">
        <v>24000</v>
      </c>
      <c r="O325" s="105">
        <v>0</v>
      </c>
      <c r="P325" s="29"/>
      <c r="Q325" s="104">
        <v>0</v>
      </c>
      <c r="R325" s="29"/>
      <c r="S325" s="104">
        <v>0</v>
      </c>
      <c r="T325" s="29"/>
      <c r="U325" s="104">
        <v>0</v>
      </c>
      <c r="V325" s="29"/>
      <c r="W325" s="104">
        <v>0</v>
      </c>
      <c r="X325" s="29"/>
      <c r="Y325" s="104">
        <v>0</v>
      </c>
      <c r="Z325" s="29"/>
      <c r="AA325" s="104">
        <v>0</v>
      </c>
      <c r="AB325" s="29"/>
      <c r="AC325" s="104">
        <v>0</v>
      </c>
      <c r="AD325" s="29"/>
      <c r="AE325" s="104">
        <v>0</v>
      </c>
      <c r="AF325" s="29"/>
      <c r="AG325" s="104">
        <v>0</v>
      </c>
      <c r="AH325" s="29"/>
      <c r="AI325" s="104">
        <v>0</v>
      </c>
      <c r="AJ325" s="29"/>
      <c r="AK325" s="4">
        <v>0</v>
      </c>
      <c r="AL325" s="4"/>
      <c r="AM325" s="4">
        <v>0</v>
      </c>
      <c r="AN325" s="29"/>
      <c r="AO325" s="4">
        <v>0</v>
      </c>
      <c r="AQ325">
        <f>SUM(Q325:AK325)</f>
        <v>0</v>
      </c>
      <c r="AR325" s="7">
        <f>AQ325-O325</f>
        <v>0</v>
      </c>
      <c r="AS325" s="51"/>
      <c r="AT325" s="7">
        <f>O325*SUM(AU325:AV325)</f>
        <v>0</v>
      </c>
      <c r="AU325" s="52"/>
      <c r="AV325" s="12" t="str">
        <f t="shared" si="48"/>
        <v>Libor + 2.25%</v>
      </c>
      <c r="AW325" s="7">
        <f t="shared" si="49"/>
        <v>0</v>
      </c>
      <c r="AX325" s="31">
        <f>SUM(Q325:AP325)</f>
        <v>0</v>
      </c>
      <c r="AY325" s="31">
        <f>+O325-AX325</f>
        <v>0</v>
      </c>
    </row>
    <row r="326" spans="1:51" ht="8.1" customHeight="1" x14ac:dyDescent="0.2">
      <c r="A326" s="102"/>
      <c r="B326" s="102"/>
      <c r="C326" s="102"/>
      <c r="D326" s="100"/>
      <c r="E326" s="101"/>
      <c r="F326" s="275"/>
      <c r="G326" s="145"/>
      <c r="H326" s="102"/>
      <c r="I326" s="112"/>
      <c r="J326" s="102"/>
      <c r="K326" s="120"/>
      <c r="M326" s="103"/>
      <c r="O326" s="105"/>
      <c r="P326" s="29"/>
      <c r="Q326" s="104"/>
      <c r="R326" s="29"/>
      <c r="S326" s="104"/>
      <c r="T326" s="29"/>
      <c r="U326" s="104"/>
      <c r="V326" s="29"/>
      <c r="W326" s="104"/>
      <c r="X326" s="29"/>
      <c r="Y326" s="104"/>
      <c r="Z326" s="29"/>
      <c r="AA326" s="104"/>
      <c r="AB326" s="29"/>
      <c r="AC326" s="104"/>
      <c r="AD326" s="29"/>
      <c r="AE326" s="104"/>
      <c r="AF326" s="29"/>
      <c r="AG326" s="104"/>
      <c r="AH326" s="29"/>
      <c r="AI326" s="104"/>
      <c r="AJ326" s="29"/>
      <c r="AK326" s="4"/>
      <c r="AL326" s="4"/>
      <c r="AM326" s="4"/>
      <c r="AN326" s="29"/>
      <c r="AO326" s="4"/>
      <c r="AQ326"/>
      <c r="AS326" s="51"/>
      <c r="AU326" s="52"/>
      <c r="AX326" s="31"/>
      <c r="AY326" s="31"/>
    </row>
    <row r="327" spans="1:51" x14ac:dyDescent="0.2">
      <c r="A327" s="102"/>
      <c r="B327" s="102"/>
      <c r="C327" s="102"/>
      <c r="D327" s="100"/>
      <c r="E327" s="101"/>
      <c r="F327" s="101"/>
      <c r="G327" s="276" t="s">
        <v>233</v>
      </c>
      <c r="H327" s="102"/>
      <c r="I327" s="112"/>
      <c r="J327" s="102"/>
      <c r="K327" s="120"/>
      <c r="M327" s="277">
        <f>SUM(M320:M325)</f>
        <v>79138</v>
      </c>
      <c r="O327" s="277">
        <f>SUM(O320:O325)</f>
        <v>47675</v>
      </c>
      <c r="P327" s="29"/>
      <c r="Q327" s="277">
        <f>SUM(Q320:Q325)</f>
        <v>0</v>
      </c>
      <c r="R327" s="29"/>
      <c r="S327" s="277">
        <f>SUM(S320:S325)</f>
        <v>7420</v>
      </c>
      <c r="T327" s="29"/>
      <c r="U327" s="277">
        <f>SUM(U320:U325)</f>
        <v>7420</v>
      </c>
      <c r="V327" s="29"/>
      <c r="W327" s="277">
        <f>SUM(W320:W325)</f>
        <v>10073</v>
      </c>
      <c r="X327" s="29"/>
      <c r="Y327" s="277">
        <f>SUM(Y320:Y325)</f>
        <v>7420</v>
      </c>
      <c r="Z327" s="29"/>
      <c r="AA327" s="277">
        <f>SUM(AA320:AA325)</f>
        <v>7421</v>
      </c>
      <c r="AB327" s="29"/>
      <c r="AC327" s="277">
        <f>SUM(AC320:AC325)</f>
        <v>7422</v>
      </c>
      <c r="AD327" s="29"/>
      <c r="AE327" s="277">
        <f>SUM(AE320:AE325)</f>
        <v>499</v>
      </c>
      <c r="AF327" s="29"/>
      <c r="AG327" s="277">
        <f>SUM(AG320:AG325)</f>
        <v>0</v>
      </c>
      <c r="AH327" s="29"/>
      <c r="AI327" s="277">
        <f>SUM(AI320:AI325)</f>
        <v>0</v>
      </c>
      <c r="AJ327" s="29"/>
      <c r="AK327" s="277">
        <f>SUM(AK320:AK325)</f>
        <v>0</v>
      </c>
      <c r="AL327" s="99"/>
      <c r="AM327" s="277">
        <f>SUM(AM320:AM325)</f>
        <v>0</v>
      </c>
      <c r="AN327" s="29"/>
      <c r="AO327" s="277">
        <f>SUM(AO320:AO325)</f>
        <v>0</v>
      </c>
      <c r="AQ327"/>
      <c r="AS327" s="51"/>
      <c r="AU327" s="52"/>
      <c r="AX327" s="277">
        <f>SUM(AX320:AX325)</f>
        <v>47675</v>
      </c>
      <c r="AY327" s="277">
        <f>SUM(AY320:AY325)</f>
        <v>0</v>
      </c>
    </row>
    <row r="328" spans="1:51" ht="8.1" customHeight="1" x14ac:dyDescent="0.2">
      <c r="A328" s="102"/>
      <c r="B328" s="102"/>
      <c r="C328" s="102"/>
      <c r="D328" s="22"/>
      <c r="E328" s="23"/>
      <c r="F328" s="23"/>
      <c r="G328" s="34"/>
      <c r="K328" s="34"/>
      <c r="M328" s="40"/>
      <c r="O328" s="161"/>
      <c r="P328" s="29"/>
      <c r="Q328" s="40"/>
      <c r="R328" s="29"/>
      <c r="S328" s="40"/>
      <c r="T328" s="29"/>
      <c r="U328" s="40"/>
      <c r="V328" s="29"/>
      <c r="W328" s="40"/>
      <c r="X328" s="29"/>
      <c r="Y328" s="40"/>
      <c r="Z328" s="29"/>
      <c r="AA328" s="40"/>
      <c r="AB328" s="29"/>
      <c r="AC328" s="40"/>
      <c r="AD328" s="29"/>
      <c r="AE328" s="40"/>
      <c r="AF328" s="29"/>
      <c r="AG328" s="40"/>
      <c r="AH328" s="29"/>
      <c r="AI328" s="40"/>
      <c r="AJ328" s="29"/>
      <c r="AK328" s="40"/>
      <c r="AL328" s="25"/>
      <c r="AM328" s="40"/>
      <c r="AN328" s="29"/>
      <c r="AO328" s="40"/>
      <c r="AQ328">
        <f>SUM(Q328:AK328)</f>
        <v>0</v>
      </c>
      <c r="AR328" s="7">
        <f>AQ328-O328</f>
        <v>0</v>
      </c>
      <c r="AS328" s="51"/>
      <c r="AT328" s="7">
        <f>O328*SUM(AU328:AV328)</f>
        <v>0</v>
      </c>
      <c r="AU328" s="52"/>
      <c r="AV328" s="12">
        <f t="shared" si="48"/>
        <v>0</v>
      </c>
      <c r="AW328" s="7">
        <f t="shared" si="49"/>
        <v>0</v>
      </c>
      <c r="AX328" s="40"/>
      <c r="AY328" s="40"/>
    </row>
    <row r="329" spans="1:51" x14ac:dyDescent="0.2">
      <c r="A329" s="102"/>
      <c r="B329" s="102"/>
      <c r="C329" s="102"/>
      <c r="D329" s="123" t="s">
        <v>144</v>
      </c>
      <c r="E329" s="23"/>
      <c r="F329" s="23"/>
      <c r="G329" s="54" t="s">
        <v>121</v>
      </c>
      <c r="K329" s="34"/>
      <c r="M329" s="25">
        <f>+M319+M327</f>
        <v>87916</v>
      </c>
      <c r="O329" s="25">
        <f>+O319+O327</f>
        <v>57195</v>
      </c>
      <c r="P329" s="29"/>
      <c r="Q329" s="25">
        <f>+Q319+Q327</f>
        <v>9520</v>
      </c>
      <c r="R329" s="29"/>
      <c r="S329" s="25">
        <f>+S319+S327</f>
        <v>7420</v>
      </c>
      <c r="T329" s="29"/>
      <c r="U329" s="25">
        <f>+U319+U327</f>
        <v>7420</v>
      </c>
      <c r="V329" s="29"/>
      <c r="W329" s="25">
        <f>+W319+W327</f>
        <v>10073</v>
      </c>
      <c r="X329" s="29"/>
      <c r="Y329" s="25">
        <f>+Y319+Y327</f>
        <v>7420</v>
      </c>
      <c r="Z329" s="29"/>
      <c r="AA329" s="25">
        <f>+AA319+AA327</f>
        <v>7421</v>
      </c>
      <c r="AB329" s="29"/>
      <c r="AC329" s="25">
        <f>+AC319+AC327</f>
        <v>7422</v>
      </c>
      <c r="AD329" s="29"/>
      <c r="AE329" s="25">
        <f>+AE319+AE327</f>
        <v>499</v>
      </c>
      <c r="AF329" s="29"/>
      <c r="AG329" s="25">
        <f>+AG319+AG327</f>
        <v>0</v>
      </c>
      <c r="AH329" s="29"/>
      <c r="AI329" s="25">
        <f>+AI319+AI327</f>
        <v>0</v>
      </c>
      <c r="AJ329" s="29"/>
      <c r="AK329" s="25">
        <f>+AK319+AK327</f>
        <v>0</v>
      </c>
      <c r="AL329" s="25"/>
      <c r="AM329" s="25">
        <f>+AM319+AM327</f>
        <v>0</v>
      </c>
      <c r="AN329" s="29"/>
      <c r="AO329" s="25">
        <f>+AO319+AO327</f>
        <v>0</v>
      </c>
      <c r="AQ329"/>
      <c r="AS329" s="51"/>
      <c r="AU329" s="52"/>
      <c r="AX329" s="25">
        <f>+AX319+AX327</f>
        <v>57195</v>
      </c>
      <c r="AY329" s="25">
        <f>+AY319+AY327</f>
        <v>0</v>
      </c>
    </row>
    <row r="330" spans="1:51" ht="12.75" x14ac:dyDescent="0.2">
      <c r="A330" s="102"/>
      <c r="B330" s="102"/>
      <c r="C330" s="102"/>
      <c r="D330" s="32"/>
      <c r="E330" s="7"/>
      <c r="F330" s="7"/>
      <c r="G330" s="80"/>
      <c r="H330" s="81"/>
      <c r="I330" s="81"/>
      <c r="J330" s="78"/>
      <c r="K330" s="81"/>
      <c r="L330" s="81"/>
      <c r="M330" s="81"/>
      <c r="N330" s="81"/>
      <c r="O330" s="45"/>
      <c r="P330" s="7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U330" s="7"/>
      <c r="AV330" s="7"/>
    </row>
    <row r="331" spans="1:51" x14ac:dyDescent="0.2">
      <c r="A331" s="102"/>
      <c r="B331" s="102"/>
      <c r="C331" s="102"/>
      <c r="D331" s="123" t="s">
        <v>145</v>
      </c>
      <c r="E331" s="23"/>
      <c r="F331" s="23"/>
      <c r="G331" s="34"/>
      <c r="K331" s="34"/>
      <c r="M331" s="26"/>
      <c r="O331" s="25"/>
      <c r="P331" s="29"/>
      <c r="Q331" s="26"/>
      <c r="R331" s="29"/>
      <c r="S331" s="26"/>
      <c r="T331" s="29"/>
      <c r="U331" s="26"/>
      <c r="V331" s="29"/>
      <c r="W331" s="26"/>
      <c r="X331" s="29"/>
      <c r="Y331" s="26"/>
      <c r="Z331" s="29"/>
      <c r="AA331" s="26"/>
      <c r="AB331" s="29"/>
      <c r="AC331" s="26"/>
      <c r="AD331" s="29"/>
      <c r="AE331" s="26"/>
      <c r="AF331" s="29"/>
      <c r="AG331" s="26"/>
      <c r="AH331" s="29"/>
      <c r="AI331" s="26"/>
      <c r="AJ331" s="29"/>
      <c r="AK331" s="29"/>
      <c r="AL331" s="29"/>
      <c r="AM331" s="29"/>
      <c r="AN331" s="29"/>
      <c r="AO331" s="29"/>
      <c r="AQ331"/>
      <c r="AS331" s="51"/>
      <c r="AU331" s="52"/>
    </row>
    <row r="332" spans="1:51" x14ac:dyDescent="0.2">
      <c r="A332" s="102"/>
      <c r="B332" s="102"/>
      <c r="C332" s="102"/>
      <c r="D332" s="100">
        <v>6.3799999999999996E-2</v>
      </c>
      <c r="E332" s="101"/>
      <c r="F332" s="101"/>
      <c r="G332" s="145">
        <v>36525</v>
      </c>
      <c r="H332" s="102"/>
      <c r="I332" s="108"/>
      <c r="J332" s="102"/>
      <c r="K332" s="120"/>
      <c r="M332" s="105">
        <v>0</v>
      </c>
      <c r="O332" s="105">
        <v>0</v>
      </c>
      <c r="P332" s="29"/>
      <c r="Q332" s="105">
        <v>0</v>
      </c>
      <c r="R332" s="29"/>
      <c r="S332" s="105">
        <v>0</v>
      </c>
      <c r="T332" s="29"/>
      <c r="U332" s="105">
        <v>0</v>
      </c>
      <c r="V332" s="29"/>
      <c r="W332" s="105">
        <v>0</v>
      </c>
      <c r="X332" s="29"/>
      <c r="Y332" s="105">
        <v>0</v>
      </c>
      <c r="Z332" s="29"/>
      <c r="AA332" s="105">
        <v>0</v>
      </c>
      <c r="AB332" s="29"/>
      <c r="AC332" s="105">
        <v>0</v>
      </c>
      <c r="AD332" s="29"/>
      <c r="AE332" s="105">
        <v>0</v>
      </c>
      <c r="AF332" s="29"/>
      <c r="AG332" s="105">
        <v>0</v>
      </c>
      <c r="AH332" s="29"/>
      <c r="AI332" s="105">
        <v>0</v>
      </c>
      <c r="AJ332" s="29"/>
      <c r="AK332" s="105">
        <v>0</v>
      </c>
      <c r="AL332" s="105"/>
      <c r="AM332" s="105">
        <f>+Q332</f>
        <v>0</v>
      </c>
      <c r="AN332" s="29"/>
      <c r="AO332" s="105">
        <v>0</v>
      </c>
      <c r="AQ332">
        <f>SUM(Q332:AK332)</f>
        <v>0</v>
      </c>
      <c r="AR332" s="7">
        <f>AQ332-O332</f>
        <v>0</v>
      </c>
      <c r="AS332" s="51"/>
      <c r="AT332" s="7">
        <f>O332*SUM(AU332:AV332)</f>
        <v>0</v>
      </c>
      <c r="AU332" s="52"/>
      <c r="AV332" s="12">
        <f>D332</f>
        <v>6.3799999999999996E-2</v>
      </c>
      <c r="AW332" s="7">
        <f>O332</f>
        <v>0</v>
      </c>
      <c r="AX332" s="31">
        <f>SUM(Q332:AP332)</f>
        <v>0</v>
      </c>
      <c r="AY332" s="31">
        <f>+O332-AX332</f>
        <v>0</v>
      </c>
    </row>
    <row r="333" spans="1:51" x14ac:dyDescent="0.2">
      <c r="A333" s="102"/>
      <c r="B333" s="102"/>
      <c r="C333" s="102"/>
      <c r="D333" s="100" t="s">
        <v>195</v>
      </c>
      <c r="E333" s="101"/>
      <c r="F333" s="101"/>
      <c r="G333" s="112"/>
      <c r="H333" s="102"/>
      <c r="I333" s="108" t="s">
        <v>196</v>
      </c>
      <c r="J333" s="102"/>
      <c r="K333" s="120"/>
      <c r="M333" s="105">
        <v>0</v>
      </c>
      <c r="O333" s="105">
        <v>0</v>
      </c>
      <c r="P333" s="29"/>
      <c r="Q333" s="105">
        <v>0</v>
      </c>
      <c r="R333" s="29"/>
      <c r="S333" s="105">
        <v>0</v>
      </c>
      <c r="T333" s="29"/>
      <c r="U333" s="105">
        <v>0</v>
      </c>
      <c r="V333" s="29"/>
      <c r="W333" s="105">
        <v>0</v>
      </c>
      <c r="X333" s="29"/>
      <c r="Y333" s="105">
        <v>0</v>
      </c>
      <c r="Z333" s="29"/>
      <c r="AA333" s="105">
        <v>0</v>
      </c>
      <c r="AB333" s="29"/>
      <c r="AC333" s="105">
        <v>0</v>
      </c>
      <c r="AD333" s="29"/>
      <c r="AE333" s="105">
        <v>0</v>
      </c>
      <c r="AF333" s="29"/>
      <c r="AG333" s="105">
        <v>0</v>
      </c>
      <c r="AH333" s="29"/>
      <c r="AI333" s="105">
        <v>0</v>
      </c>
      <c r="AJ333" s="29"/>
      <c r="AK333" s="105">
        <v>0</v>
      </c>
      <c r="AL333" s="105"/>
      <c r="AM333" s="105">
        <f>+Q333</f>
        <v>0</v>
      </c>
      <c r="AN333" s="29"/>
      <c r="AO333" s="105">
        <v>0</v>
      </c>
      <c r="AQ333">
        <f>SUM(Q333:AK333)</f>
        <v>0</v>
      </c>
      <c r="AR333" s="7">
        <f>AQ333-O333</f>
        <v>0</v>
      </c>
      <c r="AS333" s="51"/>
      <c r="AT333" s="7">
        <f>O333*SUM(AU333:AV333)</f>
        <v>0</v>
      </c>
      <c r="AU333" s="52"/>
      <c r="AV333" s="12" t="str">
        <f>D333</f>
        <v>VAR% - LIBOR+20bps</v>
      </c>
      <c r="AW333" s="7">
        <f>O333</f>
        <v>0</v>
      </c>
      <c r="AX333" s="31">
        <f>SUM(Q333:AP333)</f>
        <v>0</v>
      </c>
      <c r="AY333" s="31">
        <f>+O333-AX333</f>
        <v>0</v>
      </c>
    </row>
    <row r="334" spans="1:51" x14ac:dyDescent="0.2">
      <c r="A334" s="102">
        <v>154</v>
      </c>
      <c r="B334" s="102"/>
      <c r="C334" s="102"/>
      <c r="D334" s="100">
        <v>5.688E-2</v>
      </c>
      <c r="E334" s="101"/>
      <c r="F334" s="101"/>
      <c r="G334" s="112" t="s">
        <v>170</v>
      </c>
      <c r="H334" s="102"/>
      <c r="I334" s="108" t="s">
        <v>168</v>
      </c>
      <c r="J334" s="102"/>
      <c r="K334" s="120"/>
      <c r="M334" s="105">
        <v>8208</v>
      </c>
      <c r="O334" s="105">
        <v>16494</v>
      </c>
      <c r="P334" s="29"/>
      <c r="Q334" s="105">
        <v>0</v>
      </c>
      <c r="R334" s="29"/>
      <c r="S334" s="105">
        <v>0</v>
      </c>
      <c r="T334" s="29"/>
      <c r="U334" s="105">
        <v>0</v>
      </c>
      <c r="V334" s="29"/>
      <c r="W334" s="105">
        <v>0</v>
      </c>
      <c r="X334" s="29"/>
      <c r="Y334" s="105">
        <v>0</v>
      </c>
      <c r="Z334" s="29"/>
      <c r="AA334" s="105">
        <v>0</v>
      </c>
      <c r="AB334" s="29"/>
      <c r="AC334" s="105">
        <v>0</v>
      </c>
      <c r="AD334" s="29"/>
      <c r="AE334" s="105">
        <v>0</v>
      </c>
      <c r="AF334" s="29"/>
      <c r="AG334" s="105">
        <v>0</v>
      </c>
      <c r="AH334" s="29"/>
      <c r="AI334" s="105">
        <v>0</v>
      </c>
      <c r="AJ334" s="29"/>
      <c r="AK334" s="105">
        <v>0</v>
      </c>
      <c r="AL334" s="105"/>
      <c r="AM334" s="105">
        <f>+O334</f>
        <v>16494</v>
      </c>
      <c r="AN334" s="29"/>
      <c r="AO334" s="105">
        <v>0</v>
      </c>
      <c r="AQ334">
        <f>SUM(Q334:AK334)</f>
        <v>0</v>
      </c>
      <c r="AR334" s="7">
        <f>AQ334-O334</f>
        <v>-16494</v>
      </c>
      <c r="AS334" s="51"/>
      <c r="AT334" s="7">
        <f>O334*SUM(AU334:AV334)</f>
        <v>938.17872</v>
      </c>
      <c r="AU334" s="52"/>
      <c r="AV334" s="12">
        <f>D334</f>
        <v>5.688E-2</v>
      </c>
      <c r="AW334" s="7">
        <f>O334</f>
        <v>16494</v>
      </c>
      <c r="AX334" s="31">
        <f>SUM(Q334:AP334)</f>
        <v>16494</v>
      </c>
      <c r="AY334" s="31">
        <f>+O334-AX334</f>
        <v>0</v>
      </c>
    </row>
    <row r="335" spans="1:51" x14ac:dyDescent="0.2">
      <c r="A335" s="102">
        <v>154</v>
      </c>
      <c r="B335" s="102"/>
      <c r="C335" s="102"/>
      <c r="D335" s="100">
        <v>5.6559999999999999E-2</v>
      </c>
      <c r="E335" s="101"/>
      <c r="F335" s="101"/>
      <c r="G335" s="112" t="s">
        <v>170</v>
      </c>
      <c r="H335" s="102"/>
      <c r="I335" s="108" t="s">
        <v>168</v>
      </c>
      <c r="J335" s="102"/>
      <c r="K335" s="120"/>
      <c r="M335" s="105">
        <v>6497</v>
      </c>
      <c r="O335" s="105">
        <v>6668</v>
      </c>
      <c r="P335" s="29"/>
      <c r="Q335" s="105">
        <v>0</v>
      </c>
      <c r="R335" s="29"/>
      <c r="S335" s="105">
        <v>0</v>
      </c>
      <c r="T335" s="29"/>
      <c r="U335" s="105">
        <v>0</v>
      </c>
      <c r="V335" s="29"/>
      <c r="W335" s="105">
        <v>0</v>
      </c>
      <c r="X335" s="29"/>
      <c r="Y335" s="105">
        <v>0</v>
      </c>
      <c r="Z335" s="29"/>
      <c r="AA335" s="105">
        <v>0</v>
      </c>
      <c r="AB335" s="29"/>
      <c r="AC335" s="105">
        <v>0</v>
      </c>
      <c r="AD335" s="29"/>
      <c r="AE335" s="105">
        <v>0</v>
      </c>
      <c r="AF335" s="29"/>
      <c r="AG335" s="105">
        <v>0</v>
      </c>
      <c r="AH335" s="29"/>
      <c r="AI335" s="105">
        <v>0</v>
      </c>
      <c r="AJ335" s="29"/>
      <c r="AK335" s="105">
        <v>0</v>
      </c>
      <c r="AL335" s="105"/>
      <c r="AM335" s="105">
        <f>+O335</f>
        <v>6668</v>
      </c>
      <c r="AN335" s="29"/>
      <c r="AO335" s="105">
        <v>0</v>
      </c>
      <c r="AQ335">
        <f>SUM(Q335:AK335)</f>
        <v>0</v>
      </c>
      <c r="AR335" s="7">
        <f>AQ335-O335</f>
        <v>-6668</v>
      </c>
      <c r="AS335" s="51"/>
      <c r="AT335" s="7">
        <f>O335*SUM(AU335:AV335)</f>
        <v>377.14208000000002</v>
      </c>
      <c r="AU335" s="52"/>
      <c r="AV335" s="12">
        <f>D335</f>
        <v>5.6559999999999999E-2</v>
      </c>
      <c r="AW335" s="7">
        <f>O335</f>
        <v>6668</v>
      </c>
      <c r="AX335" s="31">
        <f>SUM(Q335:AP335)</f>
        <v>6668</v>
      </c>
      <c r="AY335" s="31">
        <f>+O335-AX335</f>
        <v>0</v>
      </c>
    </row>
    <row r="336" spans="1:51" ht="8.1" customHeight="1" x14ac:dyDescent="0.2">
      <c r="A336" s="102"/>
      <c r="B336" s="102"/>
      <c r="C336" s="102"/>
      <c r="D336" s="100"/>
      <c r="E336" s="101"/>
      <c r="F336" s="101"/>
      <c r="G336" s="112"/>
      <c r="H336" s="102"/>
      <c r="I336" s="112"/>
      <c r="J336" s="102"/>
      <c r="K336" s="112"/>
      <c r="M336" s="40"/>
      <c r="O336" s="40"/>
      <c r="P336" s="29"/>
      <c r="Q336" s="40"/>
      <c r="R336" s="29"/>
      <c r="S336" s="40"/>
      <c r="T336" s="29"/>
      <c r="U336" s="40"/>
      <c r="V336" s="29"/>
      <c r="W336" s="40"/>
      <c r="X336" s="29"/>
      <c r="Y336" s="40"/>
      <c r="Z336" s="29"/>
      <c r="AA336" s="40"/>
      <c r="AB336" s="29"/>
      <c r="AC336" s="40"/>
      <c r="AD336" s="29"/>
      <c r="AE336" s="40"/>
      <c r="AF336" s="29"/>
      <c r="AG336" s="40"/>
      <c r="AH336" s="29"/>
      <c r="AI336" s="40"/>
      <c r="AJ336" s="29"/>
      <c r="AK336" s="40"/>
      <c r="AL336" s="25"/>
      <c r="AM336" s="40"/>
      <c r="AN336" s="28"/>
      <c r="AO336" s="40"/>
      <c r="AQ336"/>
      <c r="AS336" s="51"/>
      <c r="AU336" s="52"/>
      <c r="AX336" s="40"/>
      <c r="AY336" s="40"/>
    </row>
    <row r="337" spans="1:51" x14ac:dyDescent="0.2">
      <c r="A337" s="102"/>
      <c r="B337" s="102"/>
      <c r="C337" s="102"/>
      <c r="D337" s="123" t="s">
        <v>146</v>
      </c>
      <c r="E337" s="23"/>
      <c r="F337" s="23"/>
      <c r="G337" s="54"/>
      <c r="K337" s="34"/>
      <c r="M337" s="25">
        <f>SUM(M331:M336)</f>
        <v>14705</v>
      </c>
      <c r="O337" s="25">
        <f>SUM(O331:O336)</f>
        <v>23162</v>
      </c>
      <c r="P337" s="29"/>
      <c r="Q337" s="25">
        <f>SUM(Q331:Q336)</f>
        <v>0</v>
      </c>
      <c r="R337" s="28"/>
      <c r="S337" s="25">
        <f>SUM(S331:S336)</f>
        <v>0</v>
      </c>
      <c r="T337" s="28"/>
      <c r="U337" s="25">
        <f>SUM(U331:U336)</f>
        <v>0</v>
      </c>
      <c r="V337" s="28"/>
      <c r="W337" s="25">
        <f>SUM(W331:W336)</f>
        <v>0</v>
      </c>
      <c r="X337" s="28"/>
      <c r="Y337" s="25">
        <f>SUM(Y331:Y336)</f>
        <v>0</v>
      </c>
      <c r="Z337" s="28"/>
      <c r="AA337" s="25">
        <f>SUM(AA331:AA336)</f>
        <v>0</v>
      </c>
      <c r="AB337" s="28"/>
      <c r="AC337" s="25">
        <f>SUM(AC331:AC336)</f>
        <v>0</v>
      </c>
      <c r="AD337" s="28"/>
      <c r="AE337" s="25">
        <f>SUM(AE331:AE336)</f>
        <v>0</v>
      </c>
      <c r="AF337" s="28"/>
      <c r="AG337" s="25">
        <f>SUM(AG331:AG336)</f>
        <v>0</v>
      </c>
      <c r="AH337" s="28"/>
      <c r="AI337" s="25">
        <f>SUM(AI331:AI336)</f>
        <v>0</v>
      </c>
      <c r="AJ337" s="28"/>
      <c r="AK337" s="25">
        <f>SUM(AK331:AK336)</f>
        <v>0</v>
      </c>
      <c r="AL337" s="25"/>
      <c r="AM337" s="25">
        <f>SUM(AM331:AM336)</f>
        <v>23162</v>
      </c>
      <c r="AN337" s="28"/>
      <c r="AO337" s="25">
        <f>SUM(AO331:AO336)</f>
        <v>0</v>
      </c>
      <c r="AQ337"/>
      <c r="AS337" s="51"/>
      <c r="AU337" s="52"/>
      <c r="AX337" s="25">
        <f>SUM(AX331:AX336)</f>
        <v>23162</v>
      </c>
      <c r="AY337" s="25">
        <f>SUM(AY331:AY336)</f>
        <v>0</v>
      </c>
    </row>
    <row r="338" spans="1:51" ht="8.1" customHeight="1" x14ac:dyDescent="0.2">
      <c r="A338" s="102"/>
      <c r="B338" s="102"/>
      <c r="C338" s="102"/>
      <c r="D338" s="123"/>
      <c r="E338" s="23"/>
      <c r="F338" s="23"/>
      <c r="G338" s="54"/>
      <c r="K338" s="34"/>
      <c r="M338" s="40"/>
      <c r="O338" s="40"/>
      <c r="P338" s="29"/>
      <c r="Q338" s="40"/>
      <c r="R338" s="28"/>
      <c r="S338" s="40"/>
      <c r="T338" s="28"/>
      <c r="U338" s="40"/>
      <c r="V338" s="28"/>
      <c r="W338" s="40"/>
      <c r="X338" s="28"/>
      <c r="Y338" s="40"/>
      <c r="Z338" s="28"/>
      <c r="AA338" s="40"/>
      <c r="AB338" s="28"/>
      <c r="AC338" s="40"/>
      <c r="AD338" s="28"/>
      <c r="AE338" s="40"/>
      <c r="AF338" s="28"/>
      <c r="AG338" s="40"/>
      <c r="AH338" s="28"/>
      <c r="AI338" s="40"/>
      <c r="AJ338" s="28"/>
      <c r="AK338" s="40"/>
      <c r="AL338" s="25"/>
      <c r="AM338" s="40"/>
      <c r="AN338" s="28"/>
      <c r="AO338" s="40"/>
      <c r="AQ338"/>
      <c r="AS338" s="51"/>
      <c r="AU338" s="52"/>
      <c r="AX338" s="40"/>
      <c r="AY338" s="40"/>
    </row>
    <row r="339" spans="1:51" x14ac:dyDescent="0.2">
      <c r="A339" s="102"/>
      <c r="B339" s="102"/>
      <c r="C339" s="102"/>
      <c r="D339" s="13" t="s">
        <v>122</v>
      </c>
      <c r="E339" s="23"/>
      <c r="F339" s="23"/>
      <c r="K339" s="131">
        <v>327145</v>
      </c>
      <c r="M339" s="25">
        <f>+M248+M310+M329+M337</f>
        <v>298946</v>
      </c>
      <c r="O339" s="25">
        <f>+O248+O310+O329+O337</f>
        <v>291830</v>
      </c>
      <c r="P339" s="29"/>
      <c r="Q339" s="25">
        <f>+Q248+Q310+Q329+Q337</f>
        <v>134788</v>
      </c>
      <c r="R339" s="33"/>
      <c r="S339" s="25">
        <f>+S248+S310+S329+S337</f>
        <v>7420</v>
      </c>
      <c r="T339" s="33"/>
      <c r="U339" s="25">
        <f>+U248+U310+U329+U337</f>
        <v>7420</v>
      </c>
      <c r="V339" s="33"/>
      <c r="W339" s="25">
        <f>+W248+W310+W329+W337</f>
        <v>29526</v>
      </c>
      <c r="X339" s="33"/>
      <c r="Y339" s="25">
        <f>+Y248+Y310+Y329+Y337</f>
        <v>12024</v>
      </c>
      <c r="Z339" s="33"/>
      <c r="AA339" s="25">
        <f>+AA248+AA310+AA329+AA337</f>
        <v>18599</v>
      </c>
      <c r="AB339" s="33"/>
      <c r="AC339" s="25">
        <f>+AC248+AC310+AC329+AC337</f>
        <v>7422</v>
      </c>
      <c r="AD339" s="33"/>
      <c r="AE339" s="25">
        <f>+AE248+AE310+AE329+AE337</f>
        <v>499</v>
      </c>
      <c r="AF339" s="33"/>
      <c r="AG339" s="25">
        <f>+AG248+AG310+AG329+AG337</f>
        <v>0</v>
      </c>
      <c r="AH339" s="33"/>
      <c r="AI339" s="25">
        <f>+AI248+AI310+AI329+AI337</f>
        <v>0</v>
      </c>
      <c r="AJ339" s="33"/>
      <c r="AK339" s="25">
        <f>+AK248+AK310+AK329+AK337</f>
        <v>0</v>
      </c>
      <c r="AL339" s="25"/>
      <c r="AM339" s="25">
        <f>+AM248+AM310+AM329+AM337</f>
        <v>74132</v>
      </c>
      <c r="AN339" s="25"/>
      <c r="AO339" s="25">
        <f>+AO248+AO310+AO329+AO337</f>
        <v>0</v>
      </c>
      <c r="AP339" s="75"/>
      <c r="AQ339"/>
      <c r="AS339" s="51"/>
      <c r="AT339" s="75"/>
      <c r="AU339" s="52"/>
      <c r="AW339" s="75"/>
      <c r="AX339" s="25">
        <f>+AX248+AX310+AX329+AX337</f>
        <v>291830</v>
      </c>
      <c r="AY339" s="25">
        <f>+AY248+AY310+AY329+AY337</f>
        <v>0</v>
      </c>
    </row>
    <row r="340" spans="1:51" ht="8.1" customHeight="1" x14ac:dyDescent="0.2">
      <c r="A340" s="102"/>
      <c r="B340" s="102"/>
      <c r="C340" s="102"/>
      <c r="M340" s="42"/>
      <c r="O340" s="71"/>
      <c r="P340" s="29"/>
      <c r="Q340" s="42"/>
      <c r="R340" s="29"/>
      <c r="S340" s="42"/>
      <c r="T340" s="29"/>
      <c r="U340" s="42"/>
      <c r="V340" s="29"/>
      <c r="W340" s="42"/>
      <c r="X340" s="29"/>
      <c r="Y340" s="42"/>
      <c r="Z340" s="29"/>
      <c r="AA340" s="42"/>
      <c r="AB340" s="29"/>
      <c r="AC340" s="42"/>
      <c r="AD340" s="29"/>
      <c r="AE340" s="42"/>
      <c r="AF340" s="29"/>
      <c r="AG340" s="42"/>
      <c r="AH340" s="29"/>
      <c r="AI340" s="42"/>
      <c r="AJ340" s="29"/>
      <c r="AK340" s="42"/>
      <c r="AL340" s="28"/>
      <c r="AM340" s="42"/>
      <c r="AN340" s="29"/>
      <c r="AO340" s="42"/>
      <c r="AQ340"/>
      <c r="AS340" s="51"/>
      <c r="AU340" s="52"/>
      <c r="AX340" s="74"/>
      <c r="AY340" s="74"/>
    </row>
    <row r="341" spans="1:51" ht="16.5" thickBot="1" x14ac:dyDescent="0.3">
      <c r="A341" s="102"/>
      <c r="B341" s="102"/>
      <c r="C341" s="102"/>
      <c r="D341" s="63" t="s">
        <v>123</v>
      </c>
      <c r="E341" s="53"/>
      <c r="F341" s="53"/>
      <c r="G341" s="56"/>
      <c r="H341" s="56"/>
      <c r="I341" s="53"/>
      <c r="J341" s="56"/>
      <c r="K341" s="82"/>
      <c r="L341" s="56"/>
      <c r="M341" s="83">
        <f>+M93+M103+M110+M115+M133+M177+M182+M192+M204+M210+M339</f>
        <v>7315906</v>
      </c>
      <c r="N341" s="56"/>
      <c r="O341" s="83">
        <f>+O93+O103+O110+O115+O133+O177+O182+O192+O204+O210+O339</f>
        <v>8959811</v>
      </c>
      <c r="P341" s="45"/>
      <c r="Q341" s="83">
        <f>+Q93+Q103+Q110+Q115+Q133+Q177+Q182+Q192+Q204+Q210+Q339</f>
        <v>255455</v>
      </c>
      <c r="R341" s="45"/>
      <c r="S341" s="83">
        <f>+S93+S103+S110+S115+S133+S177+S182+S192+S204+S210+S339</f>
        <v>2134855</v>
      </c>
      <c r="T341" s="45"/>
      <c r="U341" s="83">
        <f>+U93+U103+U110+U115+U133+U177+U182+U192+U204+U210+U339</f>
        <v>517029</v>
      </c>
      <c r="V341" s="45"/>
      <c r="W341" s="83">
        <f>+W93+W103+W110+W115+W133+W177+W182+W192+W204+W210+W339</f>
        <v>849800</v>
      </c>
      <c r="X341" s="45"/>
      <c r="Y341" s="83">
        <f>+Y93+Y103+Y110+Y115+Y133+Y177+Y182+Y192+Y204+Y210+Y339</f>
        <v>575281</v>
      </c>
      <c r="Z341" s="45"/>
      <c r="AA341" s="83">
        <f>+AA93+AA103+AA110+AA115+AA133+AA177+AA182+AA192+AA204+AA210+AA339</f>
        <v>1336574</v>
      </c>
      <c r="AB341" s="29"/>
      <c r="AC341" s="83">
        <f>+AC93+AC103+AC110+AC115+AC133+AC177+AC182+AC192+AC204+AC210+AC339</f>
        <v>428969</v>
      </c>
      <c r="AD341" s="45"/>
      <c r="AE341" s="83">
        <f>+AE93+AE103+AE110+AE115+AE133+AE177+AE182+AE192+AE204+AE210+AE339</f>
        <v>293733</v>
      </c>
      <c r="AF341" s="45"/>
      <c r="AG341" s="83">
        <f>+AG93+AG103+AG110+AG115+AG133+AG177+AG182+AG192+AG204+AG210+AG339</f>
        <v>353570</v>
      </c>
      <c r="AH341" s="45"/>
      <c r="AI341" s="83">
        <f>+AI93+AI103+AI110+AI115+AI133+AI177+AI182+AI192+AI204+AI210+AI339</f>
        <v>180996</v>
      </c>
      <c r="AJ341" s="45"/>
      <c r="AK341" s="83">
        <f>+AK93+AK103+AK110+AK115+AK133+AK177+AK182+AK192+AK204+AK210+AK339</f>
        <v>189203</v>
      </c>
      <c r="AL341" s="25"/>
      <c r="AM341" s="83">
        <f>+AM93+AM103+AM110+AM115+AM133+AM177+AM182+AM192+AM204+AM210+AM339</f>
        <v>1899920</v>
      </c>
      <c r="AN341" s="99"/>
      <c r="AO341" s="83">
        <f>+AO93+AO103+AO110+AO115+AO133+AO177+AO182+AO192+AO204+AO210+AO339</f>
        <v>-55574</v>
      </c>
      <c r="AP341" s="45"/>
      <c r="AQ341" s="1">
        <f>SUM(Q341:AK341)</f>
        <v>7115465</v>
      </c>
      <c r="AR341" s="29">
        <f>AQ341-O341</f>
        <v>-1844346</v>
      </c>
      <c r="AS341" s="84"/>
      <c r="AT341" s="83" t="e">
        <f>#REF!+AT130+AT115+AT110+AT100+AT89+AT182+AT204+#REF!</f>
        <v>#REF!</v>
      </c>
      <c r="AU341" s="84"/>
      <c r="AV341" s="85"/>
      <c r="AW341" s="83" t="e">
        <f>#REF!+AW130+AW115+AW110+AW100+AW89+AW182+AW204+#REF!</f>
        <v>#REF!</v>
      </c>
      <c r="AX341" s="83">
        <f>+AX93+AX103+AX110+AX115+AX133+AX177+AX182+AX192+AX204+AX210+AX339</f>
        <v>8959811</v>
      </c>
      <c r="AY341" s="83">
        <f>+AY93+AY103+AY110+AY115+AY133+AY177+AY182+AY192+AY204+AY210+AY339</f>
        <v>0</v>
      </c>
    </row>
    <row r="342" spans="1:51" ht="16.5" thickTop="1" x14ac:dyDescent="0.25">
      <c r="A342" s="102"/>
      <c r="B342" s="102"/>
      <c r="C342" s="102"/>
      <c r="D342" s="63"/>
      <c r="E342" s="53"/>
      <c r="F342" s="53"/>
      <c r="G342" s="56"/>
      <c r="H342" s="56"/>
      <c r="I342" s="53"/>
      <c r="J342" s="56"/>
      <c r="K342" s="146" t="s">
        <v>165</v>
      </c>
      <c r="L342" s="56"/>
      <c r="M342" s="56"/>
      <c r="N342" s="56"/>
      <c r="O342" s="25" t="e">
        <f>+#REF!+#REF!+#REF!</f>
        <v>#REF!</v>
      </c>
      <c r="P342" s="45"/>
      <c r="Q342" s="25"/>
      <c r="R342" s="45"/>
      <c r="S342" s="25"/>
      <c r="T342" s="45"/>
      <c r="U342" s="25"/>
      <c r="V342" s="45"/>
      <c r="W342" s="25"/>
      <c r="X342" s="45"/>
      <c r="Y342" s="25"/>
      <c r="Z342" s="45"/>
      <c r="AA342" s="25"/>
      <c r="AB342" s="29"/>
      <c r="AC342" s="25"/>
      <c r="AD342" s="45"/>
      <c r="AE342" s="25"/>
      <c r="AF342" s="45"/>
      <c r="AG342" s="25"/>
      <c r="AH342" s="45"/>
      <c r="AI342" s="25"/>
      <c r="AJ342" s="45"/>
      <c r="AK342" s="25"/>
      <c r="AL342" s="25"/>
      <c r="AM342" s="25"/>
      <c r="AN342" s="99"/>
      <c r="AO342" s="25"/>
      <c r="AP342" s="45"/>
      <c r="AQ342" s="1"/>
      <c r="AR342" s="29"/>
      <c r="AS342" s="84"/>
      <c r="AT342" s="25"/>
      <c r="AU342" s="84"/>
      <c r="AV342" s="85"/>
      <c r="AW342" s="25"/>
      <c r="AX342" s="25"/>
      <c r="AY342" s="25"/>
    </row>
    <row r="343" spans="1:51" x14ac:dyDescent="0.2">
      <c r="A343" s="102"/>
      <c r="B343" s="102"/>
      <c r="C343" s="102"/>
      <c r="D343" s="96" t="s">
        <v>148</v>
      </c>
      <c r="K343" s="86"/>
      <c r="O343" s="87"/>
      <c r="AR343" s="51"/>
      <c r="AS343" s="51"/>
      <c r="AT343" s="88" t="e">
        <f>AT341/O341</f>
        <v>#REF!</v>
      </c>
      <c r="AU343" s="52"/>
      <c r="AY343" s="31"/>
    </row>
    <row r="344" spans="1:51" x14ac:dyDescent="0.2">
      <c r="A344" s="102"/>
      <c r="B344" s="102"/>
      <c r="C344" s="102"/>
      <c r="D344" s="8" t="s">
        <v>15</v>
      </c>
      <c r="K344" s="6"/>
      <c r="M344" s="134">
        <v>-354161</v>
      </c>
      <c r="O344" s="134">
        <v>-1250000</v>
      </c>
    </row>
    <row r="345" spans="1:51" x14ac:dyDescent="0.2">
      <c r="A345" s="102"/>
      <c r="B345" s="102"/>
      <c r="C345" s="102"/>
      <c r="D345" s="8" t="s">
        <v>214</v>
      </c>
      <c r="K345" s="6"/>
      <c r="M345" s="134">
        <v>-24378</v>
      </c>
      <c r="O345" s="149">
        <v>0</v>
      </c>
    </row>
    <row r="346" spans="1:51" x14ac:dyDescent="0.2">
      <c r="A346" s="102"/>
      <c r="B346" s="102"/>
      <c r="C346" s="102"/>
      <c r="D346" s="8" t="s">
        <v>124</v>
      </c>
      <c r="H346" s="89"/>
      <c r="I346" s="314">
        <v>6.7000000000000004E-2</v>
      </c>
      <c r="K346"/>
      <c r="M346" s="134">
        <v>889579</v>
      </c>
      <c r="O346" s="134">
        <v>2132795</v>
      </c>
    </row>
    <row r="347" spans="1:51" x14ac:dyDescent="0.2">
      <c r="A347" s="102"/>
      <c r="B347" s="102"/>
      <c r="C347" s="102"/>
      <c r="D347" s="8" t="s">
        <v>284</v>
      </c>
      <c r="H347" s="89"/>
      <c r="K347"/>
      <c r="M347" s="134">
        <v>0</v>
      </c>
      <c r="O347" s="134">
        <v>274304</v>
      </c>
    </row>
    <row r="348" spans="1:51" x14ac:dyDescent="0.2">
      <c r="A348" s="102"/>
      <c r="B348" s="102"/>
      <c r="C348" s="102"/>
      <c r="D348" s="8" t="s">
        <v>125</v>
      </c>
      <c r="H348" s="89"/>
      <c r="K348"/>
      <c r="M348" s="134">
        <v>0</v>
      </c>
      <c r="O348" s="134">
        <v>0</v>
      </c>
    </row>
    <row r="349" spans="1:51" x14ac:dyDescent="0.2">
      <c r="A349" s="102"/>
      <c r="B349" s="102"/>
      <c r="C349" s="102"/>
      <c r="D349" s="15" t="s">
        <v>126</v>
      </c>
      <c r="H349" s="89"/>
      <c r="K349" s="90" t="s">
        <v>127</v>
      </c>
      <c r="M349" s="134">
        <v>-9340</v>
      </c>
      <c r="O349" s="134">
        <v>32571</v>
      </c>
    </row>
    <row r="350" spans="1:51" x14ac:dyDescent="0.2">
      <c r="A350" s="102"/>
      <c r="B350" s="102"/>
      <c r="C350" s="102"/>
      <c r="D350" s="8" t="s">
        <v>166</v>
      </c>
      <c r="H350" s="89"/>
      <c r="K350" s="23"/>
      <c r="M350" s="134">
        <v>1935</v>
      </c>
      <c r="O350" s="134">
        <v>2099</v>
      </c>
    </row>
    <row r="351" spans="1:51" x14ac:dyDescent="0.2">
      <c r="A351" s="102"/>
      <c r="B351" s="102"/>
      <c r="C351" s="102"/>
      <c r="D351" s="8" t="s">
        <v>252</v>
      </c>
      <c r="H351" s="89"/>
      <c r="K351" s="23"/>
      <c r="M351" s="134">
        <v>0</v>
      </c>
      <c r="O351" s="134">
        <v>-15</v>
      </c>
    </row>
    <row r="352" spans="1:51" x14ac:dyDescent="0.2">
      <c r="A352" s="102"/>
      <c r="B352" s="102"/>
      <c r="C352" s="102"/>
      <c r="D352" s="8" t="s">
        <v>13</v>
      </c>
      <c r="H352" s="89"/>
      <c r="K352" s="23"/>
      <c r="M352" s="134">
        <v>13525</v>
      </c>
      <c r="O352" s="134">
        <v>7534</v>
      </c>
    </row>
    <row r="353" spans="1:48" x14ac:dyDescent="0.2">
      <c r="A353" s="102"/>
      <c r="B353" s="102"/>
      <c r="C353" s="102"/>
      <c r="D353" s="8" t="s">
        <v>19</v>
      </c>
      <c r="H353" s="89"/>
      <c r="K353" s="24"/>
      <c r="M353" s="134">
        <v>45036</v>
      </c>
      <c r="O353" s="134">
        <v>0</v>
      </c>
    </row>
    <row r="354" spans="1:48" x14ac:dyDescent="0.2">
      <c r="A354" s="102"/>
      <c r="B354" s="102"/>
      <c r="C354" s="102"/>
      <c r="D354" s="8" t="s">
        <v>7</v>
      </c>
      <c r="H354" s="89"/>
      <c r="K354" s="24"/>
      <c r="M354" s="134">
        <v>123677</v>
      </c>
      <c r="O354" s="134">
        <f>104519+7850</f>
        <v>112369</v>
      </c>
    </row>
    <row r="355" spans="1:48" x14ac:dyDescent="0.2">
      <c r="A355" s="102"/>
      <c r="B355" s="102"/>
      <c r="C355" s="102"/>
      <c r="D355" s="8" t="s">
        <v>8</v>
      </c>
      <c r="E355"/>
      <c r="F355"/>
      <c r="H355" s="34"/>
      <c r="J355" s="23" t="s">
        <v>69</v>
      </c>
      <c r="K355" s="24"/>
      <c r="M355" s="107">
        <v>24708</v>
      </c>
      <c r="O355" s="107">
        <v>31718</v>
      </c>
    </row>
    <row r="356" spans="1:48" x14ac:dyDescent="0.2">
      <c r="A356" s="102"/>
      <c r="B356" s="102"/>
      <c r="C356" s="102"/>
      <c r="D356" s="8" t="s">
        <v>261</v>
      </c>
      <c r="E356"/>
      <c r="F356"/>
      <c r="H356" s="34"/>
      <c r="J356" s="23"/>
      <c r="K356" s="24"/>
      <c r="M356" s="107">
        <v>0</v>
      </c>
      <c r="O356" s="107">
        <v>4706</v>
      </c>
    </row>
    <row r="357" spans="1:48" x14ac:dyDescent="0.2">
      <c r="A357" s="102"/>
      <c r="B357" s="102"/>
      <c r="C357" s="102"/>
      <c r="D357" s="8" t="s">
        <v>128</v>
      </c>
      <c r="E357"/>
      <c r="F357"/>
      <c r="H357" s="34"/>
      <c r="J357" s="23" t="s">
        <v>69</v>
      </c>
      <c r="K357" s="24"/>
      <c r="M357" s="129">
        <v>266085</v>
      </c>
      <c r="O357" s="129">
        <v>137823</v>
      </c>
    </row>
    <row r="358" spans="1:48" x14ac:dyDescent="0.2">
      <c r="A358" s="102"/>
      <c r="B358" s="102"/>
      <c r="C358" s="102"/>
      <c r="D358" s="8" t="s">
        <v>129</v>
      </c>
      <c r="E358"/>
      <c r="F358"/>
      <c r="H358" s="34"/>
      <c r="J358" s="23"/>
      <c r="K358" s="24"/>
      <c r="M358" s="107">
        <v>0</v>
      </c>
      <c r="O358" s="107">
        <v>0</v>
      </c>
    </row>
    <row r="359" spans="1:48" ht="8.1" customHeight="1" x14ac:dyDescent="0.2">
      <c r="A359" s="102"/>
      <c r="B359" s="102"/>
      <c r="C359" s="102"/>
      <c r="D359" s="8"/>
      <c r="E359"/>
      <c r="F359"/>
      <c r="H359" s="34"/>
      <c r="J359" s="23"/>
      <c r="K359" s="24"/>
      <c r="M359" s="114"/>
      <c r="O359" s="114"/>
    </row>
    <row r="360" spans="1:48" x14ac:dyDescent="0.2">
      <c r="A360" s="102"/>
      <c r="B360" s="102"/>
      <c r="C360" s="102"/>
      <c r="D360" s="63" t="s">
        <v>130</v>
      </c>
      <c r="E360" s="53"/>
      <c r="F360" s="53"/>
      <c r="G360" s="56"/>
      <c r="H360" s="56"/>
      <c r="I360" s="53"/>
      <c r="J360" s="56"/>
      <c r="K360" s="56"/>
      <c r="L360" s="56"/>
      <c r="M360" s="44">
        <f>SUM(M343:M359)</f>
        <v>976666</v>
      </c>
      <c r="N360" s="56"/>
      <c r="O360" s="44">
        <f>SUM(O343:O359)</f>
        <v>1485904</v>
      </c>
      <c r="Q360" s="44"/>
    </row>
    <row r="361" spans="1:48" x14ac:dyDescent="0.2">
      <c r="A361" s="102"/>
      <c r="B361" s="102"/>
      <c r="C361" s="102"/>
      <c r="D361" s="56"/>
      <c r="E361" s="53"/>
      <c r="F361" s="53"/>
      <c r="G361" s="56"/>
      <c r="H361" s="56"/>
      <c r="I361" s="53"/>
      <c r="J361" s="56"/>
      <c r="K361" s="56"/>
      <c r="L361" s="56"/>
      <c r="M361" s="91"/>
      <c r="N361" s="56"/>
      <c r="O361" s="91"/>
    </row>
    <row r="362" spans="1:48" ht="15.75" thickBot="1" x14ac:dyDescent="0.25">
      <c r="A362" s="102"/>
      <c r="B362" s="102"/>
      <c r="C362" s="102"/>
      <c r="D362" s="92" t="s">
        <v>131</v>
      </c>
      <c r="E362" s="53"/>
      <c r="F362" s="53"/>
      <c r="G362" s="56" t="s">
        <v>132</v>
      </c>
      <c r="H362" s="56"/>
      <c r="I362" s="53"/>
      <c r="J362" s="56"/>
      <c r="K362" s="56"/>
      <c r="L362" s="56"/>
      <c r="M362" s="93">
        <f>M360+M341</f>
        <v>8292572</v>
      </c>
      <c r="N362" s="56"/>
      <c r="O362" s="93">
        <f>O360+O341</f>
        <v>10445715</v>
      </c>
    </row>
    <row r="363" spans="1:48" ht="15.75" thickTop="1" x14ac:dyDescent="0.2">
      <c r="O363" s="91"/>
      <c r="P363" s="30"/>
    </row>
    <row r="364" spans="1:48" x14ac:dyDescent="0.2">
      <c r="I364" s="68" t="s">
        <v>206</v>
      </c>
      <c r="M364" s="31">
        <f>+M90+M101+M175</f>
        <v>-53722</v>
      </c>
      <c r="O364" s="31">
        <f>+O90+O101+O175</f>
        <v>-55574</v>
      </c>
      <c r="P364" s="30"/>
    </row>
    <row r="365" spans="1:48" x14ac:dyDescent="0.2">
      <c r="O365" s="91"/>
      <c r="P365" s="30"/>
    </row>
    <row r="366" spans="1:48" ht="12.75" x14ac:dyDescent="0.2">
      <c r="E366" s="7"/>
      <c r="F366" s="7"/>
      <c r="I366" s="7"/>
      <c r="O366" s="7"/>
      <c r="AU366" s="7"/>
      <c r="AV366" s="7"/>
    </row>
    <row r="367" spans="1:48" ht="12.75" x14ac:dyDescent="0.2">
      <c r="E367" s="7"/>
      <c r="F367" s="7"/>
      <c r="I367" s="7"/>
      <c r="O367" s="7"/>
      <c r="AU367" s="7"/>
      <c r="AV367" s="7"/>
    </row>
    <row r="368" spans="1:48" ht="12.75" x14ac:dyDescent="0.2">
      <c r="E368" s="7"/>
      <c r="F368" s="7"/>
      <c r="I368" s="7"/>
      <c r="O368" s="7"/>
      <c r="AU368" s="7"/>
      <c r="AV368" s="7"/>
    </row>
    <row r="369" s="7" customFormat="1" ht="12.75" x14ac:dyDescent="0.2"/>
    <row r="370" s="7" customFormat="1" ht="12.75" x14ac:dyDescent="0.2"/>
    <row r="371" s="7" customFormat="1" ht="12.75" x14ac:dyDescent="0.2"/>
    <row r="372" s="7" customFormat="1" ht="12.75" x14ac:dyDescent="0.2"/>
    <row r="373" s="7" customFormat="1" ht="12.75" x14ac:dyDescent="0.2"/>
    <row r="374" s="7" customFormat="1" ht="12.75" x14ac:dyDescent="0.2"/>
    <row r="375" s="7" customFormat="1" ht="12.75" x14ac:dyDescent="0.2"/>
    <row r="376" s="7" customFormat="1" ht="12.75" x14ac:dyDescent="0.2"/>
    <row r="377" s="7" customFormat="1" ht="12.75" x14ac:dyDescent="0.2"/>
    <row r="378" s="7" customFormat="1" ht="12.75" x14ac:dyDescent="0.2"/>
    <row r="379" s="7" customFormat="1" ht="12.75" x14ac:dyDescent="0.2"/>
    <row r="380" s="7" customFormat="1" ht="12.75" x14ac:dyDescent="0.2"/>
    <row r="381" s="7" customFormat="1" ht="12.75" x14ac:dyDescent="0.2"/>
    <row r="382" s="7" customFormat="1" ht="12.75" x14ac:dyDescent="0.2"/>
    <row r="383" s="7" customFormat="1" ht="12.75" x14ac:dyDescent="0.2"/>
    <row r="384" s="7" customFormat="1" ht="12.75" x14ac:dyDescent="0.2"/>
    <row r="385" s="7" customFormat="1" ht="12.75" x14ac:dyDescent="0.2"/>
    <row r="386" s="7" customFormat="1" ht="12.75" x14ac:dyDescent="0.2"/>
    <row r="387" s="7" customFormat="1" ht="12.75" x14ac:dyDescent="0.2"/>
    <row r="388" s="7" customFormat="1" ht="12.75" x14ac:dyDescent="0.2"/>
    <row r="389" s="7" customFormat="1" ht="12.75" x14ac:dyDescent="0.2"/>
    <row r="390" s="7" customFormat="1" ht="12.75" x14ac:dyDescent="0.2"/>
    <row r="391" s="7" customFormat="1" ht="12.75" x14ac:dyDescent="0.2"/>
    <row r="392" s="7" customFormat="1" ht="12.75" x14ac:dyDescent="0.2"/>
    <row r="393" s="7" customFormat="1" ht="12.75" x14ac:dyDescent="0.2"/>
    <row r="394" s="7" customFormat="1" ht="12.75" x14ac:dyDescent="0.2"/>
    <row r="395" s="7" customFormat="1" ht="12.75" x14ac:dyDescent="0.2"/>
    <row r="396" s="7" customFormat="1" ht="12.75" x14ac:dyDescent="0.2"/>
    <row r="397" s="7" customFormat="1" ht="12.75" x14ac:dyDescent="0.2"/>
    <row r="398" s="7" customFormat="1" ht="12.75" x14ac:dyDescent="0.2"/>
    <row r="399" s="7" customFormat="1" ht="12.75" x14ac:dyDescent="0.2"/>
    <row r="400" s="7" customFormat="1" ht="12.75" x14ac:dyDescent="0.2"/>
    <row r="401" s="7" customFormat="1" ht="12.75" x14ac:dyDescent="0.2"/>
    <row r="402" s="7" customFormat="1" ht="12.75" x14ac:dyDescent="0.2"/>
    <row r="403" s="7" customFormat="1" ht="12.75" x14ac:dyDescent="0.2"/>
    <row r="404" s="7" customFormat="1" ht="12.75" x14ac:dyDescent="0.2"/>
    <row r="405" s="7" customFormat="1" ht="12.75" x14ac:dyDescent="0.2"/>
    <row r="406" s="7" customFormat="1" ht="12.75" x14ac:dyDescent="0.2"/>
    <row r="407" s="7" customFormat="1" ht="12.75" x14ac:dyDescent="0.2"/>
    <row r="408" s="7" customFormat="1" ht="12.75" x14ac:dyDescent="0.2"/>
    <row r="409" s="7" customFormat="1" ht="12.75" x14ac:dyDescent="0.2"/>
    <row r="410" s="7" customFormat="1" ht="12.75" x14ac:dyDescent="0.2"/>
    <row r="411" s="7" customFormat="1" ht="12.75" x14ac:dyDescent="0.2"/>
    <row r="412" s="7" customFormat="1" ht="12.75" x14ac:dyDescent="0.2"/>
    <row r="413" s="7" customFormat="1" ht="12.75" x14ac:dyDescent="0.2"/>
    <row r="414" s="7" customFormat="1" ht="12.75" x14ac:dyDescent="0.2"/>
    <row r="415" s="7" customFormat="1" ht="12.75" x14ac:dyDescent="0.2"/>
    <row r="416" s="7" customFormat="1" ht="12.75" x14ac:dyDescent="0.2"/>
    <row r="417" s="7" customFormat="1" ht="12.75" x14ac:dyDescent="0.2"/>
    <row r="418" s="7" customFormat="1" ht="12.75" x14ac:dyDescent="0.2"/>
    <row r="419" s="7" customFormat="1" ht="12.75" x14ac:dyDescent="0.2"/>
    <row r="420" s="7" customFormat="1" ht="12.75" x14ac:dyDescent="0.2"/>
    <row r="421" s="7" customFormat="1" ht="12.75" x14ac:dyDescent="0.2"/>
    <row r="422" s="7" customFormat="1" ht="12.75" x14ac:dyDescent="0.2"/>
    <row r="423" s="7" customFormat="1" ht="12.75" x14ac:dyDescent="0.2"/>
    <row r="424" s="7" customFormat="1" ht="12.75" x14ac:dyDescent="0.2"/>
    <row r="425" s="7" customFormat="1" ht="12.75" x14ac:dyDescent="0.2"/>
    <row r="426" s="7" customFormat="1" ht="12.75" x14ac:dyDescent="0.2"/>
    <row r="427" s="7" customFormat="1" ht="12.75" x14ac:dyDescent="0.2"/>
    <row r="428" s="7" customFormat="1" ht="12.75" x14ac:dyDescent="0.2"/>
    <row r="429" s="7" customFormat="1" ht="12.75" x14ac:dyDescent="0.2"/>
    <row r="430" s="7" customFormat="1" ht="12.75" x14ac:dyDescent="0.2"/>
    <row r="431" s="7" customFormat="1" ht="12.75" x14ac:dyDescent="0.2"/>
    <row r="432" s="7" customFormat="1" ht="12.75" x14ac:dyDescent="0.2"/>
    <row r="433" s="7" customFormat="1" ht="12.75" x14ac:dyDescent="0.2"/>
    <row r="434" s="7" customFormat="1" ht="12.75" x14ac:dyDescent="0.2"/>
    <row r="435" s="7" customFormat="1" ht="12.75" x14ac:dyDescent="0.2"/>
    <row r="436" s="7" customFormat="1" ht="12.75" x14ac:dyDescent="0.2"/>
    <row r="437" s="7" customFormat="1" ht="12.75" x14ac:dyDescent="0.2"/>
    <row r="438" s="7" customFormat="1" ht="12.75" x14ac:dyDescent="0.2"/>
    <row r="439" s="7" customFormat="1" ht="12.75" x14ac:dyDescent="0.2"/>
    <row r="440" s="7" customFormat="1" ht="12.75" x14ac:dyDescent="0.2"/>
    <row r="441" s="7" customFormat="1" ht="12.75" x14ac:dyDescent="0.2"/>
    <row r="442" s="7" customFormat="1" ht="12.75" x14ac:dyDescent="0.2"/>
    <row r="443" s="7" customFormat="1" ht="12.75" x14ac:dyDescent="0.2"/>
    <row r="444" s="7" customFormat="1" ht="12.75" x14ac:dyDescent="0.2"/>
    <row r="445" s="7" customFormat="1" ht="12.75" x14ac:dyDescent="0.2"/>
    <row r="446" s="7" customFormat="1" ht="12.75" x14ac:dyDescent="0.2"/>
    <row r="447" s="7" customFormat="1" ht="12.75" x14ac:dyDescent="0.2"/>
    <row r="448" s="7" customFormat="1" ht="12.75" x14ac:dyDescent="0.2"/>
    <row r="449" s="7" customFormat="1" ht="12.75" x14ac:dyDescent="0.2"/>
    <row r="450" s="7" customFormat="1" ht="12.75" x14ac:dyDescent="0.2"/>
    <row r="451" s="7" customFormat="1" ht="12.75" x14ac:dyDescent="0.2"/>
    <row r="452" s="7" customFormat="1" ht="12.75" x14ac:dyDescent="0.2"/>
    <row r="453" s="7" customFormat="1" ht="12.75" x14ac:dyDescent="0.2"/>
    <row r="454" s="7" customFormat="1" ht="12.75" x14ac:dyDescent="0.2"/>
    <row r="455" s="7" customFormat="1" ht="12.75" x14ac:dyDescent="0.2"/>
    <row r="456" s="7" customFormat="1" ht="12.75" x14ac:dyDescent="0.2"/>
    <row r="457" s="7" customFormat="1" ht="12.75" x14ac:dyDescent="0.2"/>
    <row r="458" s="7" customFormat="1" ht="12.75" x14ac:dyDescent="0.2"/>
    <row r="459" s="7" customFormat="1" ht="12.75" x14ac:dyDescent="0.2"/>
    <row r="460" s="7" customFormat="1" ht="12.75" x14ac:dyDescent="0.2"/>
    <row r="461" s="7" customFormat="1" ht="12.75" x14ac:dyDescent="0.2"/>
    <row r="462" s="7" customFormat="1" ht="12.75" x14ac:dyDescent="0.2"/>
    <row r="463" s="7" customFormat="1" ht="12.75" x14ac:dyDescent="0.2"/>
    <row r="464" s="7" customFormat="1" ht="12.75" x14ac:dyDescent="0.2"/>
    <row r="465" s="7" customFormat="1" ht="12.75" x14ac:dyDescent="0.2"/>
    <row r="466" s="7" customFormat="1" ht="12.75" x14ac:dyDescent="0.2"/>
    <row r="467" s="7" customFormat="1" ht="12.75" x14ac:dyDescent="0.2"/>
    <row r="468" s="7" customFormat="1" ht="12.75" x14ac:dyDescent="0.2"/>
    <row r="469" s="7" customFormat="1" ht="12.75" x14ac:dyDescent="0.2"/>
    <row r="470" s="7" customFormat="1" ht="12.75" x14ac:dyDescent="0.2"/>
    <row r="471" s="7" customFormat="1" ht="12.75" x14ac:dyDescent="0.2"/>
    <row r="472" s="7" customFormat="1" ht="12.75" x14ac:dyDescent="0.2"/>
    <row r="473" s="7" customFormat="1" ht="12.75" x14ac:dyDescent="0.2"/>
    <row r="474" s="7" customFormat="1" ht="12.75" x14ac:dyDescent="0.2"/>
    <row r="475" s="7" customFormat="1" ht="12.75" x14ac:dyDescent="0.2"/>
    <row r="476" s="7" customFormat="1" ht="12.75" x14ac:dyDescent="0.2"/>
    <row r="477" s="7" customFormat="1" ht="12.75" x14ac:dyDescent="0.2"/>
    <row r="478" s="7" customFormat="1" ht="12.75" x14ac:dyDescent="0.2"/>
    <row r="479" s="7" customFormat="1" ht="12.75" x14ac:dyDescent="0.2"/>
    <row r="480" s="7" customFormat="1" ht="12.75" x14ac:dyDescent="0.2"/>
    <row r="481" s="7" customFormat="1" ht="12.75" x14ac:dyDescent="0.2"/>
    <row r="482" s="7" customFormat="1" ht="12.75" x14ac:dyDescent="0.2"/>
    <row r="483" s="7" customFormat="1" ht="12.75" x14ac:dyDescent="0.2"/>
    <row r="484" s="7" customFormat="1" ht="12.75" x14ac:dyDescent="0.2"/>
    <row r="485" s="7" customFormat="1" ht="12.75" x14ac:dyDescent="0.2"/>
    <row r="486" s="7" customFormat="1" ht="12.75" x14ac:dyDescent="0.2"/>
    <row r="487" s="7" customFormat="1" ht="12.75" x14ac:dyDescent="0.2"/>
    <row r="488" s="7" customFormat="1" ht="12.75" x14ac:dyDescent="0.2"/>
    <row r="489" s="7" customFormat="1" ht="12.75" x14ac:dyDescent="0.2"/>
    <row r="490" s="7" customFormat="1" ht="12.75" x14ac:dyDescent="0.2"/>
    <row r="491" s="7" customFormat="1" ht="12.75" x14ac:dyDescent="0.2"/>
    <row r="492" s="7" customFormat="1" ht="12.75" x14ac:dyDescent="0.2"/>
    <row r="493" s="7" customFormat="1" ht="12.75" x14ac:dyDescent="0.2"/>
    <row r="494" s="7" customFormat="1" ht="12.75" x14ac:dyDescent="0.2"/>
    <row r="495" s="7" customFormat="1" ht="12.75" x14ac:dyDescent="0.2"/>
    <row r="496" s="7" customFormat="1" ht="12.75" x14ac:dyDescent="0.2"/>
    <row r="497" s="7" customFormat="1" ht="12.75" x14ac:dyDescent="0.2"/>
    <row r="498" s="7" customFormat="1" ht="12.75" x14ac:dyDescent="0.2"/>
    <row r="499" s="7" customFormat="1" ht="12.75" x14ac:dyDescent="0.2"/>
    <row r="500" s="7" customFormat="1" ht="12.75" x14ac:dyDescent="0.2"/>
    <row r="501" s="7" customFormat="1" ht="12.75" x14ac:dyDescent="0.2"/>
    <row r="502" s="7" customFormat="1" ht="12.75" x14ac:dyDescent="0.2"/>
    <row r="503" s="7" customFormat="1" ht="12.75" x14ac:dyDescent="0.2"/>
    <row r="504" s="7" customFormat="1" ht="12.75" x14ac:dyDescent="0.2"/>
    <row r="505" s="7" customFormat="1" ht="12.75" x14ac:dyDescent="0.2"/>
    <row r="506" s="7" customFormat="1" ht="12.75" x14ac:dyDescent="0.2"/>
    <row r="507" s="7" customFormat="1" ht="12.75" x14ac:dyDescent="0.2"/>
    <row r="508" s="7" customFormat="1" ht="12.75" x14ac:dyDescent="0.2"/>
    <row r="509" s="7" customFormat="1" ht="12.75" x14ac:dyDescent="0.2"/>
    <row r="510" s="7" customFormat="1" ht="12.75" x14ac:dyDescent="0.2"/>
    <row r="511" s="7" customFormat="1" ht="12.75" x14ac:dyDescent="0.2"/>
    <row r="512" s="7" customFormat="1" ht="12.75" x14ac:dyDescent="0.2"/>
    <row r="513" s="7" customFormat="1" ht="12.75" x14ac:dyDescent="0.2"/>
    <row r="514" s="7" customFormat="1" ht="12.75" x14ac:dyDescent="0.2"/>
    <row r="515" s="7" customFormat="1" ht="12.75" x14ac:dyDescent="0.2"/>
    <row r="516" s="7" customFormat="1" ht="12.75" x14ac:dyDescent="0.2"/>
    <row r="517" s="7" customFormat="1" ht="12.75" x14ac:dyDescent="0.2"/>
    <row r="518" s="7" customFormat="1" ht="12.75" x14ac:dyDescent="0.2"/>
    <row r="519" s="7" customFormat="1" ht="12.75" x14ac:dyDescent="0.2"/>
    <row r="520" s="7" customFormat="1" ht="12.75" x14ac:dyDescent="0.2"/>
    <row r="521" s="7" customFormat="1" ht="12.75" x14ac:dyDescent="0.2"/>
    <row r="522" s="7" customFormat="1" ht="12.75" x14ac:dyDescent="0.2"/>
    <row r="523" s="7" customFormat="1" ht="12.75" x14ac:dyDescent="0.2"/>
    <row r="524" s="7" customFormat="1" ht="12.75" x14ac:dyDescent="0.2"/>
    <row r="525" s="7" customFormat="1" ht="12.75" x14ac:dyDescent="0.2"/>
    <row r="526" s="7" customFormat="1" ht="12.75" x14ac:dyDescent="0.2"/>
    <row r="527" s="7" customFormat="1" ht="12.75" x14ac:dyDescent="0.2"/>
    <row r="528" s="7" customFormat="1" ht="12.75" x14ac:dyDescent="0.2"/>
    <row r="529" s="7" customFormat="1" ht="12.75" x14ac:dyDescent="0.2"/>
    <row r="530" s="7" customFormat="1" ht="12.75" x14ac:dyDescent="0.2"/>
    <row r="531" s="7" customFormat="1" ht="12.75" x14ac:dyDescent="0.2"/>
    <row r="532" s="7" customFormat="1" ht="12.75" x14ac:dyDescent="0.2"/>
    <row r="533" s="7" customFormat="1" ht="12.75" x14ac:dyDescent="0.2"/>
    <row r="534" s="7" customFormat="1" ht="12.75" x14ac:dyDescent="0.2"/>
    <row r="535" s="7" customFormat="1" ht="12.75" x14ac:dyDescent="0.2"/>
    <row r="536" s="7" customFormat="1" ht="12.75" x14ac:dyDescent="0.2"/>
    <row r="537" s="7" customFormat="1" ht="12.75" x14ac:dyDescent="0.2"/>
    <row r="538" s="7" customFormat="1" ht="12.75" x14ac:dyDescent="0.2"/>
    <row r="539" s="7" customFormat="1" ht="12.75" x14ac:dyDescent="0.2"/>
    <row r="540" s="7" customFormat="1" ht="12.75" x14ac:dyDescent="0.2"/>
    <row r="541" s="7" customFormat="1" ht="12.75" x14ac:dyDescent="0.2"/>
    <row r="542" s="7" customFormat="1" ht="12.75" x14ac:dyDescent="0.2"/>
    <row r="543" s="7" customFormat="1" ht="12.75" x14ac:dyDescent="0.2"/>
    <row r="544" s="7" customFormat="1" ht="12.75" x14ac:dyDescent="0.2"/>
    <row r="545" s="7" customFormat="1" ht="12.75" x14ac:dyDescent="0.2"/>
    <row r="546" s="7" customFormat="1" ht="12.75" x14ac:dyDescent="0.2"/>
    <row r="547" s="7" customFormat="1" ht="12.75" x14ac:dyDescent="0.2"/>
    <row r="548" s="7" customFormat="1" ht="12.75" x14ac:dyDescent="0.2"/>
    <row r="549" s="7" customFormat="1" ht="12.75" x14ac:dyDescent="0.2"/>
    <row r="550" s="7" customFormat="1" ht="12.75" x14ac:dyDescent="0.2"/>
    <row r="551" s="7" customFormat="1" ht="12.75" x14ac:dyDescent="0.2"/>
    <row r="552" s="7" customFormat="1" ht="12.75" x14ac:dyDescent="0.2"/>
    <row r="553" s="7" customFormat="1" ht="12.75" x14ac:dyDescent="0.2"/>
    <row r="554" s="7" customFormat="1" ht="12.75" x14ac:dyDescent="0.2"/>
    <row r="555" s="7" customFormat="1" ht="12.75" x14ac:dyDescent="0.2"/>
    <row r="556" s="7" customFormat="1" ht="12.75" x14ac:dyDescent="0.2"/>
    <row r="557" s="7" customFormat="1" ht="12.75" x14ac:dyDescent="0.2"/>
    <row r="558" s="7" customFormat="1" ht="12.75" x14ac:dyDescent="0.2"/>
    <row r="559" s="7" customFormat="1" ht="12.75" x14ac:dyDescent="0.2"/>
    <row r="560" s="7" customFormat="1" ht="12.75" x14ac:dyDescent="0.2"/>
    <row r="561" s="7" customFormat="1" ht="12.75" x14ac:dyDescent="0.2"/>
    <row r="562" s="7" customFormat="1" ht="12.75" x14ac:dyDescent="0.2"/>
    <row r="563" s="7" customFormat="1" ht="12.75" x14ac:dyDescent="0.2"/>
    <row r="564" s="7" customFormat="1" ht="12.75" x14ac:dyDescent="0.2"/>
    <row r="565" s="7" customFormat="1" ht="12.75" x14ac:dyDescent="0.2"/>
    <row r="566" s="7" customFormat="1" ht="12.75" x14ac:dyDescent="0.2"/>
    <row r="567" s="7" customFormat="1" ht="12.75" x14ac:dyDescent="0.2"/>
    <row r="568" s="7" customFormat="1" ht="12.75" x14ac:dyDescent="0.2"/>
    <row r="569" s="7" customFormat="1" ht="12.75" x14ac:dyDescent="0.2"/>
    <row r="570" s="7" customFormat="1" ht="12.75" x14ac:dyDescent="0.2"/>
    <row r="571" s="7" customFormat="1" ht="12.75" x14ac:dyDescent="0.2"/>
    <row r="572" s="7" customFormat="1" ht="12.75" x14ac:dyDescent="0.2"/>
    <row r="573" s="7" customFormat="1" ht="12.75" x14ac:dyDescent="0.2"/>
    <row r="574" s="7" customFormat="1" ht="12.75" x14ac:dyDescent="0.2"/>
    <row r="575" s="7" customFormat="1" ht="12.75" x14ac:dyDescent="0.2"/>
    <row r="576" s="7" customFormat="1" ht="12.75" x14ac:dyDescent="0.2"/>
    <row r="577" s="7" customFormat="1" ht="12.75" x14ac:dyDescent="0.2"/>
    <row r="578" s="7" customFormat="1" ht="12.75" x14ac:dyDescent="0.2"/>
    <row r="579" s="7" customFormat="1" ht="12.75" x14ac:dyDescent="0.2"/>
    <row r="580" s="7" customFormat="1" ht="12.75" x14ac:dyDescent="0.2"/>
    <row r="581" s="7" customFormat="1" ht="12.75" x14ac:dyDescent="0.2"/>
    <row r="582" s="7" customFormat="1" ht="12.75" x14ac:dyDescent="0.2"/>
    <row r="583" s="7" customFormat="1" ht="12.75" x14ac:dyDescent="0.2"/>
    <row r="584" s="7" customFormat="1" ht="12.75" x14ac:dyDescent="0.2"/>
    <row r="585" s="7" customFormat="1" ht="12.75" x14ac:dyDescent="0.2"/>
    <row r="586" s="7" customFormat="1" ht="12.75" x14ac:dyDescent="0.2"/>
    <row r="587" s="7" customFormat="1" ht="12.75" x14ac:dyDescent="0.2"/>
    <row r="588" s="7" customFormat="1" ht="12.75" x14ac:dyDescent="0.2"/>
    <row r="589" s="7" customFormat="1" ht="12.75" x14ac:dyDescent="0.2"/>
    <row r="590" s="7" customFormat="1" ht="12.75" x14ac:dyDescent="0.2"/>
    <row r="591" s="7" customFormat="1" ht="12.75" x14ac:dyDescent="0.2"/>
    <row r="592" s="7" customFormat="1" ht="12.75" x14ac:dyDescent="0.2"/>
    <row r="593" s="7" customFormat="1" ht="12.75" x14ac:dyDescent="0.2"/>
    <row r="594" s="7" customFormat="1" ht="12.75" x14ac:dyDescent="0.2"/>
    <row r="595" s="7" customFormat="1" ht="12.75" x14ac:dyDescent="0.2"/>
    <row r="596" s="7" customFormat="1" ht="12.75" x14ac:dyDescent="0.2"/>
    <row r="597" s="7" customFormat="1" ht="12.75" x14ac:dyDescent="0.2"/>
    <row r="598" s="7" customFormat="1" ht="12.75" x14ac:dyDescent="0.2"/>
    <row r="599" s="7" customFormat="1" ht="12.75" x14ac:dyDescent="0.2"/>
    <row r="600" s="7" customFormat="1" ht="12.75" x14ac:dyDescent="0.2"/>
    <row r="601" s="7" customFormat="1" ht="12.75" x14ac:dyDescent="0.2"/>
    <row r="602" s="7" customFormat="1" ht="12.75" x14ac:dyDescent="0.2"/>
    <row r="603" s="7" customFormat="1" ht="12.75" x14ac:dyDescent="0.2"/>
    <row r="604" s="7" customFormat="1" ht="12.75" x14ac:dyDescent="0.2"/>
    <row r="605" s="7" customFormat="1" ht="12.75" x14ac:dyDescent="0.2"/>
  </sheetData>
  <pageMargins left="0.5" right="0.5" top="0.5" bottom="0.5" header="0.25" footer="0.25"/>
  <pageSetup scale="45" fitToHeight="0" orientation="landscape" r:id="rId1"/>
  <headerFooter alignWithMargins="0">
    <oddFooter>&amp;L&amp;F  &amp;A&amp;R&amp;D&amp;T</oddFooter>
  </headerFooter>
  <rowBreaks count="5" manualBreakCount="5">
    <brk id="79" max="40" man="1"/>
    <brk id="134" max="40" man="1"/>
    <brk id="182" max="40" man="1"/>
    <brk id="248" max="40" man="1"/>
    <brk id="311" max="40" man="1"/>
  </rowBreaks>
  <colBreaks count="1" manualBreakCount="1">
    <brk id="41" min="8" max="347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2000-08-09T21:36:29Z</cp:lastPrinted>
  <dcterms:created xsi:type="dcterms:W3CDTF">1999-11-16T17:49:19Z</dcterms:created>
  <dcterms:modified xsi:type="dcterms:W3CDTF">2023-09-13T16:13:41Z</dcterms:modified>
</cp:coreProperties>
</file>