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9C9F1B-EC64-4EFB-8A3A-900406F6713B}" xr6:coauthVersionLast="47" xr6:coauthVersionMax="47" xr10:uidLastSave="{00000000-0000-0000-0000-000000000000}"/>
  <bookViews>
    <workbookView xWindow="-120" yWindow="-120" windowWidth="38640" windowHeight="15720"/>
  </bookViews>
  <sheets>
    <sheet name="Front" sheetId="1" r:id="rId1"/>
    <sheet name="Explanation" sheetId="5" r:id="rId2"/>
    <sheet name="Optimal" sheetId="2" r:id="rId3"/>
    <sheet name="Competitive" sheetId="3" r:id="rId4"/>
  </sheets>
  <definedNames>
    <definedName name="A1on">Competitive!$E$8</definedName>
    <definedName name="A2on">Competitive!$E$9</definedName>
    <definedName name="A3on">Competitive!$E$10</definedName>
    <definedName name="AD_1">Optimal!$E$31</definedName>
    <definedName name="AD_2">Optimal!$E$32</definedName>
    <definedName name="AD_3">Optimal!$E$33</definedName>
    <definedName name="Cap">Front!$B$10</definedName>
    <definedName name="_Flo12">Competitive!$I$6</definedName>
    <definedName name="_Flo23">Competitive!$I$7</definedName>
    <definedName name="Flow12">Optimal!$E$5</definedName>
    <definedName name="Flow23">Optimal!$E$6</definedName>
    <definedName name="G1A">Optimal!$E$7</definedName>
    <definedName name="G1Aon">Optimal!$E$11</definedName>
    <definedName name="G2A">Optimal!$E$8</definedName>
    <definedName name="G2Aon">Optimal!$E$12</definedName>
    <definedName name="G3A">Optimal!$E$9</definedName>
    <definedName name="G3Aon">Optimal!$E$13</definedName>
    <definedName name="G3B">Optimal!$E$10</definedName>
    <definedName name="Gen1A">Competitive!$J$10</definedName>
    <definedName name="Gen2A">Competitive!$J$11</definedName>
    <definedName name="Gen3A">Competitive!$J$12</definedName>
    <definedName name="Gen3B">Competitive!$E$11</definedName>
    <definedName name="_Inc1">Front!$B$13</definedName>
    <definedName name="_Inc2">Front!$B$14</definedName>
    <definedName name="_Inc3">Front!$B$15</definedName>
    <definedName name="Load3">Front!$B$11</definedName>
    <definedName name="_Los12">Competitive!$K$6</definedName>
    <definedName name="_Los23">Competitive!$K$7</definedName>
    <definedName name="Loss12">Optimal!$I$5</definedName>
    <definedName name="Loss23">Optimal!$I$6</definedName>
    <definedName name="MCA">Front!$B$8</definedName>
    <definedName name="MCB">Front!$B$9</definedName>
    <definedName name="ohm">Front!$B$12</definedName>
    <definedName name="omComp">Competitive!$G$3</definedName>
    <definedName name="omOpt">Optimal!$G$3</definedName>
    <definedName name="P1_P2">Competitive!$G$6</definedName>
    <definedName name="P2_P3">Competitive!$G$7</definedName>
    <definedName name="Price1">Competitive!$E$5</definedName>
    <definedName name="Price2">Competitive!$E$6</definedName>
    <definedName name="Price3">Competitive!$E$7</definedName>
    <definedName name="Reps">Front!$B$4</definedName>
    <definedName name="Reps_Comp">Competitive!$G$2</definedName>
    <definedName name="Reps_opt">Optimal!$G$2</definedName>
    <definedName name="solver_adj" localSheetId="3" hidden="1">Competitive!$E$5:$E$11</definedName>
    <definedName name="solver_adj" localSheetId="2" hidden="1">Optimal!$E$5:$E$13</definedName>
    <definedName name="solver_cvg" localSheetId="3" hidden="1">0.00000000001</definedName>
    <definedName name="solver_cvg" localSheetId="2" hidden="1">0.000000000001</definedName>
    <definedName name="solver_drv" localSheetId="3" hidden="1">1</definedName>
    <definedName name="solver_drv" localSheetId="2" hidden="1">1</definedName>
    <definedName name="solver_est" localSheetId="3" hidden="1">2</definedName>
    <definedName name="solver_est" localSheetId="2" hidden="1">2</definedName>
    <definedName name="solver_itr" localSheetId="3" hidden="1">200</definedName>
    <definedName name="solver_itr" localSheetId="2" hidden="1">200</definedName>
    <definedName name="solver_lhs1" localSheetId="3" hidden="1">Competitive!$E$8:$E$25</definedName>
    <definedName name="solver_lhs1" localSheetId="2" hidden="1">Optimal!$E$11:$E$13</definedName>
    <definedName name="solver_lhs2" localSheetId="3" hidden="1">Competitive!$E$8</definedName>
    <definedName name="solver_lhs2" localSheetId="2" hidden="1">Optimal!$E$7:$E$10</definedName>
    <definedName name="solver_lhs3" localSheetId="3" hidden="1">Competitive!$E$9</definedName>
    <definedName name="solver_lhs3" localSheetId="2" hidden="1">Optimal!$E$15:$E$17</definedName>
    <definedName name="solver_lhs4" localSheetId="3" hidden="1">Competitive!$E$10</definedName>
    <definedName name="solver_lhs4" localSheetId="2" hidden="1">Optimal!$E$18:$E$25</definedName>
    <definedName name="solver_lhs5" localSheetId="3" hidden="1">Competitive!$E$19:$E$25</definedName>
    <definedName name="solver_lhs5" localSheetId="2" hidden="1">Optimal!$E$5:$E$6</definedName>
    <definedName name="solver_lin" localSheetId="3" hidden="1">2</definedName>
    <definedName name="solver_lin" localSheetId="2" hidden="1">2</definedName>
    <definedName name="solver_neg" localSheetId="3" hidden="1">2</definedName>
    <definedName name="solver_neg" localSheetId="2" hidden="1">2</definedName>
    <definedName name="solver_num" localSheetId="3" hidden="1">4</definedName>
    <definedName name="solver_num" localSheetId="2" hidden="1">4</definedName>
    <definedName name="solver_nwt" localSheetId="3" hidden="1">1</definedName>
    <definedName name="solver_nwt" localSheetId="2" hidden="1">1</definedName>
    <definedName name="solver_opt" localSheetId="3" hidden="1">Competitive!$M$15</definedName>
    <definedName name="solver_opt" localSheetId="2" hidden="1">Optimal!$K$14</definedName>
    <definedName name="solver_pre" localSheetId="3" hidden="1">0.000000001</definedName>
    <definedName name="solver_pre" localSheetId="2" hidden="1">0.0000000001</definedName>
    <definedName name="solver_rel1" localSheetId="3" hidden="1">3</definedName>
    <definedName name="solver_rel1" localSheetId="2" hidden="1">4</definedName>
    <definedName name="solver_rel2" localSheetId="3" hidden="1">4</definedName>
    <definedName name="solver_rel2" localSheetId="2" hidden="1">3</definedName>
    <definedName name="solver_rel3" localSheetId="3" hidden="1">4</definedName>
    <definedName name="solver_rel3" localSheetId="2" hidden="1">2</definedName>
    <definedName name="solver_rel4" localSheetId="3" hidden="1">4</definedName>
    <definedName name="solver_rel4" localSheetId="2" hidden="1">1</definedName>
    <definedName name="solver_rel5" localSheetId="3" hidden="1">3</definedName>
    <definedName name="solver_rel5" localSheetId="2" hidden="1">1</definedName>
    <definedName name="solver_rhs1" localSheetId="3" hidden="1">0</definedName>
    <definedName name="solver_rhs1" localSheetId="2" hidden="1">integer</definedName>
    <definedName name="solver_rhs2" localSheetId="3" hidden="1">integer</definedName>
    <definedName name="solver_rhs2" localSheetId="2" hidden="1">0</definedName>
    <definedName name="solver_rhs3" localSheetId="3" hidden="1">integer</definedName>
    <definedName name="solver_rhs3" localSheetId="2" hidden="1">0</definedName>
    <definedName name="solver_rhs4" localSheetId="3" hidden="1">integer</definedName>
    <definedName name="solver_rhs4" localSheetId="2" hidden="1">0</definedName>
    <definedName name="solver_rhs5" localSheetId="3" hidden="1">0</definedName>
    <definedName name="solver_rhs5" localSheetId="2" hidden="1">1000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tim" localSheetId="3" hidden="1">100</definedName>
    <definedName name="solver_tim" localSheetId="2" hidden="1">100</definedName>
    <definedName name="solver_tol" localSheetId="3" hidden="1">0.000000001</definedName>
    <definedName name="solver_tol" localSheetId="2" hidden="1">0.00000001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tUp1">Front!$B$5</definedName>
    <definedName name="StUp2">Front!$B$6</definedName>
    <definedName name="StUp3">Front!$B$7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  <c r="G2" i="3"/>
  <c r="G3" i="3"/>
  <c r="G6" i="3"/>
  <c r="I6" i="3"/>
  <c r="K6" i="3"/>
  <c r="B7" i="3"/>
  <c r="G7" i="3"/>
  <c r="I7" i="3"/>
  <c r="K7" i="3"/>
  <c r="B8" i="3"/>
  <c r="B9" i="3"/>
  <c r="B9" i="3" a="1"/>
  <c r="B10" i="3"/>
  <c r="J10" i="3"/>
  <c r="K10" i="3"/>
  <c r="L10" i="3"/>
  <c r="M10" i="3"/>
  <c r="B11" i="3"/>
  <c r="J11" i="3"/>
  <c r="K11" i="3"/>
  <c r="L11" i="3"/>
  <c r="M11" i="3"/>
  <c r="B12" i="3"/>
  <c r="E12" i="3"/>
  <c r="J12" i="3"/>
  <c r="K12" i="3"/>
  <c r="L12" i="3"/>
  <c r="M12" i="3"/>
  <c r="B13" i="3"/>
  <c r="E13" i="3"/>
  <c r="J13" i="3"/>
  <c r="L13" i="3"/>
  <c r="M13" i="3"/>
  <c r="E14" i="3"/>
  <c r="J14" i="3"/>
  <c r="L14" i="3"/>
  <c r="M14" i="3"/>
  <c r="E15" i="3"/>
  <c r="M15" i="3"/>
  <c r="E16" i="3"/>
  <c r="M16" i="3"/>
  <c r="E17" i="3"/>
  <c r="K17" i="3"/>
  <c r="L17" i="3"/>
  <c r="E18" i="3"/>
  <c r="E19" i="3"/>
  <c r="E20" i="3"/>
  <c r="E21" i="3"/>
  <c r="E22" i="3"/>
  <c r="E23" i="3"/>
  <c r="E24" i="3"/>
  <c r="E25" i="3"/>
  <c r="B13" i="1"/>
  <c r="B14" i="1"/>
  <c r="B15" i="1"/>
  <c r="C17" i="1"/>
  <c r="C18" i="1"/>
  <c r="C19" i="1"/>
  <c r="C20" i="1"/>
  <c r="C21" i="1"/>
  <c r="C22" i="1"/>
  <c r="C24" i="1"/>
  <c r="C25" i="1"/>
  <c r="C26" i="1"/>
  <c r="C27" i="1"/>
  <c r="C28" i="1"/>
  <c r="C29" i="1"/>
  <c r="C30" i="1"/>
  <c r="C31" i="1"/>
  <c r="C32" i="1"/>
  <c r="C33" i="1"/>
  <c r="C34" i="1"/>
  <c r="G1" i="2"/>
  <c r="G2" i="2"/>
  <c r="G3" i="2"/>
  <c r="I5" i="2"/>
  <c r="I6" i="2"/>
  <c r="B7" i="2"/>
  <c r="B8" i="2"/>
  <c r="B9" i="2"/>
  <c r="B9" i="2" a="1"/>
  <c r="I9" i="2"/>
  <c r="J9" i="2"/>
  <c r="K9" i="2"/>
  <c r="B10" i="2"/>
  <c r="B10" i="2" a="1"/>
  <c r="I10" i="2"/>
  <c r="J10" i="2"/>
  <c r="K10" i="2"/>
  <c r="B11" i="2"/>
  <c r="B11" i="2" a="1"/>
  <c r="I11" i="2"/>
  <c r="J11" i="2"/>
  <c r="K11" i="2"/>
  <c r="B12" i="2"/>
  <c r="B12" i="2" a="1"/>
  <c r="J12" i="2"/>
  <c r="K12" i="2"/>
  <c r="B13" i="2"/>
  <c r="I14" i="2"/>
  <c r="J14" i="2"/>
  <c r="K14" i="2"/>
  <c r="E15" i="2"/>
  <c r="E16" i="2"/>
  <c r="E17" i="2"/>
  <c r="I17" i="2"/>
  <c r="J17" i="2"/>
  <c r="K17" i="2"/>
  <c r="E18" i="2"/>
  <c r="I18" i="2"/>
  <c r="J18" i="2"/>
  <c r="K18" i="2"/>
  <c r="E19" i="2"/>
  <c r="E20" i="2"/>
  <c r="E21" i="2"/>
  <c r="E22" i="2"/>
  <c r="E23" i="2"/>
  <c r="E24" i="2"/>
  <c r="E25" i="2"/>
  <c r="F31" i="2"/>
  <c r="F32" i="2"/>
  <c r="F33" i="2"/>
</calcChain>
</file>

<file path=xl/comments1.xml><?xml version="1.0" encoding="utf-8"?>
<comments xmlns="http://schemas.openxmlformats.org/spreadsheetml/2006/main">
  <authors>
    <author>Steven</author>
  </authors>
  <commentList>
    <comment ref="F24" authorId="0" shapeId="0">
      <text>
        <r>
          <rPr>
            <b/>
            <sz val="8"/>
            <color indexed="81"/>
            <rFont val="Tahoma"/>
          </rPr>
          <t>Steven:</t>
        </r>
        <r>
          <rPr>
            <sz val="8"/>
            <color indexed="81"/>
            <rFont val="Tahoma"/>
          </rPr>
          <t xml:space="preserve">
When switching from high reps to low, this value can get stuck in the 8000 range, where loss = flow.</t>
        </r>
      </text>
    </comment>
  </commentList>
</comments>
</file>

<file path=xl/sharedStrings.xml><?xml version="1.0" encoding="utf-8"?>
<sst xmlns="http://schemas.openxmlformats.org/spreadsheetml/2006/main" count="214" uniqueCount="154">
  <si>
    <t>StUp1</t>
  </si>
  <si>
    <t>StUp2</t>
  </si>
  <si>
    <t>StUp3</t>
  </si>
  <si>
    <t>MCA</t>
  </si>
  <si>
    <t>MCB</t>
  </si>
  <si>
    <t>Marginal cost of A generators</t>
  </si>
  <si>
    <t>Startup Cost of gen A1</t>
  </si>
  <si>
    <t>Cap</t>
  </si>
  <si>
    <t>Load3</t>
  </si>
  <si>
    <t>Load at bus 3</t>
  </si>
  <si>
    <t>ohm</t>
  </si>
  <si>
    <t>Line resistace. One-end loss = ohm*Flow^2</t>
  </si>
  <si>
    <t>Optimal Dispatch</t>
  </si>
  <si>
    <t>Flow12</t>
  </si>
  <si>
    <t>Flow23</t>
  </si>
  <si>
    <t>G1A</t>
  </si>
  <si>
    <t>G2A</t>
  </si>
  <si>
    <t>G3A</t>
  </si>
  <si>
    <t>G3B</t>
  </si>
  <si>
    <t>G1Aon</t>
  </si>
  <si>
    <t>G2Aon</t>
  </si>
  <si>
    <t>G3Aon</t>
  </si>
  <si>
    <t>node1</t>
  </si>
  <si>
    <t>node2</t>
  </si>
  <si>
    <t>node3</t>
  </si>
  <si>
    <t>Capacity of A generators (3B unlimited)</t>
  </si>
  <si>
    <t>Cap1</t>
  </si>
  <si>
    <t>Cap2</t>
  </si>
  <si>
    <t>Cap3</t>
  </si>
  <si>
    <t>Loss12</t>
  </si>
  <si>
    <t>Loss23</t>
  </si>
  <si>
    <t>StUp Cst</t>
  </si>
  <si>
    <t>MC</t>
  </si>
  <si>
    <t>Tot Cost</t>
  </si>
  <si>
    <t>Total Total</t>
  </si>
  <si>
    <t>One-end loss for line 1-2</t>
  </si>
  <si>
    <t>One-end loss for line 2-3</t>
  </si>
  <si>
    <t>&lt;=0, Gen &lt;= Capacity</t>
  </si>
  <si>
    <t xml:space="preserve">  =0,  Kirchhoff</t>
  </si>
  <si>
    <t>Solver</t>
  </si>
  <si>
    <t>Setup</t>
  </si>
  <si>
    <t>Competitive Outcome</t>
  </si>
  <si>
    <t>Price1</t>
  </si>
  <si>
    <t>Price2</t>
  </si>
  <si>
    <t>Price3</t>
  </si>
  <si>
    <t>A1on</t>
  </si>
  <si>
    <t>A2on</t>
  </si>
  <si>
    <t>A3on</t>
  </si>
  <si>
    <t>Gen3B</t>
  </si>
  <si>
    <t>&gt;=0</t>
  </si>
  <si>
    <t>&gt;=0, Can't be on with a low price</t>
  </si>
  <si>
    <t>Inc1</t>
  </si>
  <si>
    <t>Inc2</t>
  </si>
  <si>
    <t>Inc3</t>
  </si>
  <si>
    <t>Incremental Cost of Gen 1A</t>
  </si>
  <si>
    <t xml:space="preserve"> ….</t>
  </si>
  <si>
    <t>P1:P2</t>
  </si>
  <si>
    <t>P2:P3</t>
  </si>
  <si>
    <t>Flo12</t>
  </si>
  <si>
    <t>Flo23</t>
  </si>
  <si>
    <t>Los12</t>
  </si>
  <si>
    <t>Los23</t>
  </si>
  <si>
    <t>Lim on P3</t>
  </si>
  <si>
    <t>&gt;=0, Unlimited Gen3B Capacity</t>
  </si>
  <si>
    <t>Resell</t>
  </si>
  <si>
    <t>Suppy</t>
  </si>
  <si>
    <t>Gen1A</t>
  </si>
  <si>
    <t>Gen2A</t>
  </si>
  <si>
    <t>Gen3A</t>
  </si>
  <si>
    <t>Optimal Cost</t>
  </si>
  <si>
    <t>&gt;=0,  Kirchhoff + Cmp. Out.</t>
  </si>
  <si>
    <t>Reps</t>
  </si>
  <si>
    <t>Replications of basic model</t>
  </si>
  <si>
    <t>Reps 1A</t>
  </si>
  <si>
    <t>Reps 2A</t>
  </si>
  <si>
    <t>Reps 3A</t>
  </si>
  <si>
    <t>Constraints</t>
  </si>
  <si>
    <t>Controls</t>
  </si>
  <si>
    <t>none</t>
  </si>
  <si>
    <t>integer, &gt;= 0</t>
  </si>
  <si>
    <t>&gt;=0, GiAon &lt;= Reps</t>
  </si>
  <si>
    <t>&lt;=0, GiAon &lt;= Reps</t>
  </si>
  <si>
    <t>Replications</t>
  </si>
  <si>
    <t>Reps_comp</t>
  </si>
  <si>
    <t>(Gen3B)</t>
  </si>
  <si>
    <t>Reps_opt</t>
  </si>
  <si>
    <t>all(P1a)</t>
  </si>
  <si>
    <t>all(P2a)</t>
  </si>
  <si>
    <t>all(P3a)</t>
  </si>
  <si>
    <t>&gt;=0, Must be all on with high price</t>
  </si>
  <si>
    <t>Competitive</t>
  </si>
  <si>
    <t>Outcome</t>
  </si>
  <si>
    <t>Cmp. Out. max Cost</t>
  </si>
  <si>
    <t>Cmp. Out. tot. Cost</t>
  </si>
  <si>
    <t>Max Inefficiency</t>
  </si>
  <si>
    <t>Optimal</t>
  </si>
  <si>
    <t>GenA1on</t>
  </si>
  <si>
    <t>GenA2on</t>
  </si>
  <si>
    <t>GenA3on</t>
  </si>
  <si>
    <t>Gen3B MW</t>
  </si>
  <si>
    <t>Max Total</t>
  </si>
  <si>
    <t>none(P2a)</t>
  </si>
  <si>
    <t>none(P1a)</t>
  </si>
  <si>
    <t>none(P3a)</t>
  </si>
  <si>
    <t>none(P3b)</t>
  </si>
  <si>
    <t>= ohm/Reps_comp</t>
  </si>
  <si>
    <t>Total</t>
  </si>
  <si>
    <t>extra</t>
  </si>
  <si>
    <t>max Total</t>
  </si>
  <si>
    <t>Comp.Out</t>
  </si>
  <si>
    <t>&lt;0, prevent stuck</t>
  </si>
  <si>
    <t>= ohm/Reps_opt</t>
  </si>
  <si>
    <t>omOpt</t>
  </si>
  <si>
    <t>omComp</t>
  </si>
  <si>
    <t>AD_1</t>
  </si>
  <si>
    <t>AD_2</t>
  </si>
  <si>
    <t>AD_3</t>
  </si>
  <si>
    <t>Augmented Demands</t>
  </si>
  <si>
    <t>Set E31 equal to F31 etc.</t>
  </si>
  <si>
    <t>in order to import augmented demands</t>
  </si>
  <si>
    <t>from the Competitive Outcome and check that it is a CE.</t>
  </si>
  <si>
    <t>To find the optimal solution run Tools/Sovler on the "Optimal" page.</t>
  </si>
  <si>
    <t>To find the Competitive Outcome (C0) run Tools/Sovler on the "Competitive" page.</t>
  </si>
  <si>
    <t>Augmented Demands that Produce a Competitive Equilibrium (CE).</t>
  </si>
  <si>
    <t>(You must have the Solver add-in installed.  Use Tools/Add-Ins.</t>
  </si>
  <si>
    <t>Key output variables appear in C17-C34 in red on the front page.</t>
  </si>
  <si>
    <t>Don't change red cells.  They are formulas.  (But hey are not the only formulas.)</t>
  </si>
  <si>
    <t>A CO is a competitive equilibrium for the market with augmented demand.</t>
  </si>
  <si>
    <t>In particular it is the CE with the smallest possible augmented demand.</t>
  </si>
  <si>
    <t>The CO is found by enforcing a requirement that prices be competitive and minizing total cost while keeping net injections positive.</t>
  </si>
  <si>
    <t>Net injections are then interpreted as augmented demands.</t>
  </si>
  <si>
    <t>Competitive prices have several properties.</t>
  </si>
  <si>
    <t>They will all be on if price is above this.</t>
  </si>
  <si>
    <t>The price at bus 3 cannot be above the peaker's marginal cost.</t>
  </si>
  <si>
    <t>The flow on the lines must be such that marginal losses correspond to the price difference.</t>
  </si>
  <si>
    <t>1. solve for the CO</t>
  </si>
  <si>
    <t>2. set E31 = F31 etc. in the Optimal page.</t>
  </si>
  <si>
    <t>(this includes the augmented demands in the example market.)</t>
  </si>
  <si>
    <t>3. Solve the optimal model.</t>
  </si>
  <si>
    <t>4. Check that Optimal:total total Cost = Competitive Max Total cost</t>
  </si>
  <si>
    <t>5. Check that the same generators have the same outputs.</t>
  </si>
  <si>
    <t>6. Check that the line flows are the same.</t>
  </si>
  <si>
    <t>The Front page list all of the inputs for this example in green.  These can be changed.</t>
  </si>
  <si>
    <t>For various replications, 1 through 102, these have been stored as values to the right.</t>
  </si>
  <si>
    <t>In this exmple, smallest is determined by minimizing either total cost, or total cost with augmented demand sold back at marginal cost.</t>
  </si>
  <si>
    <t>Base load generators will all be off if price is below their incremental (full on average) cost.</t>
  </si>
  <si>
    <t>If price is equal to this, any number can be full on. None can be partially on.</t>
  </si>
  <si>
    <t>The peaker can produce any amount when price equals its marginal cost</t>
  </si>
  <si>
    <t>To check that the CO is optimal for a market with the augmented demands (as it must be if it is a CE).</t>
  </si>
  <si>
    <t>Also check that the optimal distpatch (with augmented demand) has the same generation and flows as the CO.</t>
  </si>
  <si>
    <t>This Example Is Discussed in Chapter 3-3 of Power Economics by Steven Stoft</t>
  </si>
  <si>
    <t>Min Inefficiency</t>
  </si>
  <si>
    <t>For Comparison Only</t>
  </si>
  <si>
    <t>Test Example for Startup Cost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</si>
</sst>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"/>
    <numFmt numFmtId="173" formatCode="0.E+00"/>
    <numFmt numFmtId="174" formatCode="0.0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20"/>
      </left>
      <right/>
      <top/>
      <bottom/>
      <diagonal/>
    </border>
    <border>
      <left style="medium">
        <color indexed="20"/>
      </left>
      <right/>
      <top/>
      <bottom style="medium">
        <color indexed="20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/>
      <right style="medium">
        <color indexed="20"/>
      </right>
      <top/>
      <bottom/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 style="medium">
        <color indexed="20"/>
      </left>
      <right style="medium">
        <color indexed="20"/>
      </right>
      <top style="medium">
        <color indexed="20"/>
      </top>
      <bottom/>
      <diagonal/>
    </border>
    <border>
      <left style="medium">
        <color indexed="20"/>
      </left>
      <right style="medium">
        <color indexed="20"/>
      </right>
      <top/>
      <bottom/>
      <diagonal/>
    </border>
    <border>
      <left style="medium">
        <color indexed="20"/>
      </left>
      <right style="medium">
        <color indexed="20"/>
      </right>
      <top/>
      <bottom style="medium">
        <color indexed="2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quotePrefix="1"/>
    <xf numFmtId="1" fontId="2" fillId="0" borderId="0" xfId="0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4" xfId="0" applyBorder="1"/>
    <xf numFmtId="1" fontId="0" fillId="0" borderId="0" xfId="0" applyNumberFormat="1" applyAlignment="1">
      <alignment horizontal="right"/>
    </xf>
    <xf numFmtId="0" fontId="0" fillId="0" borderId="0" xfId="0" applyBorder="1"/>
    <xf numFmtId="2" fontId="3" fillId="0" borderId="0" xfId="0" applyNumberFormat="1" applyFont="1" applyBorder="1"/>
    <xf numFmtId="0" fontId="3" fillId="0" borderId="0" xfId="0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right"/>
    </xf>
    <xf numFmtId="1" fontId="0" fillId="0" borderId="0" xfId="0" applyNumberFormat="1" applyBorder="1"/>
    <xf numFmtId="0" fontId="0" fillId="0" borderId="9" xfId="0" applyBorder="1"/>
    <xf numFmtId="1" fontId="0" fillId="0" borderId="0" xfId="0" applyNumberFormat="1" applyBorder="1" applyAlignment="1">
      <alignment horizontal="right"/>
    </xf>
    <xf numFmtId="0" fontId="0" fillId="0" borderId="10" xfId="0" applyBorder="1"/>
    <xf numFmtId="1" fontId="2" fillId="0" borderId="4" xfId="0" applyNumberFormat="1" applyFont="1" applyBorder="1"/>
    <xf numFmtId="0" fontId="2" fillId="0" borderId="4" xfId="0" applyFont="1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" xfId="0" quotePrefix="1" applyBorder="1"/>
    <xf numFmtId="0" fontId="3" fillId="0" borderId="1" xfId="0" applyFont="1" applyBorder="1"/>
    <xf numFmtId="0" fontId="2" fillId="0" borderId="3" xfId="0" applyFont="1" applyBorder="1"/>
    <xf numFmtId="173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9" xfId="0" applyFont="1" applyBorder="1"/>
    <xf numFmtId="0" fontId="0" fillId="0" borderId="9" xfId="0" applyFill="1" applyBorder="1"/>
    <xf numFmtId="0" fontId="0" fillId="0" borderId="12" xfId="0" applyBorder="1"/>
    <xf numFmtId="0" fontId="3" fillId="0" borderId="13" xfId="0" applyFont="1" applyBorder="1"/>
    <xf numFmtId="0" fontId="2" fillId="0" borderId="14" xfId="0" applyFont="1" applyBorder="1" applyAlignment="1">
      <alignment horizontal="centerContinuous"/>
    </xf>
    <xf numFmtId="0" fontId="0" fillId="0" borderId="15" xfId="0" applyBorder="1" applyAlignment="1">
      <alignment horizontal="centerContinuous"/>
    </xf>
    <xf numFmtId="165" fontId="0" fillId="0" borderId="16" xfId="0" applyNumberFormat="1" applyBorder="1"/>
    <xf numFmtId="10" fontId="2" fillId="0" borderId="0" xfId="1" applyNumberFormat="1" applyFont="1" applyAlignment="1">
      <alignment horizontal="right"/>
    </xf>
    <xf numFmtId="10" fontId="2" fillId="0" borderId="0" xfId="1" applyNumberFormat="1" applyFont="1"/>
    <xf numFmtId="174" fontId="0" fillId="0" borderId="16" xfId="0" applyNumberFormat="1" applyBorder="1"/>
    <xf numFmtId="2" fontId="0" fillId="0" borderId="17" xfId="0" applyNumberFormat="1" applyBorder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2" fillId="0" borderId="0" xfId="0" applyNumberFormat="1" applyFont="1"/>
    <xf numFmtId="0" fontId="0" fillId="0" borderId="4" xfId="0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8" xfId="0" applyFon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2" fillId="0" borderId="0" xfId="0" applyNumberFormat="1" applyFont="1" applyBorder="1"/>
    <xf numFmtId="0" fontId="2" fillId="0" borderId="0" xfId="0" applyFont="1" applyBorder="1"/>
    <xf numFmtId="0" fontId="0" fillId="0" borderId="8" xfId="0" applyBorder="1"/>
    <xf numFmtId="1" fontId="0" fillId="0" borderId="2" xfId="0" applyNumberFormat="1" applyBorder="1" applyAlignment="1">
      <alignment horizontal="center"/>
    </xf>
    <xf numFmtId="1" fontId="6" fillId="0" borderId="0" xfId="0" applyNumberFormat="1" applyFont="1"/>
    <xf numFmtId="10" fontId="4" fillId="0" borderId="0" xfId="1" applyNumberFormat="1" applyFont="1"/>
    <xf numFmtId="2" fontId="6" fillId="0" borderId="0" xfId="0" applyNumberFormat="1" applyFont="1"/>
    <xf numFmtId="0" fontId="6" fillId="0" borderId="4" xfId="0" applyFont="1" applyBorder="1"/>
    <xf numFmtId="1" fontId="3" fillId="0" borderId="0" xfId="0" applyNumberFormat="1" applyFont="1"/>
    <xf numFmtId="0" fontId="3" fillId="0" borderId="4" xfId="0" applyFont="1" applyBorder="1"/>
    <xf numFmtId="1" fontId="0" fillId="0" borderId="6" xfId="0" applyNumberFormat="1" applyBorder="1"/>
    <xf numFmtId="11" fontId="3" fillId="0" borderId="0" xfId="0" applyNumberFormat="1" applyFont="1"/>
    <xf numFmtId="0" fontId="2" fillId="0" borderId="5" xfId="0" applyFont="1" applyBorder="1" applyAlignment="1">
      <alignment horizontal="left"/>
    </xf>
    <xf numFmtId="1" fontId="0" fillId="0" borderId="10" xfId="0" applyNumberFormat="1" applyBorder="1" applyAlignment="1">
      <alignment horizontal="right"/>
    </xf>
    <xf numFmtId="1" fontId="0" fillId="0" borderId="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3</xdr:row>
      <xdr:rowOff>133350</xdr:rowOff>
    </xdr:from>
    <xdr:to>
      <xdr:col>7</xdr:col>
      <xdr:colOff>485775</xdr:colOff>
      <xdr:row>5</xdr:row>
      <xdr:rowOff>104775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A644766-B2DE-ED9C-1E4E-530EBEC259D7}"/>
            </a:ext>
          </a:extLst>
        </xdr:cNvPr>
        <xdr:cNvSpPr>
          <a:spLocks noChangeShapeType="1"/>
        </xdr:cNvSpPr>
      </xdr:nvSpPr>
      <xdr:spPr bwMode="auto">
        <a:xfrm>
          <a:off x="4914900" y="619125"/>
          <a:ext cx="0" cy="2952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3</xdr:row>
      <xdr:rowOff>133350</xdr:rowOff>
    </xdr:from>
    <xdr:to>
      <xdr:col>9</xdr:col>
      <xdr:colOff>495300</xdr:colOff>
      <xdr:row>5</xdr:row>
      <xdr:rowOff>104775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640F78FD-4EC9-55F7-CBFC-619B931FBA85}"/>
            </a:ext>
          </a:extLst>
        </xdr:cNvPr>
        <xdr:cNvSpPr>
          <a:spLocks noChangeShapeType="1"/>
        </xdr:cNvSpPr>
      </xdr:nvSpPr>
      <xdr:spPr bwMode="auto">
        <a:xfrm>
          <a:off x="6143625" y="619125"/>
          <a:ext cx="0" cy="2952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523875</xdr:colOff>
      <xdr:row>3</xdr:row>
      <xdr:rowOff>133350</xdr:rowOff>
    </xdr:from>
    <xdr:to>
      <xdr:col>11</xdr:col>
      <xdr:colOff>523875</xdr:colOff>
      <xdr:row>5</xdr:row>
      <xdr:rowOff>104775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F86FEC80-B9C3-5FA5-EA36-43EB75F208D6}"/>
            </a:ext>
          </a:extLst>
        </xdr:cNvPr>
        <xdr:cNvSpPr>
          <a:spLocks noChangeShapeType="1"/>
        </xdr:cNvSpPr>
      </xdr:nvSpPr>
      <xdr:spPr bwMode="auto">
        <a:xfrm>
          <a:off x="7391400" y="619125"/>
          <a:ext cx="0" cy="2952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523875</xdr:colOff>
      <xdr:row>5</xdr:row>
      <xdr:rowOff>28575</xdr:rowOff>
    </xdr:from>
    <xdr:to>
      <xdr:col>12</xdr:col>
      <xdr:colOff>95250</xdr:colOff>
      <xdr:row>6</xdr:row>
      <xdr:rowOff>152400</xdr:rowOff>
    </xdr:to>
    <xdr:sp macro="" textlink="">
      <xdr:nvSpPr>
        <xdr:cNvPr id="1030" name="Freeform 6">
          <a:extLst>
            <a:ext uri="{FF2B5EF4-FFF2-40B4-BE49-F238E27FC236}">
              <a16:creationId xmlns:a16="http://schemas.microsoft.com/office/drawing/2014/main" id="{0A6D6C72-8E9D-2979-7FCC-B053F9AE825A}"/>
            </a:ext>
          </a:extLst>
        </xdr:cNvPr>
        <xdr:cNvSpPr>
          <a:spLocks/>
        </xdr:cNvSpPr>
      </xdr:nvSpPr>
      <xdr:spPr bwMode="auto">
        <a:xfrm>
          <a:off x="7391400" y="838200"/>
          <a:ext cx="180975" cy="285750"/>
        </a:xfrm>
        <a:custGeom>
          <a:avLst/>
          <a:gdLst>
            <a:gd name="T0" fmla="*/ 0 w 19"/>
            <a:gd name="T1" fmla="*/ 0 h 30"/>
            <a:gd name="T2" fmla="*/ 19 w 19"/>
            <a:gd name="T3" fmla="*/ 0 h 30"/>
            <a:gd name="T4" fmla="*/ 19 w 19"/>
            <a:gd name="T5" fmla="*/ 30 h 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9" h="30">
              <a:moveTo>
                <a:pt x="0" y="0"/>
              </a:moveTo>
              <a:cubicBezTo>
                <a:pt x="6" y="0"/>
                <a:pt x="13" y="0"/>
                <a:pt x="19" y="0"/>
              </a:cubicBezTo>
              <a:lnTo>
                <a:pt x="19" y="30"/>
              </a:ln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371475</xdr:colOff>
      <xdr:row>6</xdr:row>
      <xdr:rowOff>152400</xdr:rowOff>
    </xdr:from>
    <xdr:to>
      <xdr:col>12</xdr:col>
      <xdr:colOff>323850</xdr:colOff>
      <xdr:row>9</xdr:row>
      <xdr:rowOff>0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38350069-2658-5A11-DB86-B55C42A388E4}"/>
            </a:ext>
          </a:extLst>
        </xdr:cNvPr>
        <xdr:cNvSpPr txBox="1">
          <a:spLocks noChangeArrowheads="1"/>
        </xdr:cNvSpPr>
      </xdr:nvSpPr>
      <xdr:spPr bwMode="auto">
        <a:xfrm>
          <a:off x="7239000" y="1123950"/>
          <a:ext cx="5619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200 MW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Load</a:t>
          </a:r>
        </a:p>
      </xdr:txBody>
    </xdr:sp>
    <xdr:clientData/>
  </xdr:twoCellAnchor>
  <xdr:twoCellAnchor>
    <xdr:from>
      <xdr:col>7</xdr:col>
      <xdr:colOff>257175</xdr:colOff>
      <xdr:row>2</xdr:row>
      <xdr:rowOff>152400</xdr:rowOff>
    </xdr:from>
    <xdr:to>
      <xdr:col>7</xdr:col>
      <xdr:colOff>476250</xdr:colOff>
      <xdr:row>4</xdr:row>
      <xdr:rowOff>57150</xdr:rowOff>
    </xdr:to>
    <xdr:sp macro="" textlink="">
      <xdr:nvSpPr>
        <xdr:cNvPr id="1035" name="Freeform 11">
          <a:extLst>
            <a:ext uri="{FF2B5EF4-FFF2-40B4-BE49-F238E27FC236}">
              <a16:creationId xmlns:a16="http://schemas.microsoft.com/office/drawing/2014/main" id="{7543F290-C8B3-A6C1-9E45-F593110D7914}"/>
            </a:ext>
          </a:extLst>
        </xdr:cNvPr>
        <xdr:cNvSpPr>
          <a:spLocks/>
        </xdr:cNvSpPr>
      </xdr:nvSpPr>
      <xdr:spPr bwMode="auto">
        <a:xfrm>
          <a:off x="4686300" y="476250"/>
          <a:ext cx="219075" cy="228600"/>
        </a:xfrm>
        <a:custGeom>
          <a:avLst/>
          <a:gdLst>
            <a:gd name="T0" fmla="*/ 1 w 23"/>
            <a:gd name="T1" fmla="*/ 0 h 13"/>
            <a:gd name="T2" fmla="*/ 1 w 23"/>
            <a:gd name="T3" fmla="*/ 13 h 13"/>
            <a:gd name="T4" fmla="*/ 23 w 23"/>
            <a:gd name="T5" fmla="*/ 13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3" h="13">
              <a:moveTo>
                <a:pt x="1" y="0"/>
              </a:moveTo>
              <a:cubicBezTo>
                <a:pt x="0" y="5"/>
                <a:pt x="1" y="8"/>
                <a:pt x="1" y="13"/>
              </a:cubicBezTo>
              <a:lnTo>
                <a:pt x="23" y="13"/>
              </a:lnTo>
            </a:path>
          </a:pathLst>
        </a:custGeom>
        <a:noFill/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276225</xdr:colOff>
      <xdr:row>2</xdr:row>
      <xdr:rowOff>152400</xdr:rowOff>
    </xdr:from>
    <xdr:to>
      <xdr:col>9</xdr:col>
      <xdr:colOff>495300</xdr:colOff>
      <xdr:row>4</xdr:row>
      <xdr:rowOff>57150</xdr:rowOff>
    </xdr:to>
    <xdr:sp macro="" textlink="">
      <xdr:nvSpPr>
        <xdr:cNvPr id="1036" name="Freeform 12">
          <a:extLst>
            <a:ext uri="{FF2B5EF4-FFF2-40B4-BE49-F238E27FC236}">
              <a16:creationId xmlns:a16="http://schemas.microsoft.com/office/drawing/2014/main" id="{BDEF3B49-A572-77A6-2688-BE0D104FC65C}"/>
            </a:ext>
          </a:extLst>
        </xdr:cNvPr>
        <xdr:cNvSpPr>
          <a:spLocks/>
        </xdr:cNvSpPr>
      </xdr:nvSpPr>
      <xdr:spPr bwMode="auto">
        <a:xfrm>
          <a:off x="5924550" y="476250"/>
          <a:ext cx="219075" cy="228600"/>
        </a:xfrm>
        <a:custGeom>
          <a:avLst/>
          <a:gdLst>
            <a:gd name="T0" fmla="*/ 1 w 23"/>
            <a:gd name="T1" fmla="*/ 0 h 13"/>
            <a:gd name="T2" fmla="*/ 1 w 23"/>
            <a:gd name="T3" fmla="*/ 13 h 13"/>
            <a:gd name="T4" fmla="*/ 23 w 23"/>
            <a:gd name="T5" fmla="*/ 13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3" h="13">
              <a:moveTo>
                <a:pt x="1" y="0"/>
              </a:moveTo>
              <a:cubicBezTo>
                <a:pt x="0" y="5"/>
                <a:pt x="1" y="8"/>
                <a:pt x="1" y="13"/>
              </a:cubicBezTo>
              <a:lnTo>
                <a:pt x="23" y="13"/>
              </a:lnTo>
            </a:path>
          </a:pathLst>
        </a:custGeom>
        <a:noFill/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600075</xdr:colOff>
      <xdr:row>1</xdr:row>
      <xdr:rowOff>123825</xdr:rowOff>
    </xdr:from>
    <xdr:to>
      <xdr:col>7</xdr:col>
      <xdr:colOff>542925</xdr:colOff>
      <xdr:row>3</xdr:row>
      <xdr:rowOff>19050</xdr:rowOff>
    </xdr:to>
    <xdr:sp macro="" textlink="">
      <xdr:nvSpPr>
        <xdr:cNvPr id="1038" name="Text Box 14">
          <a:extLst>
            <a:ext uri="{FF2B5EF4-FFF2-40B4-BE49-F238E27FC236}">
              <a16:creationId xmlns:a16="http://schemas.microsoft.com/office/drawing/2014/main" id="{F75DDED0-5AF2-7838-936F-EC694C2EF6FA}"/>
            </a:ext>
          </a:extLst>
        </xdr:cNvPr>
        <xdr:cNvSpPr txBox="1">
          <a:spLocks noChangeArrowheads="1"/>
        </xdr:cNvSpPr>
      </xdr:nvSpPr>
      <xdr:spPr bwMode="auto">
        <a:xfrm>
          <a:off x="4419600" y="285750"/>
          <a:ext cx="552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Gen 1A</a:t>
          </a:r>
        </a:p>
      </xdr:txBody>
    </xdr:sp>
    <xdr:clientData/>
  </xdr:twoCellAnchor>
  <xdr:twoCellAnchor>
    <xdr:from>
      <xdr:col>8</xdr:col>
      <xdr:colOff>590550</xdr:colOff>
      <xdr:row>1</xdr:row>
      <xdr:rowOff>123825</xdr:rowOff>
    </xdr:from>
    <xdr:to>
      <xdr:col>9</xdr:col>
      <xdr:colOff>533400</xdr:colOff>
      <xdr:row>3</xdr:row>
      <xdr:rowOff>19050</xdr:rowOff>
    </xdr:to>
    <xdr:sp macro="" textlink="">
      <xdr:nvSpPr>
        <xdr:cNvPr id="1039" name="Text Box 15">
          <a:extLst>
            <a:ext uri="{FF2B5EF4-FFF2-40B4-BE49-F238E27FC236}">
              <a16:creationId xmlns:a16="http://schemas.microsoft.com/office/drawing/2014/main" id="{87A6F5B6-666C-51B6-98A1-3CD0F13943D2}"/>
            </a:ext>
          </a:extLst>
        </xdr:cNvPr>
        <xdr:cNvSpPr txBox="1">
          <a:spLocks noChangeArrowheads="1"/>
        </xdr:cNvSpPr>
      </xdr:nvSpPr>
      <xdr:spPr bwMode="auto">
        <a:xfrm>
          <a:off x="5629275" y="285750"/>
          <a:ext cx="552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Gen 2A</a:t>
          </a:r>
        </a:p>
      </xdr:txBody>
    </xdr:sp>
    <xdr:clientData/>
  </xdr:twoCellAnchor>
  <xdr:twoCellAnchor>
    <xdr:from>
      <xdr:col>10</xdr:col>
      <xdr:colOff>381000</xdr:colOff>
      <xdr:row>1</xdr:row>
      <xdr:rowOff>123825</xdr:rowOff>
    </xdr:from>
    <xdr:to>
      <xdr:col>11</xdr:col>
      <xdr:colOff>323850</xdr:colOff>
      <xdr:row>3</xdr:row>
      <xdr:rowOff>19050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1ED900B4-04ED-8676-539B-8B7A482251B0}"/>
            </a:ext>
          </a:extLst>
        </xdr:cNvPr>
        <xdr:cNvSpPr txBox="1">
          <a:spLocks noChangeArrowheads="1"/>
        </xdr:cNvSpPr>
      </xdr:nvSpPr>
      <xdr:spPr bwMode="auto">
        <a:xfrm>
          <a:off x="6638925" y="285750"/>
          <a:ext cx="552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Gen 3A</a:t>
          </a:r>
        </a:p>
      </xdr:txBody>
    </xdr:sp>
    <xdr:clientData/>
  </xdr:twoCellAnchor>
  <xdr:twoCellAnchor>
    <xdr:from>
      <xdr:col>11</xdr:col>
      <xdr:colOff>523875</xdr:colOff>
      <xdr:row>2</xdr:row>
      <xdr:rowOff>152400</xdr:rowOff>
    </xdr:from>
    <xdr:to>
      <xdr:col>12</xdr:col>
      <xdr:colOff>133350</xdr:colOff>
      <xdr:row>4</xdr:row>
      <xdr:rowOff>57150</xdr:rowOff>
    </xdr:to>
    <xdr:sp macro="" textlink="">
      <xdr:nvSpPr>
        <xdr:cNvPr id="1041" name="Freeform 17">
          <a:extLst>
            <a:ext uri="{FF2B5EF4-FFF2-40B4-BE49-F238E27FC236}">
              <a16:creationId xmlns:a16="http://schemas.microsoft.com/office/drawing/2014/main" id="{1B40F3FC-7564-8234-3DFD-71073F2F61DC}"/>
            </a:ext>
          </a:extLst>
        </xdr:cNvPr>
        <xdr:cNvSpPr>
          <a:spLocks/>
        </xdr:cNvSpPr>
      </xdr:nvSpPr>
      <xdr:spPr bwMode="auto">
        <a:xfrm flipH="1">
          <a:off x="7391400" y="476250"/>
          <a:ext cx="219075" cy="228600"/>
        </a:xfrm>
        <a:custGeom>
          <a:avLst/>
          <a:gdLst>
            <a:gd name="T0" fmla="*/ 1 w 23"/>
            <a:gd name="T1" fmla="*/ 0 h 13"/>
            <a:gd name="T2" fmla="*/ 1 w 23"/>
            <a:gd name="T3" fmla="*/ 13 h 13"/>
            <a:gd name="T4" fmla="*/ 23 w 23"/>
            <a:gd name="T5" fmla="*/ 13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3" h="13">
              <a:moveTo>
                <a:pt x="1" y="0"/>
              </a:moveTo>
              <a:cubicBezTo>
                <a:pt x="0" y="5"/>
                <a:pt x="1" y="8"/>
                <a:pt x="1" y="13"/>
              </a:cubicBezTo>
              <a:lnTo>
                <a:pt x="23" y="13"/>
              </a:lnTo>
            </a:path>
          </a:pathLst>
        </a:custGeom>
        <a:noFill/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533400</xdr:colOff>
      <xdr:row>1</xdr:row>
      <xdr:rowOff>123825</xdr:rowOff>
    </xdr:from>
    <xdr:to>
      <xdr:col>12</xdr:col>
      <xdr:colOff>476250</xdr:colOff>
      <xdr:row>3</xdr:row>
      <xdr:rowOff>19050</xdr:rowOff>
    </xdr:to>
    <xdr:sp macro="" textlink="">
      <xdr:nvSpPr>
        <xdr:cNvPr id="1042" name="Text Box 18">
          <a:extLst>
            <a:ext uri="{FF2B5EF4-FFF2-40B4-BE49-F238E27FC236}">
              <a16:creationId xmlns:a16="http://schemas.microsoft.com/office/drawing/2014/main" id="{8B2178BC-B0DF-3A88-8378-4C0019BB7095}"/>
            </a:ext>
          </a:extLst>
        </xdr:cNvPr>
        <xdr:cNvSpPr txBox="1">
          <a:spLocks noChangeArrowheads="1"/>
        </xdr:cNvSpPr>
      </xdr:nvSpPr>
      <xdr:spPr bwMode="auto">
        <a:xfrm>
          <a:off x="7400925" y="285750"/>
          <a:ext cx="552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Gen 3B</a:t>
          </a:r>
        </a:p>
      </xdr:txBody>
    </xdr:sp>
    <xdr:clientData/>
  </xdr:twoCellAnchor>
  <xdr:twoCellAnchor>
    <xdr:from>
      <xdr:col>11</xdr:col>
      <xdr:colOff>66675</xdr:colOff>
      <xdr:row>2</xdr:row>
      <xdr:rowOff>142875</xdr:rowOff>
    </xdr:from>
    <xdr:to>
      <xdr:col>11</xdr:col>
      <xdr:colOff>533400</xdr:colOff>
      <xdr:row>4</xdr:row>
      <xdr:rowOff>66675</xdr:rowOff>
    </xdr:to>
    <xdr:sp macro="" textlink="">
      <xdr:nvSpPr>
        <xdr:cNvPr id="1044" name="Freeform 20">
          <a:extLst>
            <a:ext uri="{FF2B5EF4-FFF2-40B4-BE49-F238E27FC236}">
              <a16:creationId xmlns:a16="http://schemas.microsoft.com/office/drawing/2014/main" id="{C918C20E-A299-2AC8-E72A-4F42086D7E33}"/>
            </a:ext>
          </a:extLst>
        </xdr:cNvPr>
        <xdr:cNvSpPr>
          <a:spLocks/>
        </xdr:cNvSpPr>
      </xdr:nvSpPr>
      <xdr:spPr bwMode="auto">
        <a:xfrm>
          <a:off x="6934200" y="466725"/>
          <a:ext cx="466725" cy="247650"/>
        </a:xfrm>
        <a:custGeom>
          <a:avLst/>
          <a:gdLst>
            <a:gd name="T0" fmla="*/ 0 w 49"/>
            <a:gd name="T1" fmla="*/ 0 h 26"/>
            <a:gd name="T2" fmla="*/ 0 w 49"/>
            <a:gd name="T3" fmla="*/ 26 h 26"/>
            <a:gd name="T4" fmla="*/ 49 w 49"/>
            <a:gd name="T5" fmla="*/ 26 h 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9" h="26">
              <a:moveTo>
                <a:pt x="0" y="0"/>
              </a:moveTo>
              <a:lnTo>
                <a:pt x="0" y="26"/>
              </a:lnTo>
              <a:lnTo>
                <a:pt x="49" y="26"/>
              </a:lnTo>
            </a:path>
          </a:pathLst>
        </a:custGeom>
        <a:noFill/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476250</xdr:colOff>
      <xdr:row>5</xdr:row>
      <xdr:rowOff>9525</xdr:rowOff>
    </xdr:from>
    <xdr:to>
      <xdr:col>9</xdr:col>
      <xdr:colOff>476250</xdr:colOff>
      <xdr:row>5</xdr:row>
      <xdr:rowOff>9525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7040A4D5-5DD6-0FF7-9971-59B7BA119A86}"/>
            </a:ext>
          </a:extLst>
        </xdr:cNvPr>
        <xdr:cNvSpPr>
          <a:spLocks noChangeShapeType="1"/>
        </xdr:cNvSpPr>
      </xdr:nvSpPr>
      <xdr:spPr bwMode="auto">
        <a:xfrm>
          <a:off x="4905375" y="81915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504825</xdr:colOff>
      <xdr:row>5</xdr:row>
      <xdr:rowOff>9525</xdr:rowOff>
    </xdr:from>
    <xdr:to>
      <xdr:col>11</xdr:col>
      <xdr:colOff>504825</xdr:colOff>
      <xdr:row>5</xdr:row>
      <xdr:rowOff>9525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227E1755-99FE-1461-4629-C5BC4752AEBE}"/>
            </a:ext>
          </a:extLst>
        </xdr:cNvPr>
        <xdr:cNvSpPr>
          <a:spLocks noChangeShapeType="1"/>
        </xdr:cNvSpPr>
      </xdr:nvSpPr>
      <xdr:spPr bwMode="auto">
        <a:xfrm>
          <a:off x="6153150" y="81915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209550</xdr:colOff>
      <xdr:row>5</xdr:row>
      <xdr:rowOff>47625</xdr:rowOff>
    </xdr:from>
    <xdr:to>
      <xdr:col>9</xdr:col>
      <xdr:colOff>152400</xdr:colOff>
      <xdr:row>6</xdr:row>
      <xdr:rowOff>104775</xdr:rowOff>
    </xdr:to>
    <xdr:sp macro="" textlink="">
      <xdr:nvSpPr>
        <xdr:cNvPr id="1048" name="Text Box 24">
          <a:extLst>
            <a:ext uri="{FF2B5EF4-FFF2-40B4-BE49-F238E27FC236}">
              <a16:creationId xmlns:a16="http://schemas.microsoft.com/office/drawing/2014/main" id="{5D749220-0853-E14A-9828-C7099D7578A3}"/>
            </a:ext>
          </a:extLst>
        </xdr:cNvPr>
        <xdr:cNvSpPr txBox="1">
          <a:spLocks noChangeArrowheads="1"/>
        </xdr:cNvSpPr>
      </xdr:nvSpPr>
      <xdr:spPr bwMode="auto">
        <a:xfrm>
          <a:off x="5248275" y="857250"/>
          <a:ext cx="552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Flow12</a:t>
          </a:r>
        </a:p>
      </xdr:txBody>
    </xdr:sp>
    <xdr:clientData/>
  </xdr:twoCellAnchor>
  <xdr:twoCellAnchor>
    <xdr:from>
      <xdr:col>10</xdr:col>
      <xdr:colOff>171450</xdr:colOff>
      <xdr:row>5</xdr:row>
      <xdr:rowOff>47625</xdr:rowOff>
    </xdr:from>
    <xdr:to>
      <xdr:col>11</xdr:col>
      <xdr:colOff>114300</xdr:colOff>
      <xdr:row>6</xdr:row>
      <xdr:rowOff>104775</xdr:rowOff>
    </xdr:to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E54D467F-D634-3BED-5FE8-FFF604F0ACC3}"/>
            </a:ext>
          </a:extLst>
        </xdr:cNvPr>
        <xdr:cNvSpPr txBox="1">
          <a:spLocks noChangeArrowheads="1"/>
        </xdr:cNvSpPr>
      </xdr:nvSpPr>
      <xdr:spPr bwMode="auto">
        <a:xfrm>
          <a:off x="6429375" y="857250"/>
          <a:ext cx="552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Flow23</a:t>
          </a:r>
        </a:p>
      </xdr:txBody>
    </xdr:sp>
    <xdr:clientData/>
  </xdr:twoCellAnchor>
  <xdr:twoCellAnchor>
    <xdr:from>
      <xdr:col>12</xdr:col>
      <xdr:colOff>0</xdr:colOff>
      <xdr:row>0</xdr:row>
      <xdr:rowOff>123825</xdr:rowOff>
    </xdr:from>
    <xdr:to>
      <xdr:col>12</xdr:col>
      <xdr:colOff>552450</xdr:colOff>
      <xdr:row>2</xdr:row>
      <xdr:rowOff>19050</xdr:rowOff>
    </xdr:to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AF2C65BA-2F62-FCA5-1F8C-5A5974E313EA}"/>
            </a:ext>
          </a:extLst>
        </xdr:cNvPr>
        <xdr:cNvSpPr txBox="1">
          <a:spLocks noChangeArrowheads="1"/>
        </xdr:cNvSpPr>
      </xdr:nvSpPr>
      <xdr:spPr bwMode="auto">
        <a:xfrm>
          <a:off x="7477125" y="123825"/>
          <a:ext cx="5524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$40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18</xdr:row>
      <xdr:rowOff>114300</xdr:rowOff>
    </xdr:from>
    <xdr:to>
      <xdr:col>5</xdr:col>
      <xdr:colOff>57150</xdr:colOff>
      <xdr:row>22</xdr:row>
      <xdr:rowOff>85725</xdr:rowOff>
    </xdr:to>
    <xdr:sp macro="" textlink="">
      <xdr:nvSpPr>
        <xdr:cNvPr id="3073" name="Oval 1">
          <a:extLst>
            <a:ext uri="{FF2B5EF4-FFF2-40B4-BE49-F238E27FC236}">
              <a16:creationId xmlns:a16="http://schemas.microsoft.com/office/drawing/2014/main" id="{C0BBAD24-D4C6-C72F-89CE-0CFC656B8B94}"/>
            </a:ext>
          </a:extLst>
        </xdr:cNvPr>
        <xdr:cNvSpPr>
          <a:spLocks noChangeArrowheads="1"/>
        </xdr:cNvSpPr>
      </xdr:nvSpPr>
      <xdr:spPr bwMode="auto">
        <a:xfrm>
          <a:off x="1800225" y="3048000"/>
          <a:ext cx="466725" cy="6191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47625</xdr:colOff>
      <xdr:row>21</xdr:row>
      <xdr:rowOff>28575</xdr:rowOff>
    </xdr:from>
    <xdr:to>
      <xdr:col>7</xdr:col>
      <xdr:colOff>552450</xdr:colOff>
      <xdr:row>22</xdr:row>
      <xdr:rowOff>85725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C3C69168-0507-55C8-F7B0-C1135C094809}"/>
            </a:ext>
          </a:extLst>
        </xdr:cNvPr>
        <xdr:cNvSpPr>
          <a:spLocks noChangeShapeType="1"/>
        </xdr:cNvSpPr>
      </xdr:nvSpPr>
      <xdr:spPr bwMode="auto">
        <a:xfrm>
          <a:off x="2257425" y="3448050"/>
          <a:ext cx="2105025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34"/>
  <sheetViews>
    <sheetView tabSelected="1" workbookViewId="0">
      <selection activeCell="A4" sqref="A4"/>
    </sheetView>
  </sheetViews>
  <sheetFormatPr defaultRowHeight="12.75" x14ac:dyDescent="0.2"/>
  <cols>
    <col min="1" max="1" width="11.85546875" customWidth="1"/>
    <col min="3" max="3" width="8.85546875" customWidth="1"/>
  </cols>
  <sheetData>
    <row r="2" spans="2:11" x14ac:dyDescent="0.2">
      <c r="B2" s="1" t="s">
        <v>153</v>
      </c>
    </row>
    <row r="4" spans="2:11" x14ac:dyDescent="0.2">
      <c r="B4" s="18">
        <v>1</v>
      </c>
      <c r="C4" t="s">
        <v>71</v>
      </c>
      <c r="D4" t="s">
        <v>72</v>
      </c>
    </row>
    <row r="5" spans="2:11" x14ac:dyDescent="0.2">
      <c r="B5" s="18">
        <v>2000</v>
      </c>
      <c r="C5" t="s">
        <v>0</v>
      </c>
      <c r="D5" t="s">
        <v>6</v>
      </c>
    </row>
    <row r="6" spans="2:11" x14ac:dyDescent="0.2">
      <c r="B6" s="18">
        <v>2600</v>
      </c>
      <c r="C6" t="s">
        <v>1</v>
      </c>
      <c r="D6" s="1" t="s">
        <v>55</v>
      </c>
    </row>
    <row r="7" spans="2:11" x14ac:dyDescent="0.2">
      <c r="B7" s="18">
        <v>3000</v>
      </c>
      <c r="C7" t="s">
        <v>2</v>
      </c>
      <c r="D7" s="1" t="s">
        <v>55</v>
      </c>
    </row>
    <row r="8" spans="2:11" x14ac:dyDescent="0.2">
      <c r="B8" s="18">
        <v>20</v>
      </c>
      <c r="C8" t="s">
        <v>3</v>
      </c>
      <c r="D8" t="s">
        <v>5</v>
      </c>
    </row>
    <row r="9" spans="2:11" x14ac:dyDescent="0.2">
      <c r="B9" s="18">
        <v>40</v>
      </c>
      <c r="C9" t="s">
        <v>4</v>
      </c>
      <c r="D9" s="1" t="s">
        <v>55</v>
      </c>
    </row>
    <row r="10" spans="2:11" x14ac:dyDescent="0.2">
      <c r="B10" s="18">
        <v>200</v>
      </c>
      <c r="C10" t="s">
        <v>7</v>
      </c>
      <c r="D10" t="s">
        <v>25</v>
      </c>
    </row>
    <row r="11" spans="2:11" x14ac:dyDescent="0.2">
      <c r="B11" s="18">
        <v>200</v>
      </c>
      <c r="C11" t="s">
        <v>8</v>
      </c>
      <c r="D11" t="s">
        <v>9</v>
      </c>
    </row>
    <row r="12" spans="2:11" x14ac:dyDescent="0.2">
      <c r="B12" s="18">
        <v>2.5000000000000001E-4</v>
      </c>
      <c r="C12" t="s">
        <v>10</v>
      </c>
      <c r="D12" t="s">
        <v>11</v>
      </c>
    </row>
    <row r="13" spans="2:11" x14ac:dyDescent="0.2">
      <c r="B13" s="17">
        <f>(StUp1+MCA*Cap)/Cap</f>
        <v>30</v>
      </c>
      <c r="C13" t="s">
        <v>51</v>
      </c>
      <c r="D13" t="s">
        <v>54</v>
      </c>
    </row>
    <row r="14" spans="2:11" x14ac:dyDescent="0.2">
      <c r="B14" s="17">
        <f>(StUp2+MCA*Cap)/Cap</f>
        <v>33</v>
      </c>
      <c r="C14" t="s">
        <v>52</v>
      </c>
      <c r="D14" s="1" t="s">
        <v>55</v>
      </c>
    </row>
    <row r="15" spans="2:11" x14ac:dyDescent="0.2">
      <c r="B15" s="17">
        <f>(StUp3+MCA*Cap)/Cap</f>
        <v>35</v>
      </c>
      <c r="C15" t="s">
        <v>53</v>
      </c>
      <c r="D15" s="1" t="s">
        <v>55</v>
      </c>
    </row>
    <row r="16" spans="2:11" x14ac:dyDescent="0.2">
      <c r="K16" s="8"/>
    </row>
    <row r="17" spans="1:14" s="8" customFormat="1" x14ac:dyDescent="0.2">
      <c r="B17" s="20" t="s">
        <v>82</v>
      </c>
      <c r="C17" s="65">
        <f>Reps</f>
        <v>1</v>
      </c>
      <c r="D17" s="8">
        <v>1</v>
      </c>
      <c r="E17" s="8">
        <v>2</v>
      </c>
      <c r="F17" s="8">
        <v>3</v>
      </c>
      <c r="G17" s="69">
        <v>4</v>
      </c>
      <c r="H17" s="8">
        <v>5</v>
      </c>
      <c r="I17" s="8">
        <v>6</v>
      </c>
      <c r="J17" s="8">
        <v>50</v>
      </c>
      <c r="K17" s="8">
        <v>51</v>
      </c>
      <c r="L17" s="8">
        <v>100</v>
      </c>
      <c r="M17" s="8">
        <v>101</v>
      </c>
      <c r="N17" s="8">
        <v>102</v>
      </c>
    </row>
    <row r="18" spans="1:14" s="8" customFormat="1" x14ac:dyDescent="0.2">
      <c r="B18" s="20" t="s">
        <v>69</v>
      </c>
      <c r="C18" s="65">
        <f>Optimal!K14</f>
        <v>13000.000000000215</v>
      </c>
      <c r="D18" s="8">
        <v>6727.6487737376438</v>
      </c>
      <c r="E18" s="8">
        <v>13381.006386123196</v>
      </c>
      <c r="F18" s="8">
        <v>20000.244259973646</v>
      </c>
      <c r="G18" s="69">
        <v>26674.928304154033</v>
      </c>
      <c r="H18" s="8">
        <v>33358.762711740797</v>
      </c>
      <c r="I18" s="8">
        <v>40000.488519947299</v>
      </c>
      <c r="J18" s="8">
        <v>330831.9382707816</v>
      </c>
      <c r="K18" s="8">
        <v>337414.98542205483</v>
      </c>
      <c r="L18" s="8">
        <v>661663.87654156215</v>
      </c>
      <c r="M18" s="8">
        <v>668126.57659729396</v>
      </c>
      <c r="N18" s="8">
        <v>674818.904439662</v>
      </c>
    </row>
    <row r="19" spans="1:14" s="8" customFormat="1" x14ac:dyDescent="0.2">
      <c r="B19" s="20" t="s">
        <v>93</v>
      </c>
      <c r="C19" s="65">
        <f>Competitive!M15</f>
        <v>9142.6680297916446</v>
      </c>
      <c r="D19" s="8">
        <v>9142.6680297926614</v>
      </c>
      <c r="E19" s="8">
        <v>15285.336059585032</v>
      </c>
      <c r="F19" s="8">
        <v>21571.610903538469</v>
      </c>
      <c r="G19" s="69">
        <v>30570.672119170358</v>
      </c>
      <c r="H19" s="8">
        <v>36766.152589735408</v>
      </c>
      <c r="I19" s="8">
        <v>41424.86261505392</v>
      </c>
      <c r="J19" s="8">
        <v>332873.8551254496</v>
      </c>
      <c r="K19" s="8">
        <v>340111.3322279586</v>
      </c>
      <c r="L19" s="8">
        <v>663747.7102508992</v>
      </c>
      <c r="M19" s="8">
        <v>670985.18735340831</v>
      </c>
      <c r="N19" s="8">
        <v>677222.6644559172</v>
      </c>
    </row>
    <row r="20" spans="1:14" s="8" customFormat="1" x14ac:dyDescent="0.2">
      <c r="B20" s="20" t="s">
        <v>92</v>
      </c>
      <c r="C20" s="65">
        <f>Competitive!M16</f>
        <v>13000</v>
      </c>
      <c r="D20" s="8">
        <v>13000</v>
      </c>
      <c r="E20" s="8">
        <v>19000</v>
      </c>
      <c r="F20" s="8">
        <v>25000</v>
      </c>
      <c r="G20" s="69">
        <v>38000</v>
      </c>
      <c r="H20" s="8">
        <v>44000</v>
      </c>
      <c r="I20" s="8">
        <v>44000</v>
      </c>
      <c r="J20" s="8">
        <v>337000</v>
      </c>
      <c r="K20" s="8">
        <v>344000</v>
      </c>
      <c r="L20" s="8">
        <v>668000</v>
      </c>
      <c r="M20" s="8">
        <v>675000</v>
      </c>
      <c r="N20" s="8">
        <v>681000</v>
      </c>
    </row>
    <row r="21" spans="1:14" s="50" customFormat="1" x14ac:dyDescent="0.2">
      <c r="B21" s="49" t="s">
        <v>151</v>
      </c>
      <c r="C21" s="66">
        <f>(C19-C18)/C18</f>
        <v>-0.2967178438621928</v>
      </c>
      <c r="D21" s="50">
        <v>0.35896928292130781</v>
      </c>
      <c r="E21" s="50">
        <v>0.14231587808198984</v>
      </c>
      <c r="F21" s="50">
        <v>7.8567372635022684E-2</v>
      </c>
      <c r="G21" s="50">
        <v>0.14604514661093387</v>
      </c>
      <c r="H21" s="50">
        <v>0.10214377276035363</v>
      </c>
      <c r="I21" s="50">
        <v>3.5608917486003186E-2</v>
      </c>
      <c r="J21" s="50">
        <v>6.1720668969896097E-3</v>
      </c>
      <c r="K21" s="50">
        <v>7.9911886620300816E-3</v>
      </c>
      <c r="L21" s="50">
        <v>3.1493841257119845E-3</v>
      </c>
      <c r="M21" s="50">
        <v>4.2785466949586031E-3</v>
      </c>
      <c r="N21" s="50">
        <v>3.5620816198846219E-3</v>
      </c>
    </row>
    <row r="22" spans="1:14" s="50" customFormat="1" x14ac:dyDescent="0.2">
      <c r="B22" s="49" t="s">
        <v>94</v>
      </c>
      <c r="C22" s="66">
        <f>(C20-C18)/C20</f>
        <v>-1.6510826893723927E-14</v>
      </c>
      <c r="D22" s="50">
        <v>0.4824885558663351</v>
      </c>
      <c r="E22" s="50">
        <v>0.29573650599351603</v>
      </c>
      <c r="F22" s="50">
        <v>0.19999022960105417</v>
      </c>
      <c r="G22" s="50">
        <v>0.29802820252226231</v>
      </c>
      <c r="H22" s="50">
        <v>0.24184630200589097</v>
      </c>
      <c r="I22" s="50">
        <v>9.0897988183015921E-2</v>
      </c>
      <c r="J22" s="50">
        <v>1.8302853795900308E-2</v>
      </c>
      <c r="K22" s="50">
        <v>1.9142484238212704E-2</v>
      </c>
      <c r="L22" s="50">
        <v>9.4852147581405005E-3</v>
      </c>
      <c r="M22" s="50">
        <v>1.0182849485490437E-2</v>
      </c>
      <c r="N22" s="50">
        <v>9.0764986201732727E-3</v>
      </c>
    </row>
    <row r="23" spans="1:14" s="50" customFormat="1" x14ac:dyDescent="0.2">
      <c r="B23" s="49"/>
      <c r="C23" s="66"/>
    </row>
    <row r="24" spans="1:14" s="7" customFormat="1" x14ac:dyDescent="0.2">
      <c r="A24" s="55" t="s">
        <v>90</v>
      </c>
      <c r="B24" s="53" t="s">
        <v>42</v>
      </c>
      <c r="C24" s="67">
        <f>Price1</f>
        <v>31.058798063341293</v>
      </c>
      <c r="D24" s="7">
        <v>31.058798063327806</v>
      </c>
      <c r="E24" s="7">
        <v>31.058798063329682</v>
      </c>
      <c r="F24" s="7">
        <v>30.486337262722984</v>
      </c>
      <c r="G24" s="16">
        <v>31.058798063328741</v>
      </c>
      <c r="H24" s="7">
        <v>30.924137030795109</v>
      </c>
      <c r="I24" s="7">
        <v>30</v>
      </c>
      <c r="J24" s="7">
        <v>30</v>
      </c>
      <c r="K24" s="7">
        <v>30</v>
      </c>
      <c r="L24" s="7">
        <v>30</v>
      </c>
      <c r="M24" s="7">
        <v>30</v>
      </c>
      <c r="N24" s="7">
        <v>30</v>
      </c>
    </row>
    <row r="25" spans="1:14" s="7" customFormat="1" x14ac:dyDescent="0.2">
      <c r="A25" s="55" t="s">
        <v>91</v>
      </c>
      <c r="B25" s="53" t="s">
        <v>43</v>
      </c>
      <c r="C25" s="67">
        <f>Price2</f>
        <v>33.00000000000616</v>
      </c>
      <c r="D25" s="7">
        <v>33</v>
      </c>
      <c r="E25" s="7">
        <v>33</v>
      </c>
      <c r="F25" s="7">
        <v>32.704268961592625</v>
      </c>
      <c r="G25" s="16">
        <v>33</v>
      </c>
      <c r="H25" s="7">
        <v>32.930561439159675</v>
      </c>
      <c r="I25" s="7">
        <v>32.451905389820851</v>
      </c>
      <c r="J25" s="7">
        <v>32.451905389822102</v>
      </c>
      <c r="K25" s="7">
        <v>32.451905389822109</v>
      </c>
      <c r="L25" s="7">
        <v>32.451905389822109</v>
      </c>
      <c r="M25" s="7">
        <v>32.451905389822102</v>
      </c>
      <c r="N25" s="7">
        <v>32.451905389822109</v>
      </c>
    </row>
    <row r="26" spans="1:14" s="7" customFormat="1" x14ac:dyDescent="0.2">
      <c r="B26" s="53" t="s">
        <v>44</v>
      </c>
      <c r="C26" s="67">
        <f>Price3</f>
        <v>35.000000000000313</v>
      </c>
      <c r="D26" s="7">
        <v>35</v>
      </c>
      <c r="E26" s="7">
        <v>35</v>
      </c>
      <c r="F26" s="7">
        <v>35</v>
      </c>
      <c r="G26" s="16">
        <v>35</v>
      </c>
      <c r="H26" s="7">
        <v>35</v>
      </c>
      <c r="I26" s="7">
        <v>35</v>
      </c>
      <c r="J26" s="7">
        <v>35</v>
      </c>
      <c r="K26" s="7">
        <v>35</v>
      </c>
      <c r="L26" s="7">
        <v>35</v>
      </c>
      <c r="M26" s="7">
        <v>35</v>
      </c>
      <c r="N26" s="7">
        <v>35</v>
      </c>
    </row>
    <row r="27" spans="1:14" s="8" customFormat="1" x14ac:dyDescent="0.2">
      <c r="B27" s="20" t="s">
        <v>96</v>
      </c>
      <c r="C27" s="65">
        <f>A1on</f>
        <v>1</v>
      </c>
      <c r="D27" s="8">
        <v>1</v>
      </c>
      <c r="E27" s="8">
        <v>2</v>
      </c>
      <c r="F27" s="8">
        <v>3</v>
      </c>
      <c r="G27" s="69">
        <v>4</v>
      </c>
      <c r="H27" s="8">
        <v>5</v>
      </c>
      <c r="I27" s="8">
        <v>5</v>
      </c>
      <c r="J27" s="8">
        <v>41</v>
      </c>
      <c r="K27" s="8">
        <v>41</v>
      </c>
      <c r="L27" s="8">
        <v>81</v>
      </c>
      <c r="M27" s="8">
        <v>81</v>
      </c>
      <c r="N27" s="8">
        <v>82</v>
      </c>
    </row>
    <row r="28" spans="1:14" s="8" customFormat="1" x14ac:dyDescent="0.2">
      <c r="B28" s="20" t="s">
        <v>97</v>
      </c>
      <c r="C28" s="65">
        <f>A2on</f>
        <v>0</v>
      </c>
      <c r="D28" s="8">
        <v>0</v>
      </c>
      <c r="E28" s="8">
        <v>0</v>
      </c>
      <c r="F28" s="8">
        <v>0</v>
      </c>
      <c r="G28" s="69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s="8" customFormat="1" x14ac:dyDescent="0.2">
      <c r="B29" s="20" t="s">
        <v>98</v>
      </c>
      <c r="C29" s="65">
        <f>A3on</f>
        <v>1</v>
      </c>
      <c r="D29" s="8">
        <v>1</v>
      </c>
      <c r="E29" s="8">
        <v>1</v>
      </c>
      <c r="F29" s="8">
        <v>1</v>
      </c>
      <c r="G29" s="69">
        <v>2</v>
      </c>
      <c r="H29" s="8">
        <v>2</v>
      </c>
      <c r="I29" s="8">
        <v>2</v>
      </c>
      <c r="J29" s="8">
        <v>13</v>
      </c>
      <c r="K29" s="8">
        <v>14</v>
      </c>
      <c r="L29" s="8">
        <v>26</v>
      </c>
      <c r="M29" s="8">
        <v>27</v>
      </c>
      <c r="N29" s="8">
        <v>27</v>
      </c>
    </row>
    <row r="30" spans="1:14" s="19" customFormat="1" x14ac:dyDescent="0.2">
      <c r="B30" s="56" t="s">
        <v>99</v>
      </c>
      <c r="C30" s="68">
        <f>Gen3B</f>
        <v>0</v>
      </c>
      <c r="D30" s="19">
        <v>0</v>
      </c>
      <c r="E30" s="19">
        <v>0</v>
      </c>
      <c r="F30" s="19">
        <v>0</v>
      </c>
      <c r="G30" s="70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s="8" customFormat="1" x14ac:dyDescent="0.2">
      <c r="A31" s="5" t="s">
        <v>95</v>
      </c>
      <c r="B31" s="54" t="s">
        <v>96</v>
      </c>
      <c r="C31" s="65">
        <f>G1Aon</f>
        <v>1</v>
      </c>
      <c r="D31" s="8">
        <v>1</v>
      </c>
      <c r="E31" s="8">
        <v>1</v>
      </c>
      <c r="F31" s="8">
        <v>2</v>
      </c>
      <c r="G31" s="69">
        <v>3</v>
      </c>
      <c r="H31" s="8">
        <v>3</v>
      </c>
      <c r="I31" s="8">
        <v>4</v>
      </c>
      <c r="J31" s="8">
        <v>40</v>
      </c>
      <c r="K31" s="8">
        <v>41</v>
      </c>
      <c r="L31" s="8">
        <v>80</v>
      </c>
      <c r="M31" s="8">
        <v>81</v>
      </c>
      <c r="N31" s="8">
        <v>81</v>
      </c>
    </row>
    <row r="32" spans="1:14" x14ac:dyDescent="0.2">
      <c r="B32" s="54" t="s">
        <v>97</v>
      </c>
      <c r="C32" s="65">
        <f>G2Aon</f>
        <v>3.2417951935785604E-14</v>
      </c>
      <c r="D32">
        <v>0</v>
      </c>
      <c r="E32">
        <v>0</v>
      </c>
      <c r="F32">
        <v>0</v>
      </c>
      <c r="G32" s="69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>
        <v>0</v>
      </c>
      <c r="N32">
        <v>0</v>
      </c>
    </row>
    <row r="33" spans="2:14" x14ac:dyDescent="0.2">
      <c r="B33" s="54" t="s">
        <v>98</v>
      </c>
      <c r="C33" s="65">
        <f>G3Aon</f>
        <v>1</v>
      </c>
      <c r="D33">
        <v>0</v>
      </c>
      <c r="E33">
        <v>1</v>
      </c>
      <c r="F33">
        <v>1</v>
      </c>
      <c r="G33" s="69">
        <v>1</v>
      </c>
      <c r="H33">
        <v>2</v>
      </c>
      <c r="I33">
        <v>2</v>
      </c>
      <c r="J33">
        <v>13</v>
      </c>
      <c r="K33">
        <v>13</v>
      </c>
      <c r="L33">
        <v>26</v>
      </c>
      <c r="M33">
        <v>26</v>
      </c>
      <c r="N33">
        <v>27</v>
      </c>
    </row>
    <row r="34" spans="2:14" s="8" customFormat="1" x14ac:dyDescent="0.2">
      <c r="B34" s="31" t="s">
        <v>99</v>
      </c>
      <c r="C34" s="65">
        <f>G3B</f>
        <v>0</v>
      </c>
      <c r="D34" s="8">
        <v>18.191219343441102</v>
      </c>
      <c r="E34" s="8">
        <v>9.5251596530798857</v>
      </c>
      <c r="F34" s="8">
        <v>25.006106499341175</v>
      </c>
      <c r="G34" s="69">
        <v>41.873207603850823</v>
      </c>
      <c r="H34" s="31">
        <v>33.969067793519983</v>
      </c>
      <c r="I34" s="8">
        <v>50.012212998682436</v>
      </c>
      <c r="J34" s="8">
        <v>0</v>
      </c>
      <c r="K34" s="8">
        <v>10.374635551370563</v>
      </c>
      <c r="L34" s="8">
        <v>0</v>
      </c>
      <c r="M34" s="8">
        <v>3.1644149323531745</v>
      </c>
      <c r="N34" s="8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/>
  </sheetViews>
  <sheetFormatPr defaultRowHeight="12.75" x14ac:dyDescent="0.2"/>
  <sheetData>
    <row r="1" spans="2:2" x14ac:dyDescent="0.2">
      <c r="B1" s="1" t="s">
        <v>150</v>
      </c>
    </row>
    <row r="3" spans="2:2" x14ac:dyDescent="0.2">
      <c r="B3" t="s">
        <v>142</v>
      </c>
    </row>
    <row r="4" spans="2:2" x14ac:dyDescent="0.2">
      <c r="B4" t="s">
        <v>121</v>
      </c>
    </row>
    <row r="5" spans="2:2" x14ac:dyDescent="0.2">
      <c r="B5" t="s">
        <v>122</v>
      </c>
    </row>
    <row r="6" spans="2:2" x14ac:dyDescent="0.2">
      <c r="B6" t="s">
        <v>124</v>
      </c>
    </row>
    <row r="8" spans="2:2" x14ac:dyDescent="0.2">
      <c r="B8" t="s">
        <v>125</v>
      </c>
    </row>
    <row r="9" spans="2:2" x14ac:dyDescent="0.2">
      <c r="B9" t="s">
        <v>143</v>
      </c>
    </row>
    <row r="10" spans="2:2" x14ac:dyDescent="0.2">
      <c r="B10" t="s">
        <v>126</v>
      </c>
    </row>
    <row r="12" spans="2:2" x14ac:dyDescent="0.2">
      <c r="B12" t="s">
        <v>127</v>
      </c>
    </row>
    <row r="13" spans="2:2" x14ac:dyDescent="0.2">
      <c r="B13" t="s">
        <v>128</v>
      </c>
    </row>
    <row r="14" spans="2:2" x14ac:dyDescent="0.2">
      <c r="B14" t="s">
        <v>144</v>
      </c>
    </row>
    <row r="15" spans="2:2" x14ac:dyDescent="0.2">
      <c r="B15" t="s">
        <v>129</v>
      </c>
    </row>
    <row r="16" spans="2:2" x14ac:dyDescent="0.2">
      <c r="B16" t="s">
        <v>130</v>
      </c>
    </row>
    <row r="17" spans="2:3" x14ac:dyDescent="0.2">
      <c r="B17" t="s">
        <v>131</v>
      </c>
    </row>
    <row r="18" spans="2:3" x14ac:dyDescent="0.2">
      <c r="C18" t="s">
        <v>145</v>
      </c>
    </row>
    <row r="19" spans="2:3" x14ac:dyDescent="0.2">
      <c r="C19" t="s">
        <v>132</v>
      </c>
    </row>
    <row r="20" spans="2:3" x14ac:dyDescent="0.2">
      <c r="C20" t="s">
        <v>146</v>
      </c>
    </row>
    <row r="21" spans="2:3" x14ac:dyDescent="0.2">
      <c r="C21" t="s">
        <v>147</v>
      </c>
    </row>
    <row r="22" spans="2:3" x14ac:dyDescent="0.2">
      <c r="C22" t="s">
        <v>133</v>
      </c>
    </row>
    <row r="23" spans="2:3" x14ac:dyDescent="0.2">
      <c r="C23" t="s">
        <v>134</v>
      </c>
    </row>
    <row r="25" spans="2:3" x14ac:dyDescent="0.2">
      <c r="B25" t="s">
        <v>148</v>
      </c>
    </row>
    <row r="26" spans="2:3" x14ac:dyDescent="0.2">
      <c r="C26" t="s">
        <v>135</v>
      </c>
    </row>
    <row r="27" spans="2:3" x14ac:dyDescent="0.2">
      <c r="C27" t="s">
        <v>136</v>
      </c>
    </row>
    <row r="28" spans="2:3" x14ac:dyDescent="0.2">
      <c r="C28" t="s">
        <v>137</v>
      </c>
    </row>
    <row r="29" spans="2:3" x14ac:dyDescent="0.2">
      <c r="C29" t="s">
        <v>138</v>
      </c>
    </row>
    <row r="30" spans="2:3" x14ac:dyDescent="0.2">
      <c r="C30" t="s">
        <v>139</v>
      </c>
    </row>
    <row r="31" spans="2:3" x14ac:dyDescent="0.2">
      <c r="B31" t="s">
        <v>149</v>
      </c>
    </row>
    <row r="32" spans="2:3" x14ac:dyDescent="0.2">
      <c r="C32" t="s">
        <v>140</v>
      </c>
    </row>
    <row r="33" spans="3:3" x14ac:dyDescent="0.2">
      <c r="C33" t="s">
        <v>141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L33"/>
  <sheetViews>
    <sheetView workbookViewId="0">
      <selection activeCell="J23" sqref="J23"/>
    </sheetView>
  </sheetViews>
  <sheetFormatPr defaultRowHeight="12.75" x14ac:dyDescent="0.2"/>
  <cols>
    <col min="1" max="1" width="2.42578125" customWidth="1"/>
    <col min="3" max="3" width="2.7109375" customWidth="1"/>
    <col min="5" max="5" width="9.5703125" customWidth="1"/>
    <col min="6" max="6" width="15.85546875" customWidth="1"/>
    <col min="8" max="8" width="10" customWidth="1"/>
    <col min="9" max="9" width="8.42578125" customWidth="1"/>
  </cols>
  <sheetData>
    <row r="1" spans="2:12" x14ac:dyDescent="0.2">
      <c r="G1">
        <f>Reps</f>
        <v>1</v>
      </c>
      <c r="H1" t="s">
        <v>71</v>
      </c>
    </row>
    <row r="2" spans="2:12" x14ac:dyDescent="0.2">
      <c r="D2" s="1" t="s">
        <v>12</v>
      </c>
      <c r="G2">
        <f>G1</f>
        <v>1</v>
      </c>
      <c r="H2" t="s">
        <v>85</v>
      </c>
    </row>
    <row r="3" spans="2:12" ht="13.5" thickBot="1" x14ac:dyDescent="0.25">
      <c r="G3" s="72">
        <f>ohm/Reps_opt</f>
        <v>2.5000000000000001E-4</v>
      </c>
      <c r="H3" t="s">
        <v>112</v>
      </c>
      <c r="I3" s="4" t="s">
        <v>111</v>
      </c>
    </row>
    <row r="4" spans="2:12" x14ac:dyDescent="0.2">
      <c r="E4" s="58" t="s">
        <v>77</v>
      </c>
      <c r="F4" s="41" t="s">
        <v>76</v>
      </c>
    </row>
    <row r="5" spans="2:12" x14ac:dyDescent="0.2">
      <c r="B5" s="11" t="s">
        <v>39</v>
      </c>
      <c r="D5" t="s">
        <v>13</v>
      </c>
      <c r="E5" s="59">
        <v>121.21375956790338</v>
      </c>
      <c r="F5" s="30" t="s">
        <v>78</v>
      </c>
      <c r="H5" s="3" t="s">
        <v>29</v>
      </c>
      <c r="I5" s="16">
        <f>omOpt*Flow12^2/2</f>
        <v>1.836596938573186</v>
      </c>
      <c r="J5" t="s">
        <v>35</v>
      </c>
    </row>
    <row r="6" spans="2:12" x14ac:dyDescent="0.2">
      <c r="B6" s="12" t="s">
        <v>40</v>
      </c>
      <c r="D6" t="s">
        <v>14</v>
      </c>
      <c r="E6" s="59">
        <v>117.64705882317737</v>
      </c>
      <c r="F6" s="30" t="s">
        <v>78</v>
      </c>
      <c r="H6" s="3" t="s">
        <v>30</v>
      </c>
      <c r="I6" s="16">
        <f>omOpt*Flow23^2/2</f>
        <v>1.7301038062180196</v>
      </c>
      <c r="J6" t="s">
        <v>36</v>
      </c>
    </row>
    <row r="7" spans="2:12" x14ac:dyDescent="0.2">
      <c r="B7" s="64">
        <f>MIN($K$14)</f>
        <v>13000.000000000215</v>
      </c>
      <c r="D7" s="3" t="s">
        <v>15</v>
      </c>
      <c r="E7" s="59">
        <v>200</v>
      </c>
      <c r="F7" s="30" t="s">
        <v>49</v>
      </c>
    </row>
    <row r="8" spans="2:12" x14ac:dyDescent="0.2">
      <c r="B8" s="14">
        <f>COUNT($E$5:$E$13)</f>
        <v>9</v>
      </c>
      <c r="D8" s="3" t="s">
        <v>16</v>
      </c>
      <c r="E8" s="59">
        <v>6.4835903871571079E-12</v>
      </c>
      <c r="F8" s="30" t="s">
        <v>49</v>
      </c>
      <c r="I8" s="2" t="s">
        <v>31</v>
      </c>
      <c r="J8" s="2" t="s">
        <v>32</v>
      </c>
      <c r="K8" s="2" t="s">
        <v>33</v>
      </c>
    </row>
    <row r="9" spans="2:12" x14ac:dyDescent="0.2">
      <c r="B9" s="14" t="b">
        <f t="array" ref="B9">$E$11:$E$13=INT($E$11:$E$13)</f>
        <v>1</v>
      </c>
      <c r="D9" s="3" t="s">
        <v>17</v>
      </c>
      <c r="E9" s="59">
        <v>200</v>
      </c>
      <c r="F9" s="30" t="s">
        <v>49</v>
      </c>
      <c r="H9" s="57" t="s">
        <v>15</v>
      </c>
      <c r="I9" s="8">
        <f>G1Aon*StUp1</f>
        <v>2000</v>
      </c>
      <c r="J9" s="8">
        <f>G1A*MCA</f>
        <v>4000</v>
      </c>
      <c r="K9" s="8">
        <f>I9+J9</f>
        <v>6000</v>
      </c>
    </row>
    <row r="10" spans="2:12" x14ac:dyDescent="0.2">
      <c r="B10" s="14" t="b">
        <f t="array" ref="B10">$E$7:$E$10&gt;=0</f>
        <v>1</v>
      </c>
      <c r="D10" s="3" t="s">
        <v>18</v>
      </c>
      <c r="E10" s="59">
        <v>0</v>
      </c>
      <c r="F10" s="30" t="s">
        <v>49</v>
      </c>
      <c r="H10" s="57" t="s">
        <v>16</v>
      </c>
      <c r="I10" s="8">
        <f>G2Aon*StUp2</f>
        <v>8.428667503304257E-11</v>
      </c>
      <c r="J10" s="8">
        <f>G2A*MCA</f>
        <v>1.2967180774314216E-10</v>
      </c>
      <c r="K10" s="8">
        <f>I10+J10</f>
        <v>2.1395848277618471E-10</v>
      </c>
    </row>
    <row r="11" spans="2:12" x14ac:dyDescent="0.2">
      <c r="B11" s="14" t="b">
        <f t="array" ref="B11">$E$15:$E$17=0</f>
        <v>0</v>
      </c>
      <c r="D11" t="s">
        <v>19</v>
      </c>
      <c r="E11" s="59">
        <v>1</v>
      </c>
      <c r="F11" s="30" t="s">
        <v>79</v>
      </c>
      <c r="H11" s="57" t="s">
        <v>17</v>
      </c>
      <c r="I11" s="8">
        <f>G3Aon*StUp3</f>
        <v>3000</v>
      </c>
      <c r="J11" s="8">
        <f>G3A*MCA</f>
        <v>4000</v>
      </c>
      <c r="K11" s="8">
        <f>I11+J11</f>
        <v>7000</v>
      </c>
    </row>
    <row r="12" spans="2:12" x14ac:dyDescent="0.2">
      <c r="B12" s="14" t="b">
        <f t="array" ref="B12">$E$18:$E$25&lt;=0</f>
        <v>1</v>
      </c>
      <c r="D12" t="s">
        <v>20</v>
      </c>
      <c r="E12" s="59">
        <v>3.2417951935785604E-14</v>
      </c>
      <c r="F12" s="42" t="s">
        <v>55</v>
      </c>
      <c r="H12" s="57" t="s">
        <v>18</v>
      </c>
      <c r="I12" s="8">
        <v>0</v>
      </c>
      <c r="J12" s="8">
        <f>G3B*MCB</f>
        <v>0</v>
      </c>
      <c r="K12" s="8">
        <f>I12+J12</f>
        <v>0</v>
      </c>
    </row>
    <row r="13" spans="2:12" ht="13.5" thickBot="1" x14ac:dyDescent="0.25">
      <c r="B13" s="15">
        <f>{100,200,0.0000000001,0.00000001,FALSE,FALSE,TRUE,2,1,1,0.000000000001,FALSE}</f>
        <v>100</v>
      </c>
      <c r="D13" t="s">
        <v>21</v>
      </c>
      <c r="E13" s="60">
        <v>1</v>
      </c>
      <c r="F13" s="42" t="s">
        <v>55</v>
      </c>
    </row>
    <row r="14" spans="2:12" x14ac:dyDescent="0.2">
      <c r="B14" s="36"/>
      <c r="F14" s="9"/>
      <c r="H14" s="57" t="s">
        <v>95</v>
      </c>
      <c r="I14" s="8">
        <f>SUM(I9:I12)</f>
        <v>5000.0000000000846</v>
      </c>
      <c r="J14" s="8">
        <f>SUM(J9:J12)</f>
        <v>8000.0000000001291</v>
      </c>
      <c r="K14" s="5">
        <f>SUM(K9:K12)</f>
        <v>13000.000000000215</v>
      </c>
      <c r="L14" s="1" t="s">
        <v>34</v>
      </c>
    </row>
    <row r="15" spans="2:12" x14ac:dyDescent="0.2">
      <c r="D15" t="s">
        <v>22</v>
      </c>
      <c r="E15" s="40">
        <f>G1A-Flow12-Loss12-AD_1</f>
        <v>76.949643493523439</v>
      </c>
      <c r="F15" s="37" t="s">
        <v>38</v>
      </c>
    </row>
    <row r="16" spans="2:12" x14ac:dyDescent="0.2">
      <c r="D16" t="s">
        <v>23</v>
      </c>
      <c r="E16" s="40">
        <f>G2A+Flow12-Flow23-(Loss12+Loss23)-AD_2</f>
        <v>-5.8719251683214679E-11</v>
      </c>
      <c r="F16" s="10" t="s">
        <v>55</v>
      </c>
      <c r="H16" s="73" t="s">
        <v>152</v>
      </c>
      <c r="I16" s="26"/>
      <c r="J16" s="26"/>
      <c r="K16" s="26"/>
      <c r="L16" s="27"/>
    </row>
    <row r="17" spans="4:12" x14ac:dyDescent="0.2">
      <c r="D17" t="s">
        <v>24</v>
      </c>
      <c r="E17" s="40">
        <f>G3A+G3B+Flow23-Loss23-(Load3*Reps_opt)-AD_3</f>
        <v>115.91695501695932</v>
      </c>
      <c r="F17" s="10" t="s">
        <v>55</v>
      </c>
      <c r="H17" s="28" t="s">
        <v>109</v>
      </c>
      <c r="I17" s="29">
        <f>Competitive!K17</f>
        <v>5000</v>
      </c>
      <c r="J17" s="29">
        <f>Competitive!L17</f>
        <v>8000</v>
      </c>
      <c r="K17" s="29">
        <f>Competitive!M16</f>
        <v>13000</v>
      </c>
      <c r="L17" s="30" t="s">
        <v>108</v>
      </c>
    </row>
    <row r="18" spans="4:12" x14ac:dyDescent="0.2">
      <c r="D18" t="s">
        <v>26</v>
      </c>
      <c r="E18">
        <f>G1A-G1Aon*Cap</f>
        <v>0</v>
      </c>
      <c r="F18" s="37" t="s">
        <v>37</v>
      </c>
      <c r="H18" s="74" t="s">
        <v>107</v>
      </c>
      <c r="I18" s="75">
        <f>I17-I14</f>
        <v>-8.4583007264882326E-11</v>
      </c>
      <c r="J18" s="75">
        <f>J17-J14</f>
        <v>-1.2914824765175581E-10</v>
      </c>
      <c r="K18" s="75">
        <f>K17-K14</f>
        <v>-2.1464074961841106E-10</v>
      </c>
      <c r="L18" s="35"/>
    </row>
    <row r="19" spans="4:12" x14ac:dyDescent="0.2">
      <c r="D19" t="s">
        <v>27</v>
      </c>
      <c r="E19">
        <f>G2A-G2Aon*Cap</f>
        <v>-1.2924697071141057E-26</v>
      </c>
      <c r="F19" s="10" t="s">
        <v>55</v>
      </c>
      <c r="H19" s="8"/>
      <c r="I19" s="8"/>
      <c r="J19" s="8"/>
    </row>
    <row r="20" spans="4:12" x14ac:dyDescent="0.2">
      <c r="D20" t="s">
        <v>28</v>
      </c>
      <c r="E20">
        <f>G3A-G3Aon*Cap</f>
        <v>0</v>
      </c>
      <c r="F20" s="10" t="s">
        <v>55</v>
      </c>
    </row>
    <row r="21" spans="4:12" x14ac:dyDescent="0.2">
      <c r="D21" t="s">
        <v>73</v>
      </c>
      <c r="E21">
        <f>G1Aon-Reps_opt</f>
        <v>0</v>
      </c>
      <c r="F21" s="38" t="s">
        <v>81</v>
      </c>
    </row>
    <row r="22" spans="4:12" x14ac:dyDescent="0.2">
      <c r="D22" t="s">
        <v>74</v>
      </c>
      <c r="E22">
        <f>G2Aon-Reps_opt</f>
        <v>-0.99999999999996758</v>
      </c>
      <c r="F22" s="10" t="s">
        <v>55</v>
      </c>
    </row>
    <row r="23" spans="4:12" x14ac:dyDescent="0.2">
      <c r="D23" t="s">
        <v>75</v>
      </c>
      <c r="E23">
        <f>G3Aon-Reps_opt</f>
        <v>0</v>
      </c>
      <c r="F23" s="10" t="s">
        <v>55</v>
      </c>
    </row>
    <row r="24" spans="4:12" x14ac:dyDescent="0.2">
      <c r="E24">
        <f>Flow12-Reps*200</f>
        <v>-78.786240432096619</v>
      </c>
      <c r="F24" s="9" t="s">
        <v>110</v>
      </c>
    </row>
    <row r="25" spans="4:12" x14ac:dyDescent="0.2">
      <c r="E25">
        <f>Flow23-Reps*200</f>
        <v>-82.352941176822625</v>
      </c>
      <c r="F25" s="39" t="s">
        <v>55</v>
      </c>
    </row>
    <row r="30" spans="4:12" x14ac:dyDescent="0.2">
      <c r="E30" s="1" t="s">
        <v>117</v>
      </c>
    </row>
    <row r="31" spans="4:12" x14ac:dyDescent="0.2">
      <c r="D31" s="57" t="s">
        <v>114</v>
      </c>
      <c r="E31" s="8">
        <v>0</v>
      </c>
      <c r="F31" s="8">
        <f>Competitive!E20</f>
        <v>76.949643493523425</v>
      </c>
      <c r="G31" t="s">
        <v>118</v>
      </c>
    </row>
    <row r="32" spans="4:12" x14ac:dyDescent="0.2">
      <c r="D32" s="57" t="s">
        <v>115</v>
      </c>
      <c r="E32" s="8">
        <v>0</v>
      </c>
      <c r="F32" s="8">
        <f>Competitive!E21</f>
        <v>-6.1865179645792523E-11</v>
      </c>
      <c r="G32" t="s">
        <v>119</v>
      </c>
    </row>
    <row r="33" spans="4:7" x14ac:dyDescent="0.2">
      <c r="D33" s="57" t="s">
        <v>116</v>
      </c>
      <c r="E33" s="8">
        <v>0</v>
      </c>
      <c r="F33" s="8">
        <f>Competitive!E22</f>
        <v>115.91695501695619</v>
      </c>
      <c r="G33" t="s">
        <v>120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31"/>
  <sheetViews>
    <sheetView workbookViewId="0">
      <selection activeCell="F30" sqref="F30"/>
    </sheetView>
  </sheetViews>
  <sheetFormatPr defaultRowHeight="12.75" x14ac:dyDescent="0.2"/>
  <cols>
    <col min="1" max="1" width="2.7109375" customWidth="1"/>
    <col min="3" max="3" width="2.85546875" customWidth="1"/>
    <col min="5" max="5" width="9.28515625" customWidth="1"/>
    <col min="6" max="6" width="14.7109375" customWidth="1"/>
    <col min="7" max="7" width="9.28515625" customWidth="1"/>
    <col min="9" max="9" width="9.5703125" bestFit="1" customWidth="1"/>
    <col min="12" max="12" width="8.28515625" customWidth="1"/>
    <col min="15" max="15" width="4.7109375" customWidth="1"/>
  </cols>
  <sheetData>
    <row r="1" spans="2:15" x14ac:dyDescent="0.2">
      <c r="G1">
        <f>Reps</f>
        <v>1</v>
      </c>
      <c r="H1" t="s">
        <v>71</v>
      </c>
    </row>
    <row r="2" spans="2:15" x14ac:dyDescent="0.2">
      <c r="D2" s="1" t="s">
        <v>41</v>
      </c>
      <c r="G2" s="3">
        <f>G1</f>
        <v>1</v>
      </c>
      <c r="H2" t="s">
        <v>83</v>
      </c>
    </row>
    <row r="3" spans="2:15" ht="13.5" thickBot="1" x14ac:dyDescent="0.25">
      <c r="G3" s="72">
        <f>ohm/Reps_Comp</f>
        <v>2.5000000000000001E-4</v>
      </c>
      <c r="H3" t="s">
        <v>113</v>
      </c>
      <c r="I3" s="4" t="s">
        <v>105</v>
      </c>
    </row>
    <row r="4" spans="2:15" x14ac:dyDescent="0.2">
      <c r="D4" s="46" t="s">
        <v>77</v>
      </c>
      <c r="E4" s="47"/>
      <c r="F4" s="41" t="s">
        <v>76</v>
      </c>
    </row>
    <row r="5" spans="2:15" x14ac:dyDescent="0.2">
      <c r="B5" s="11" t="s">
        <v>39</v>
      </c>
      <c r="D5" s="44" t="s">
        <v>42</v>
      </c>
      <c r="E5" s="51">
        <v>31.058798063341293</v>
      </c>
      <c r="F5" s="30" t="s">
        <v>78</v>
      </c>
    </row>
    <row r="6" spans="2:15" x14ac:dyDescent="0.2">
      <c r="B6" s="12" t="s">
        <v>40</v>
      </c>
      <c r="D6" s="44" t="s">
        <v>43</v>
      </c>
      <c r="E6" s="51">
        <v>33.00000000000616</v>
      </c>
      <c r="F6" s="30" t="s">
        <v>78</v>
      </c>
      <c r="G6" s="7">
        <f>Price1/Price2</f>
        <v>0.94117569888895436</v>
      </c>
      <c r="H6" t="s">
        <v>56</v>
      </c>
      <c r="I6" s="7">
        <f>(1-P1_P2)/(omComp*(1+P1_P2))</f>
        <v>121.2137595679034</v>
      </c>
      <c r="J6" t="s">
        <v>58</v>
      </c>
      <c r="K6" s="16">
        <f>omComp*_Flo12^2/2</f>
        <v>1.8365969385731864</v>
      </c>
      <c r="L6" s="3" t="s">
        <v>60</v>
      </c>
      <c r="M6" t="s">
        <v>35</v>
      </c>
    </row>
    <row r="7" spans="2:15" x14ac:dyDescent="0.2">
      <c r="B7" s="13">
        <f>MIN($M$15)</f>
        <v>9142.6680297916446</v>
      </c>
      <c r="D7" s="44" t="s">
        <v>44</v>
      </c>
      <c r="E7" s="51">
        <v>35.000000000000313</v>
      </c>
      <c r="F7" s="30" t="s">
        <v>78</v>
      </c>
      <c r="G7" s="7">
        <f>Price2/Price3</f>
        <v>0.94285714285731048</v>
      </c>
      <c r="H7" t="s">
        <v>57</v>
      </c>
      <c r="I7" s="7">
        <f>(1-P2_P3)/(omComp*(1+P2_P3))</f>
        <v>117.64705882317415</v>
      </c>
      <c r="J7" s="21" t="s">
        <v>59</v>
      </c>
      <c r="K7" s="22">
        <f>omComp*_Flo23^2/2</f>
        <v>1.7301038062179248</v>
      </c>
      <c r="L7" s="23" t="s">
        <v>61</v>
      </c>
      <c r="M7" s="21" t="s">
        <v>36</v>
      </c>
    </row>
    <row r="8" spans="2:15" x14ac:dyDescent="0.2">
      <c r="B8" s="14">
        <f>COUNT($E$5:$E$11)</f>
        <v>7</v>
      </c>
      <c r="D8" s="44" t="s">
        <v>45</v>
      </c>
      <c r="E8" s="48">
        <v>1</v>
      </c>
      <c r="F8" s="30" t="s">
        <v>79</v>
      </c>
      <c r="G8" s="21"/>
    </row>
    <row r="9" spans="2:15" x14ac:dyDescent="0.2">
      <c r="B9" s="14" t="b">
        <f t="array" ref="B9">$E$8:$E$25&gt;=0</f>
        <v>1</v>
      </c>
      <c r="D9" s="44" t="s">
        <v>46</v>
      </c>
      <c r="E9" s="48">
        <v>0</v>
      </c>
      <c r="F9" s="42" t="s">
        <v>55</v>
      </c>
      <c r="G9" s="21"/>
      <c r="I9" s="24"/>
      <c r="J9" s="25" t="s">
        <v>65</v>
      </c>
      <c r="K9" s="25" t="s">
        <v>31</v>
      </c>
      <c r="L9" s="25" t="s">
        <v>32</v>
      </c>
      <c r="M9" s="25" t="s">
        <v>33</v>
      </c>
      <c r="N9" s="26"/>
      <c r="O9" s="27"/>
    </row>
    <row r="10" spans="2:15" x14ac:dyDescent="0.2">
      <c r="B10" s="14" t="b">
        <f>$E$8=INT($E$8)</f>
        <v>1</v>
      </c>
      <c r="D10" s="44" t="s">
        <v>47</v>
      </c>
      <c r="E10" s="48">
        <v>1</v>
      </c>
      <c r="F10" s="42" t="s">
        <v>55</v>
      </c>
      <c r="G10" s="21"/>
      <c r="I10" s="28" t="s">
        <v>66</v>
      </c>
      <c r="J10" s="21">
        <f>A1on*Cap</f>
        <v>200</v>
      </c>
      <c r="K10" s="29">
        <f>A1on*StUp1</f>
        <v>2000</v>
      </c>
      <c r="L10" s="29">
        <f>Gen1A*MCA</f>
        <v>4000</v>
      </c>
      <c r="M10" s="29">
        <f>K10+L10</f>
        <v>6000</v>
      </c>
      <c r="N10" s="21"/>
      <c r="O10" s="30"/>
    </row>
    <row r="11" spans="2:15" ht="13.5" thickBot="1" x14ac:dyDescent="0.25">
      <c r="B11" s="14" t="b">
        <f>$E$9=INT($E$9)</f>
        <v>1</v>
      </c>
      <c r="D11" s="45" t="s">
        <v>48</v>
      </c>
      <c r="E11" s="52">
        <v>0</v>
      </c>
      <c r="F11" s="43" t="s">
        <v>49</v>
      </c>
      <c r="I11" s="28" t="s">
        <v>67</v>
      </c>
      <c r="J11" s="21">
        <f>A2on*Cap</f>
        <v>0</v>
      </c>
      <c r="K11" s="29">
        <f>A2on*StUp2</f>
        <v>0</v>
      </c>
      <c r="L11" s="29">
        <f>Gen2A*MCA</f>
        <v>0</v>
      </c>
      <c r="M11" s="29">
        <f>K11+L11</f>
        <v>0</v>
      </c>
      <c r="N11" s="21"/>
      <c r="O11" s="30"/>
    </row>
    <row r="12" spans="2:15" x14ac:dyDescent="0.2">
      <c r="B12" s="14" t="b">
        <f>$E$10=INT($E$10)</f>
        <v>1</v>
      </c>
      <c r="D12" t="s">
        <v>102</v>
      </c>
      <c r="E12" s="6">
        <f>(Price1-_Inc1)*(A1on-0.5)</f>
        <v>0.52939903167064628</v>
      </c>
      <c r="F12" s="9" t="s">
        <v>50</v>
      </c>
      <c r="I12" s="28" t="s">
        <v>68</v>
      </c>
      <c r="J12" s="21">
        <f>A3on*Cap</f>
        <v>200</v>
      </c>
      <c r="K12" s="29">
        <f>A3on*StUp3</f>
        <v>3000</v>
      </c>
      <c r="L12" s="29">
        <f>Gen3A*MCA</f>
        <v>4000</v>
      </c>
      <c r="M12" s="29">
        <f>K12+L12</f>
        <v>7000</v>
      </c>
      <c r="N12" s="21"/>
      <c r="O12" s="30"/>
    </row>
    <row r="13" spans="2:15" x14ac:dyDescent="0.2">
      <c r="B13" s="15">
        <f>{100,200,0.000000001,0.000000001,FALSE,FALSE,TRUE,2,1,1,0.00000000001,FALSE}</f>
        <v>100</v>
      </c>
      <c r="D13" t="s">
        <v>101</v>
      </c>
      <c r="E13" s="6">
        <f>(Price2-_Inc2)*(A2on-0.5)</f>
        <v>-3.0802027595200343E-12</v>
      </c>
      <c r="F13" s="10" t="s">
        <v>55</v>
      </c>
      <c r="I13" s="28" t="s">
        <v>84</v>
      </c>
      <c r="J13" s="21">
        <f>Gen3B</f>
        <v>0</v>
      </c>
      <c r="K13" s="29">
        <v>0</v>
      </c>
      <c r="L13" s="29">
        <f>Gen3B*MCB</f>
        <v>0</v>
      </c>
      <c r="M13" s="29">
        <f>K13+L13</f>
        <v>0</v>
      </c>
      <c r="N13" s="21"/>
      <c r="O13" s="30"/>
    </row>
    <row r="14" spans="2:15" x14ac:dyDescent="0.2">
      <c r="D14" t="s">
        <v>103</v>
      </c>
      <c r="E14" s="6">
        <f>(Price3-_Inc3)*(A3on-0.5)</f>
        <v>1.5631940186722204E-13</v>
      </c>
      <c r="F14" s="10" t="s">
        <v>55</v>
      </c>
      <c r="I14" s="28" t="s">
        <v>64</v>
      </c>
      <c r="J14" s="29">
        <f>-(E20+E21+E22)</f>
        <v>-192.86659851041776</v>
      </c>
      <c r="K14" s="21"/>
      <c r="L14" s="21">
        <f>MCA</f>
        <v>20</v>
      </c>
      <c r="M14" s="31">
        <f>J14*L14</f>
        <v>-3857.3319702083554</v>
      </c>
      <c r="N14" s="21"/>
      <c r="O14" s="30"/>
    </row>
    <row r="15" spans="2:15" x14ac:dyDescent="0.2">
      <c r="D15" t="s">
        <v>104</v>
      </c>
      <c r="E15" s="6">
        <f>(Price3-MCB)*Gen3B</f>
        <v>0</v>
      </c>
      <c r="F15" s="10" t="s">
        <v>55</v>
      </c>
      <c r="I15" s="63"/>
      <c r="J15" s="21"/>
      <c r="K15" s="21"/>
      <c r="L15" s="21"/>
      <c r="M15" s="61">
        <f>SUM(M10:M14)</f>
        <v>9142.6680297916446</v>
      </c>
      <c r="N15" s="62" t="s">
        <v>106</v>
      </c>
      <c r="O15" s="30"/>
    </row>
    <row r="16" spans="2:15" x14ac:dyDescent="0.2">
      <c r="D16" t="s">
        <v>86</v>
      </c>
      <c r="E16">
        <f>(Price1-_Inc1)*(A1on-Reps_Comp+0.5)</f>
        <v>0.52939903167064628</v>
      </c>
      <c r="F16" s="9" t="s">
        <v>89</v>
      </c>
      <c r="I16" s="32"/>
      <c r="J16" s="19"/>
      <c r="M16" s="33">
        <f>SUM(M10:M13)</f>
        <v>13000</v>
      </c>
      <c r="N16" s="34" t="s">
        <v>100</v>
      </c>
      <c r="O16" s="35"/>
    </row>
    <row r="17" spans="4:12" x14ac:dyDescent="0.2">
      <c r="D17" t="s">
        <v>87</v>
      </c>
      <c r="E17">
        <f>(Price2-_Inc2)*(A2on-Reps_Comp+0.5)</f>
        <v>-3.0802027595200343E-12</v>
      </c>
      <c r="F17" s="9"/>
      <c r="K17" s="71">
        <f>SUM(K10:K13)</f>
        <v>5000</v>
      </c>
      <c r="L17" s="71">
        <f>SUM(L10:L13)</f>
        <v>8000</v>
      </c>
    </row>
    <row r="18" spans="4:12" x14ac:dyDescent="0.2">
      <c r="D18" t="s">
        <v>88</v>
      </c>
      <c r="E18">
        <f>(Price3-_Inc3)*(A2on-Reps_Comp+0.5)</f>
        <v>-1.5631940186722204E-13</v>
      </c>
      <c r="F18" s="9"/>
      <c r="K18" s="21"/>
      <c r="L18" s="21"/>
    </row>
    <row r="19" spans="4:12" x14ac:dyDescent="0.2">
      <c r="D19" t="s">
        <v>62</v>
      </c>
      <c r="E19" s="6">
        <f>MCB-Price3</f>
        <v>4.9999999999996874</v>
      </c>
      <c r="F19" s="9" t="s">
        <v>63</v>
      </c>
    </row>
    <row r="20" spans="4:12" x14ac:dyDescent="0.2">
      <c r="D20" t="s">
        <v>22</v>
      </c>
      <c r="E20" s="5">
        <f>Gen1A-_Flo12-_Los12</f>
        <v>76.949643493523425</v>
      </c>
      <c r="F20" s="9" t="s">
        <v>70</v>
      </c>
    </row>
    <row r="21" spans="4:12" x14ac:dyDescent="0.2">
      <c r="D21" t="s">
        <v>23</v>
      </c>
      <c r="E21" s="5">
        <f>Gen2A+_Flo12-_Flo23-(_Los12+_Los23)</f>
        <v>-6.1865179645792523E-11</v>
      </c>
      <c r="F21" s="10" t="s">
        <v>55</v>
      </c>
      <c r="I21" s="4"/>
    </row>
    <row r="22" spans="4:12" x14ac:dyDescent="0.2">
      <c r="D22" t="s">
        <v>24</v>
      </c>
      <c r="E22" s="5">
        <f>Gen3A+Gen3B+_Flo23-_Los23-(Load3*Reps_Comp)</f>
        <v>115.91695501695619</v>
      </c>
      <c r="F22" s="10" t="s">
        <v>55</v>
      </c>
    </row>
    <row r="23" spans="4:12" x14ac:dyDescent="0.2">
      <c r="D23" t="s">
        <v>73</v>
      </c>
      <c r="E23">
        <f>Reps_Comp-A1on+0.5</f>
        <v>0.5</v>
      </c>
      <c r="F23" s="38" t="s">
        <v>80</v>
      </c>
      <c r="I23" t="s">
        <v>123</v>
      </c>
    </row>
    <row r="24" spans="4:12" x14ac:dyDescent="0.2">
      <c r="D24" t="s">
        <v>74</v>
      </c>
      <c r="E24">
        <f>Reps_Comp-A2on+0.5</f>
        <v>1.5</v>
      </c>
      <c r="F24" s="10" t="s">
        <v>55</v>
      </c>
    </row>
    <row r="25" spans="4:12" x14ac:dyDescent="0.2">
      <c r="D25" t="s">
        <v>75</v>
      </c>
      <c r="E25">
        <f>Reps_Comp-A3on+0.5</f>
        <v>0.5</v>
      </c>
      <c r="F25" s="39" t="s">
        <v>55</v>
      </c>
    </row>
    <row r="27" spans="4:12" x14ac:dyDescent="0.2">
      <c r="E27" s="6"/>
      <c r="F27" s="4"/>
    </row>
    <row r="29" spans="4:12" x14ac:dyDescent="0.2">
      <c r="E29" s="6"/>
    </row>
    <row r="31" spans="4:12" x14ac:dyDescent="0.2">
      <c r="E31" s="6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46</vt:i4>
      </vt:variant>
    </vt:vector>
  </HeadingPairs>
  <TitlesOfParts>
    <vt:vector size="50" baseType="lpstr">
      <vt:lpstr>Front</vt:lpstr>
      <vt:lpstr>Explanation</vt:lpstr>
      <vt:lpstr>Optimal</vt:lpstr>
      <vt:lpstr>Competitive</vt:lpstr>
      <vt:lpstr>A1on</vt:lpstr>
      <vt:lpstr>A2on</vt:lpstr>
      <vt:lpstr>A3on</vt:lpstr>
      <vt:lpstr>AD_1</vt:lpstr>
      <vt:lpstr>AD_2</vt:lpstr>
      <vt:lpstr>AD_3</vt:lpstr>
      <vt:lpstr>Cap</vt:lpstr>
      <vt:lpstr>Flo12</vt:lpstr>
      <vt:lpstr>Flo23</vt:lpstr>
      <vt:lpstr>Flow12</vt:lpstr>
      <vt:lpstr>Flow23</vt:lpstr>
      <vt:lpstr>G1A</vt:lpstr>
      <vt:lpstr>G1Aon</vt:lpstr>
      <vt:lpstr>G2A</vt:lpstr>
      <vt:lpstr>G2Aon</vt:lpstr>
      <vt:lpstr>G3A</vt:lpstr>
      <vt:lpstr>G3Aon</vt:lpstr>
      <vt:lpstr>G3B</vt:lpstr>
      <vt:lpstr>Gen1A</vt:lpstr>
      <vt:lpstr>Gen2A</vt:lpstr>
      <vt:lpstr>Gen3A</vt:lpstr>
      <vt:lpstr>Gen3B</vt:lpstr>
      <vt:lpstr>Inc1</vt:lpstr>
      <vt:lpstr>Inc2</vt:lpstr>
      <vt:lpstr>Inc3</vt:lpstr>
      <vt:lpstr>Load3</vt:lpstr>
      <vt:lpstr>Los12</vt:lpstr>
      <vt:lpstr>Los23</vt:lpstr>
      <vt:lpstr>Loss12</vt:lpstr>
      <vt:lpstr>Loss23</vt:lpstr>
      <vt:lpstr>MCA</vt:lpstr>
      <vt:lpstr>MCB</vt:lpstr>
      <vt:lpstr>ohm</vt:lpstr>
      <vt:lpstr>omComp</vt:lpstr>
      <vt:lpstr>omOpt</vt:lpstr>
      <vt:lpstr>P1_P2</vt:lpstr>
      <vt:lpstr>P2_P3</vt:lpstr>
      <vt:lpstr>Price1</vt:lpstr>
      <vt:lpstr>Price2</vt:lpstr>
      <vt:lpstr>Price3</vt:lpstr>
      <vt:lpstr>Reps</vt:lpstr>
      <vt:lpstr>Reps_Comp</vt:lpstr>
      <vt:lpstr>Reps_opt</vt:lpstr>
      <vt:lpstr>StUp1</vt:lpstr>
      <vt:lpstr>StUp2</vt:lpstr>
      <vt:lpstr>StUp3</vt:lpstr>
    </vt:vector>
  </TitlesOfParts>
  <Company>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Jan Havlíček</cp:lastModifiedBy>
  <dcterms:created xsi:type="dcterms:W3CDTF">2000-10-24T14:59:39Z</dcterms:created>
  <dcterms:modified xsi:type="dcterms:W3CDTF">2023-09-13T16:15:03Z</dcterms:modified>
</cp:coreProperties>
</file>