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8324AD-FEE4-4692-B050-292164858C52}" xr6:coauthVersionLast="47" xr6:coauthVersionMax="47" xr10:uidLastSave="{00000000-0000-0000-0000-000000000000}"/>
  <bookViews>
    <workbookView xWindow="-120" yWindow="-120" windowWidth="38640" windowHeight="15720" tabRatio="865" firstSheet="9" activeTab="22"/>
  </bookViews>
  <sheets>
    <sheet name="TOC" sheetId="1" r:id="rId1"/>
    <sheet name="Assm" sheetId="6" r:id="rId2"/>
    <sheet name="CF" sheetId="10" r:id="rId3"/>
    <sheet name="RAROC" sheetId="38" r:id="rId4"/>
    <sheet name="CommonSize" sheetId="37" r:id="rId5"/>
    <sheet name="BS_IS" sheetId="20" r:id="rId6"/>
    <sheet name="Returns" sheetId="12" r:id="rId7"/>
    <sheet name="CS_INC" sheetId="36" r:id="rId8"/>
    <sheet name="EINC" sheetId="13" r:id="rId9"/>
    <sheet name="PLRisk" sheetId="29" r:id="rId10"/>
    <sheet name="Trapped" sheetId="11" r:id="rId11"/>
    <sheet name="Turnkey" sheetId="31" r:id="rId12"/>
    <sheet name="Drawdown" sheetId="14" r:id="rId13"/>
    <sheet name="IDC" sheetId="16" r:id="rId14"/>
    <sheet name="Debt Amort" sheetId="17" r:id="rId15"/>
    <sheet name="Taxes" sheetId="18" r:id="rId16"/>
    <sheet name="Depr" sheetId="19" r:id="rId17"/>
    <sheet name="Ref1" sheetId="2" r:id="rId18"/>
    <sheet name="Ref2" sheetId="3" r:id="rId19"/>
    <sheet name="Ref3" sheetId="4" r:id="rId20"/>
    <sheet name="Ref4" sheetId="5" r:id="rId21"/>
    <sheet name="Ref5" sheetId="30" r:id="rId22"/>
    <sheet name="Transportation" sheetId="32" r:id="rId23"/>
    <sheet name="Escalation" sheetId="33" r:id="rId24"/>
  </sheets>
  <externalReferences>
    <externalReference r:id="rId25"/>
    <externalReference r:id="rId26"/>
    <externalReference r:id="rId27"/>
    <externalReference r:id="rId28"/>
  </externalReferences>
  <definedNames>
    <definedName name="BL">Assm!$X$85</definedName>
    <definedName name="BL_Perc">Assm!#REF!</definedName>
    <definedName name="BS_Table">BS_IS!$G$7:$AB$35</definedName>
    <definedName name="Capacity">Assm!$F$35</definedName>
    <definedName name="CF_Table">CF!$E$7:$Y$76</definedName>
    <definedName name="Com_Inputs">IDC!$E$84:$AN$84</definedName>
    <definedName name="Com_Values">Drawdown!$E$45:$AN$45</definedName>
    <definedName name="Commit_Factor">Drawdown!$AS$46</definedName>
    <definedName name="Corp_Tax">Assm!$J$8</definedName>
    <definedName name="Cost">Assm!$R$46</definedName>
    <definedName name="CPI" localSheetId="7">[4]Turnkey!#REF!</definedName>
    <definedName name="CPI">Assm!$F$37</definedName>
    <definedName name="Curves_Table">Escalation!$A$19:$S$288</definedName>
    <definedName name="Debt">Assm!$X$68</definedName>
    <definedName name="Debt_Perc">Assm!$W$68</definedName>
    <definedName name="Debt_Serv">Assm!$F$25</definedName>
    <definedName name="Dec_Change" localSheetId="23">Escalation!$G$13:$K$288</definedName>
    <definedName name="Depr_Table">Depr!$H$7:$AB$50</definedName>
    <definedName name="Dev_Fee1">[4]Assm!#REF!</definedName>
    <definedName name="Dev_Fee2">[4]Assm!#REF!</definedName>
    <definedName name="Dev_Fee3">[4]Assm!#REF!</definedName>
    <definedName name="Dilute_Date">Assm!$J$59</definedName>
    <definedName name="Disc">Assm!$P$51</definedName>
    <definedName name="Draw_Table">Drawdown!$E$7:$AN$68</definedName>
    <definedName name="Draw_Table2">Drawdown!$E$51:$AN$68</definedName>
    <definedName name="DS_Table">'Debt Amort'!$A$7:$Y$17</definedName>
    <definedName name="Ecf">Assm!$X$87</definedName>
    <definedName name="Endyr">Assm!$F$17</definedName>
    <definedName name="Equity">Assm!$X$70</definedName>
    <definedName name="Equity_Perc">Assm!$W$70</definedName>
    <definedName name="Est_BL">Assm!#REF!</definedName>
    <definedName name="Est_Commit">Assm!$AD$11</definedName>
    <definedName name="Est_Cost">Assm!$AD$8</definedName>
    <definedName name="Est_Fin">Assm!$AD$12</definedName>
    <definedName name="Est_IDC">Assm!$AD$9</definedName>
    <definedName name="Est_WhTax">Assm!$AD$10</definedName>
    <definedName name="Exit_Table" localSheetId="7">#REF!</definedName>
    <definedName name="Exit_Table">#REF!</definedName>
    <definedName name="Fin_Close">Assm!$F$22</definedName>
    <definedName name="Fin_Table">'Debt Amort'!$B$37:$AD$76</definedName>
    <definedName name="Guarantee_Fee_Table">'Debt Amort'!$B$37:$AE$76</definedName>
    <definedName name="Idc_Table">IDC!$E$7:$AN$75</definedName>
    <definedName name="Inputs">Assm!$AE$7:$AE$13</definedName>
    <definedName name="Int_BL">Assm!$U$87</definedName>
    <definedName name="IRR">Assm!$Q$51</definedName>
    <definedName name="Linefill">Assm!$R$15</definedName>
    <definedName name="Loopfactor">Assm!$Z$12</definedName>
    <definedName name="MOSYR2">[4]Assm!#REF!</definedName>
    <definedName name="NGO_Table">Assm!$B$64:$F$65</definedName>
    <definedName name="Nol">Assm!$J$10</definedName>
    <definedName name="Npv">Assm!$R$51</definedName>
    <definedName name="Opic">Assm!$L$79</definedName>
    <definedName name="Pipe_NTP">Assm!$F$12</definedName>
    <definedName name="Pipe_RFS">Assm!$F$13</definedName>
    <definedName name="_xlnm.Print_Area" localSheetId="1">Assm!$A:$X</definedName>
    <definedName name="_xlnm.Print_Area" localSheetId="5">BS_IS!$A:$AC</definedName>
    <definedName name="_xlnm.Print_Area" localSheetId="2">CF!$A$1:$Z$79</definedName>
    <definedName name="_xlnm.Print_Area" localSheetId="4">CommonSize!$A$1:$AA$67</definedName>
    <definedName name="_xlnm.Print_Area" localSheetId="14">'Debt Amort'!$A$1:$AB$78</definedName>
    <definedName name="_xlnm.Print_Area" localSheetId="16">Depr!$A:$AC</definedName>
    <definedName name="_xlnm.Print_Area" localSheetId="12">Drawdown!$A$1:$AP$95</definedName>
    <definedName name="_xlnm.Print_Area" localSheetId="8">EINC!$A:$AA</definedName>
    <definedName name="_xlnm.Print_Area" localSheetId="23">Escalation!$A$12:$O$289</definedName>
    <definedName name="_xlnm.Print_Area" localSheetId="13">IDC!$A:$AO</definedName>
    <definedName name="_xlnm.Print_Area" localSheetId="9">PLRisk!$A:$AA</definedName>
    <definedName name="_xlnm.Print_Area" localSheetId="17">'Ref1'!$A:$I</definedName>
    <definedName name="_xlnm.Print_Area" localSheetId="18">'Ref2'!$A:$I</definedName>
    <definedName name="_xlnm.Print_Area" localSheetId="20">'Ref4'!$A:$I</definedName>
    <definedName name="_xlnm.Print_Area" localSheetId="21">'Ref5'!$A:$I</definedName>
    <definedName name="_xlnm.Print_Area" localSheetId="6">Returns!$A:$AB</definedName>
    <definedName name="_xlnm.Print_Area" localSheetId="15">Taxes!$A:$Y</definedName>
    <definedName name="_xlnm.Print_Area" localSheetId="0">TOC!$A:$D</definedName>
    <definedName name="_xlnm.Print_Area" localSheetId="10">Trapped!$A$1:$AA$87</definedName>
    <definedName name="_xlnm.Print_Area" localSheetId="11">Turnkey!$A:$K</definedName>
    <definedName name="_xlnm.Print_Titles" localSheetId="23">Escalation!$12:$18</definedName>
    <definedName name="Promote_Fee_New">[4]Assm!#REF!</definedName>
    <definedName name="Promote_Fee_Orig">[4]Assm!#REF!</definedName>
    <definedName name="Promote_Rate_New">[4]Assm!#REF!</definedName>
    <definedName name="Promote_Rate_Orig">[4]Assm!#REF!</definedName>
    <definedName name="Promote_Return_Orig">[4]Assm!#REF!</definedName>
    <definedName name="Ret_Table">Returns!$D$6:$Z$113</definedName>
    <definedName name="Revenue_Table">Transportation!$A$12:$M$246</definedName>
    <definedName name="Sirese_Tax">Assm!$J$25</definedName>
    <definedName name="Startconst">Assm!$F$11</definedName>
    <definedName name="Startops1">Assm!$F$15</definedName>
    <definedName name="Startops2">Assm!$F$16</definedName>
    <definedName name="Startops3">[4]Assm!$E$16</definedName>
    <definedName name="Subdebt">Assm!$X$69</definedName>
    <definedName name="Subdebt_Perc">Assm!$W$69</definedName>
    <definedName name="Target">Assm!$Q$52</definedName>
    <definedName name="Tariff_Cap">Assm!$D$29</definedName>
    <definedName name="Tariff_Var">Assm!$D$30</definedName>
    <definedName name="Tax_Table">Taxes!$D$7:$X$60</definedName>
    <definedName name="Term">Assm!$F$18</definedName>
    <definedName name="Term_BL">Assm!#REF!</definedName>
    <definedName name="Term_C">Assm!$F$14</definedName>
    <definedName name="TOC">TOC!$B$8:$C$24</definedName>
    <definedName name="Total_BL">Assm!$U$86</definedName>
    <definedName name="Trans_Tax">Assm!$J$9</definedName>
    <definedName name="Turnkey_Table1">#REF!</definedName>
    <definedName name="USTax">Assm!$J$29</definedName>
    <definedName name="Values">Assm!$AD$7:$AD$13</definedName>
    <definedName name="Vat">Assm!$J$15</definedName>
    <definedName name="Vat_Table">Trapped!$E$68:$Z$87</definedName>
    <definedName name="Wcap">Assm!$R$39</definedName>
    <definedName name="Wh_Div_NR">Assm!$J$12</definedName>
    <definedName name="Wh_Int">Assm!$J$13</definedName>
    <definedName name="Wh_Serv">Assm!$J$14</definedName>
    <definedName name="X_Perc">#REF!</definedName>
    <definedName name="X_Year">#REF!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6" l="1"/>
  <c r="I1" i="6"/>
  <c r="O1" i="6"/>
  <c r="A2" i="6"/>
  <c r="I2" i="6"/>
  <c r="O2" i="6"/>
  <c r="A3" i="6"/>
  <c r="I3" i="6"/>
  <c r="I4" i="6"/>
  <c r="O4" i="6"/>
  <c r="E6" i="6"/>
  <c r="R7" i="6"/>
  <c r="R8" i="6"/>
  <c r="AD8" i="6"/>
  <c r="AE8" i="6"/>
  <c r="AF8" i="6"/>
  <c r="R9" i="6"/>
  <c r="W9" i="6"/>
  <c r="X9" i="6"/>
  <c r="AD9" i="6"/>
  <c r="AE9" i="6"/>
  <c r="AF9" i="6"/>
  <c r="R10" i="6"/>
  <c r="AD10" i="6"/>
  <c r="AE10" i="6"/>
  <c r="AF10" i="6"/>
  <c r="X11" i="6"/>
  <c r="AD11" i="6"/>
  <c r="AE11" i="6"/>
  <c r="AF11" i="6"/>
  <c r="R12" i="6"/>
  <c r="U12" i="6"/>
  <c r="Z12" i="6"/>
  <c r="AD12" i="6"/>
  <c r="AE12" i="6"/>
  <c r="AF12" i="6"/>
  <c r="F13" i="6"/>
  <c r="R13" i="6"/>
  <c r="X13" i="6"/>
  <c r="F14" i="6"/>
  <c r="X14" i="6"/>
  <c r="AF14" i="6"/>
  <c r="F15" i="6"/>
  <c r="R15" i="6"/>
  <c r="F16" i="6"/>
  <c r="J16" i="6"/>
  <c r="R17" i="6"/>
  <c r="R18" i="6"/>
  <c r="W18" i="6"/>
  <c r="X20" i="6"/>
  <c r="U21" i="6"/>
  <c r="F22" i="6"/>
  <c r="R22" i="6"/>
  <c r="X22" i="6"/>
  <c r="F23" i="6"/>
  <c r="X23" i="6"/>
  <c r="R24" i="6"/>
  <c r="F25" i="6"/>
  <c r="R25" i="6"/>
  <c r="R26" i="6"/>
  <c r="R27" i="6"/>
  <c r="W27" i="6"/>
  <c r="D29" i="6"/>
  <c r="X29" i="6"/>
  <c r="D30" i="6"/>
  <c r="F30" i="6"/>
  <c r="U30" i="6"/>
  <c r="R31" i="6"/>
  <c r="X31" i="6"/>
  <c r="F32" i="6"/>
  <c r="R32" i="6"/>
  <c r="X32" i="6"/>
  <c r="R34" i="6"/>
  <c r="D35" i="6"/>
  <c r="F35" i="6"/>
  <c r="R35" i="6"/>
  <c r="R36" i="6"/>
  <c r="W36" i="6"/>
  <c r="L37" i="6"/>
  <c r="R37" i="6"/>
  <c r="X38" i="6"/>
  <c r="U39" i="6"/>
  <c r="F40" i="6"/>
  <c r="R40" i="6"/>
  <c r="X40" i="6"/>
  <c r="F41" i="6"/>
  <c r="J41" i="6"/>
  <c r="X41" i="6"/>
  <c r="F42" i="6"/>
  <c r="J42" i="6"/>
  <c r="R42" i="6"/>
  <c r="F43" i="6"/>
  <c r="J43" i="6"/>
  <c r="F44" i="6"/>
  <c r="R44" i="6"/>
  <c r="F45" i="6"/>
  <c r="W45" i="6"/>
  <c r="F46" i="6"/>
  <c r="R46" i="6"/>
  <c r="E47" i="6"/>
  <c r="F47" i="6"/>
  <c r="R47" i="6"/>
  <c r="X47" i="6"/>
  <c r="F48" i="6"/>
  <c r="U48" i="6"/>
  <c r="E49" i="6"/>
  <c r="X49" i="6"/>
  <c r="X50" i="6"/>
  <c r="P51" i="6"/>
  <c r="Q51" i="6"/>
  <c r="R51" i="6"/>
  <c r="N54" i="6"/>
  <c r="P54" i="6"/>
  <c r="Q54" i="6"/>
  <c r="R54" i="6"/>
  <c r="W54" i="6"/>
  <c r="X54" i="6"/>
  <c r="L55" i="6"/>
  <c r="N55" i="6"/>
  <c r="P55" i="6"/>
  <c r="Q55" i="6"/>
  <c r="R55" i="6"/>
  <c r="N56" i="6"/>
  <c r="P56" i="6"/>
  <c r="Q56" i="6"/>
  <c r="R56" i="6"/>
  <c r="X56" i="6"/>
  <c r="A57" i="6"/>
  <c r="R57" i="6"/>
  <c r="U57" i="6"/>
  <c r="X58" i="6"/>
  <c r="J59" i="6"/>
  <c r="R59" i="6"/>
  <c r="R60" i="6"/>
  <c r="D61" i="6"/>
  <c r="J61" i="6"/>
  <c r="K61" i="6"/>
  <c r="L61" i="6"/>
  <c r="R61" i="6"/>
  <c r="J62" i="6"/>
  <c r="K62" i="6"/>
  <c r="L62" i="6"/>
  <c r="R62" i="6"/>
  <c r="J63" i="6"/>
  <c r="K63" i="6"/>
  <c r="L63" i="6"/>
  <c r="R63" i="6"/>
  <c r="B64" i="6"/>
  <c r="C64" i="6"/>
  <c r="D64" i="6"/>
  <c r="E64" i="6"/>
  <c r="F64" i="6"/>
  <c r="J64" i="6"/>
  <c r="K64" i="6"/>
  <c r="L64" i="6"/>
  <c r="R64" i="6"/>
  <c r="X64" i="6"/>
  <c r="E65" i="6"/>
  <c r="G65" i="6"/>
  <c r="R65" i="6"/>
  <c r="W65" i="6"/>
  <c r="R66" i="6"/>
  <c r="R67" i="6"/>
  <c r="R68" i="6"/>
  <c r="W68" i="6"/>
  <c r="X68" i="6"/>
  <c r="Z68" i="6"/>
  <c r="AB68" i="6"/>
  <c r="C69" i="6"/>
  <c r="J69" i="6"/>
  <c r="K69" i="6"/>
  <c r="L69" i="6"/>
  <c r="R69" i="6"/>
  <c r="W69" i="6"/>
  <c r="X69" i="6"/>
  <c r="Z69" i="6"/>
  <c r="J70" i="6"/>
  <c r="R70" i="6"/>
  <c r="W70" i="6"/>
  <c r="X70" i="6"/>
  <c r="Z70" i="6"/>
  <c r="J71" i="6"/>
  <c r="R71" i="6"/>
  <c r="W71" i="6"/>
  <c r="X71" i="6"/>
  <c r="J72" i="6"/>
  <c r="K72" i="6"/>
  <c r="L72" i="6"/>
  <c r="R72" i="6"/>
  <c r="X72" i="6"/>
  <c r="R73" i="6"/>
  <c r="V73" i="6"/>
  <c r="W73" i="6"/>
  <c r="X73" i="6"/>
  <c r="R74" i="6"/>
  <c r="X74" i="6"/>
  <c r="I75" i="6"/>
  <c r="J75" i="6"/>
  <c r="K75" i="6"/>
  <c r="L75" i="6"/>
  <c r="X75" i="6"/>
  <c r="L76" i="6"/>
  <c r="R76" i="6"/>
  <c r="R77" i="6"/>
  <c r="U78" i="6"/>
  <c r="V78" i="6"/>
  <c r="U79" i="6"/>
  <c r="V79" i="6"/>
  <c r="R80" i="6"/>
  <c r="L82" i="6"/>
  <c r="L83" i="6"/>
  <c r="O83" i="6"/>
  <c r="P83" i="6"/>
  <c r="Q83" i="6"/>
  <c r="R83" i="6"/>
  <c r="L84" i="6"/>
  <c r="O84" i="6"/>
  <c r="P84" i="6"/>
  <c r="Q84" i="6"/>
  <c r="R84" i="6"/>
  <c r="N85" i="6"/>
  <c r="R85" i="6"/>
  <c r="L86" i="6"/>
  <c r="N86" i="6"/>
  <c r="R86" i="6"/>
  <c r="U86" i="6"/>
  <c r="A1" i="20"/>
  <c r="A2" i="20"/>
  <c r="A3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E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E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E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E11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E12" i="20"/>
  <c r="AE13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E14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E15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E16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E17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E18" i="20"/>
  <c r="AE19" i="20"/>
  <c r="AE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E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E22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E23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E24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E25" i="20"/>
  <c r="AE26" i="20"/>
  <c r="AE27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E28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E29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E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E31" i="20"/>
  <c r="AE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E33" i="20"/>
  <c r="AE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E35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B63" i="20"/>
  <c r="AC63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T84" i="20"/>
  <c r="U84" i="20"/>
  <c r="V84" i="20"/>
  <c r="W84" i="20"/>
  <c r="X84" i="20"/>
  <c r="Y84" i="20"/>
  <c r="Z84" i="20"/>
  <c r="AA84" i="20"/>
  <c r="AB84" i="20"/>
  <c r="AC84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V86" i="20"/>
  <c r="W86" i="20"/>
  <c r="X86" i="20"/>
  <c r="Y86" i="20"/>
  <c r="Z86" i="20"/>
  <c r="AA86" i="20"/>
  <c r="AB86" i="20"/>
  <c r="AC86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W88" i="20"/>
  <c r="X88" i="20"/>
  <c r="Y88" i="20"/>
  <c r="Z88" i="20"/>
  <c r="AA88" i="20"/>
  <c r="AB88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T90" i="20"/>
  <c r="U90" i="20"/>
  <c r="V90" i="20"/>
  <c r="W90" i="20"/>
  <c r="X90" i="20"/>
  <c r="Y90" i="20"/>
  <c r="Z90" i="20"/>
  <c r="AA90" i="20"/>
  <c r="AB90" i="20"/>
  <c r="A1" i="10"/>
  <c r="A2" i="10"/>
  <c r="A3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AB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B9" i="10"/>
  <c r="AB10" i="10"/>
  <c r="C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AB11" i="10"/>
  <c r="C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AB12" i="10"/>
  <c r="C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AB13" i="10"/>
  <c r="AB14" i="10"/>
  <c r="AB15" i="10"/>
  <c r="AB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B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B18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AB19" i="10"/>
  <c r="AB20" i="10"/>
  <c r="AB21" i="10"/>
  <c r="B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B22" i="10"/>
  <c r="B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B23" i="10"/>
  <c r="B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B24" i="10"/>
  <c r="B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B25" i="10"/>
  <c r="B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B26" i="10"/>
  <c r="B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B27" i="10"/>
  <c r="B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B28" i="10"/>
  <c r="B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B29" i="10"/>
  <c r="B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B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B31" i="10"/>
  <c r="C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B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B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B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B35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B36" i="10"/>
  <c r="AB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B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B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B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B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B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B44" i="10"/>
  <c r="AB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B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B47" i="10"/>
  <c r="AB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B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B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B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B52" i="10"/>
  <c r="AB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B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B55" i="10"/>
  <c r="AB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B57" i="10"/>
  <c r="AB58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B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B60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B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B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B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B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B65" i="10"/>
  <c r="AB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B67" i="10"/>
  <c r="AB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B69" i="10"/>
  <c r="AB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B71" i="10"/>
  <c r="AB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B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B74" i="10"/>
  <c r="AB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B76" i="10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A45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A61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E67" i="37"/>
  <c r="I67" i="37"/>
  <c r="J67" i="37"/>
  <c r="K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A1" i="36"/>
  <c r="A2" i="36"/>
  <c r="A3" i="36"/>
  <c r="B9" i="36"/>
  <c r="C9" i="36"/>
  <c r="D9" i="36"/>
  <c r="E9" i="36"/>
  <c r="F9" i="36"/>
  <c r="G9" i="36"/>
  <c r="H9" i="36"/>
  <c r="C10" i="36"/>
  <c r="D10" i="36"/>
  <c r="E10" i="36"/>
  <c r="F10" i="36"/>
  <c r="G10" i="36"/>
  <c r="H10" i="36"/>
  <c r="B13" i="36"/>
  <c r="C13" i="36"/>
  <c r="D13" i="36"/>
  <c r="E13" i="36"/>
  <c r="F13" i="36"/>
  <c r="G13" i="36"/>
  <c r="H13" i="36"/>
  <c r="C14" i="36"/>
  <c r="D14" i="36"/>
  <c r="E14" i="36"/>
  <c r="F14" i="36"/>
  <c r="G14" i="36"/>
  <c r="H14" i="36"/>
  <c r="B16" i="36"/>
  <c r="C16" i="36"/>
  <c r="D16" i="36"/>
  <c r="E16" i="36"/>
  <c r="F16" i="36"/>
  <c r="G16" i="36"/>
  <c r="H16" i="36"/>
  <c r="B18" i="36"/>
  <c r="C18" i="36"/>
  <c r="D18" i="36"/>
  <c r="E18" i="36"/>
  <c r="F18" i="36"/>
  <c r="G18" i="36"/>
  <c r="H18" i="36"/>
  <c r="B20" i="36"/>
  <c r="C20" i="36"/>
  <c r="D20" i="36"/>
  <c r="E20" i="36"/>
  <c r="F20" i="36"/>
  <c r="G20" i="36"/>
  <c r="H20" i="36"/>
  <c r="C21" i="36"/>
  <c r="D21" i="36"/>
  <c r="E21" i="36"/>
  <c r="F21" i="36"/>
  <c r="G21" i="36"/>
  <c r="H21" i="36"/>
  <c r="B23" i="36"/>
  <c r="C23" i="36"/>
  <c r="D23" i="36"/>
  <c r="E23" i="36"/>
  <c r="F23" i="36"/>
  <c r="G23" i="36"/>
  <c r="H23" i="36"/>
  <c r="B26" i="36"/>
  <c r="C26" i="36"/>
  <c r="D26" i="36"/>
  <c r="E26" i="36"/>
  <c r="F26" i="36"/>
  <c r="G26" i="36"/>
  <c r="H26" i="36"/>
  <c r="B28" i="36"/>
  <c r="C28" i="36"/>
  <c r="D28" i="36"/>
  <c r="E28" i="36"/>
  <c r="F28" i="36"/>
  <c r="G28" i="36"/>
  <c r="H28" i="36"/>
  <c r="B29" i="36"/>
  <c r="C29" i="36"/>
  <c r="D29" i="36"/>
  <c r="E29" i="36"/>
  <c r="F29" i="36"/>
  <c r="G29" i="36"/>
  <c r="H29" i="36"/>
  <c r="B31" i="36"/>
  <c r="C31" i="36"/>
  <c r="D31" i="36"/>
  <c r="E31" i="36"/>
  <c r="F31" i="36"/>
  <c r="G31" i="36"/>
  <c r="H31" i="36"/>
  <c r="B33" i="36"/>
  <c r="C33" i="36"/>
  <c r="D33" i="36"/>
  <c r="E33" i="36"/>
  <c r="F33" i="36"/>
  <c r="G33" i="36"/>
  <c r="H33" i="36"/>
  <c r="B35" i="36"/>
  <c r="C35" i="36"/>
  <c r="D35" i="36"/>
  <c r="E35" i="36"/>
  <c r="F35" i="36"/>
  <c r="G35" i="36"/>
  <c r="H35" i="36"/>
  <c r="C36" i="36"/>
  <c r="D36" i="36"/>
  <c r="E36" i="36"/>
  <c r="F36" i="36"/>
  <c r="G36" i="36"/>
  <c r="H36" i="36"/>
  <c r="B38" i="36"/>
  <c r="C38" i="36"/>
  <c r="D38" i="36"/>
  <c r="E38" i="36"/>
  <c r="F38" i="36"/>
  <c r="G38" i="36"/>
  <c r="H38" i="36"/>
  <c r="B45" i="36"/>
  <c r="C45" i="36"/>
  <c r="D45" i="36"/>
  <c r="E45" i="36"/>
  <c r="F45" i="36"/>
  <c r="G45" i="36"/>
  <c r="H45" i="36"/>
  <c r="B46" i="36"/>
  <c r="C46" i="36"/>
  <c r="D46" i="36"/>
  <c r="E46" i="36"/>
  <c r="F46" i="36"/>
  <c r="G46" i="36"/>
  <c r="H46" i="36"/>
  <c r="B47" i="36"/>
  <c r="C47" i="36"/>
  <c r="D47" i="36"/>
  <c r="E47" i="36"/>
  <c r="F47" i="36"/>
  <c r="G47" i="36"/>
  <c r="H47" i="36"/>
  <c r="B50" i="36"/>
  <c r="C50" i="36"/>
  <c r="D50" i="36"/>
  <c r="E50" i="36"/>
  <c r="F50" i="36"/>
  <c r="G50" i="36"/>
  <c r="H50" i="36"/>
  <c r="B52" i="36"/>
  <c r="C52" i="36"/>
  <c r="D52" i="36"/>
  <c r="E52" i="36"/>
  <c r="F52" i="36"/>
  <c r="G52" i="36"/>
  <c r="H52" i="36"/>
  <c r="B53" i="36"/>
  <c r="C53" i="36"/>
  <c r="D53" i="36"/>
  <c r="E53" i="36"/>
  <c r="F53" i="36"/>
  <c r="G53" i="36"/>
  <c r="H53" i="36"/>
  <c r="B54" i="36"/>
  <c r="C54" i="36"/>
  <c r="D54" i="36"/>
  <c r="E54" i="36"/>
  <c r="F54" i="36"/>
  <c r="G54" i="36"/>
  <c r="H54" i="36"/>
  <c r="B55" i="36"/>
  <c r="C55" i="36"/>
  <c r="D55" i="36"/>
  <c r="E55" i="36"/>
  <c r="F55" i="36"/>
  <c r="G55" i="36"/>
  <c r="H55" i="36"/>
  <c r="B57" i="36"/>
  <c r="C57" i="36"/>
  <c r="D57" i="36"/>
  <c r="E57" i="36"/>
  <c r="F57" i="36"/>
  <c r="G57" i="36"/>
  <c r="H57" i="36"/>
  <c r="B60" i="36"/>
  <c r="C60" i="36"/>
  <c r="D60" i="36"/>
  <c r="E60" i="36"/>
  <c r="F60" i="36"/>
  <c r="G60" i="36"/>
  <c r="H60" i="36"/>
  <c r="B62" i="36"/>
  <c r="C62" i="36"/>
  <c r="D62" i="36"/>
  <c r="E62" i="36"/>
  <c r="F62" i="36"/>
  <c r="G62" i="36"/>
  <c r="H62" i="36"/>
  <c r="B74" i="36"/>
  <c r="C74" i="36"/>
  <c r="B81" i="36"/>
  <c r="C81" i="36"/>
  <c r="B85" i="36"/>
  <c r="C85" i="36"/>
  <c r="B92" i="36"/>
  <c r="C92" i="36"/>
  <c r="B98" i="36"/>
  <c r="C98" i="36"/>
  <c r="B100" i="36"/>
  <c r="C100" i="36"/>
  <c r="B105" i="36"/>
  <c r="C105" i="36"/>
  <c r="A1" i="17"/>
  <c r="A2" i="17"/>
  <c r="A3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AE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D9" i="17"/>
  <c r="AE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AE10" i="17"/>
  <c r="AE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D12" i="17"/>
  <c r="AE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D13" i="17"/>
  <c r="AE13" i="17"/>
  <c r="AF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D14" i="17"/>
  <c r="AE14" i="17"/>
  <c r="AE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E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AE17" i="17"/>
  <c r="AE18" i="17"/>
  <c r="AE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D20" i="17"/>
  <c r="AE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D21" i="17"/>
  <c r="AE21" i="17"/>
  <c r="AF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D22" i="17"/>
  <c r="AE22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C28" i="17"/>
  <c r="G28" i="17"/>
  <c r="K28" i="17"/>
  <c r="O28" i="17"/>
  <c r="S28" i="17"/>
  <c r="W28" i="17"/>
  <c r="F29" i="17"/>
  <c r="J29" i="17"/>
  <c r="N29" i="17"/>
  <c r="R29" i="17"/>
  <c r="V29" i="17"/>
  <c r="Z29" i="17"/>
  <c r="F30" i="17"/>
  <c r="J30" i="17"/>
  <c r="N30" i="17"/>
  <c r="R30" i="17"/>
  <c r="V30" i="17"/>
  <c r="Z30" i="17"/>
  <c r="F31" i="17"/>
  <c r="J31" i="17"/>
  <c r="N31" i="17"/>
  <c r="R31" i="17"/>
  <c r="V31" i="17"/>
  <c r="Z31" i="17"/>
  <c r="F32" i="17"/>
  <c r="J32" i="17"/>
  <c r="N32" i="17"/>
  <c r="R32" i="17"/>
  <c r="V32" i="17"/>
  <c r="Z32" i="17"/>
  <c r="F33" i="17"/>
  <c r="J33" i="17"/>
  <c r="M33" i="17"/>
  <c r="R33" i="17"/>
  <c r="V33" i="17"/>
  <c r="Z33" i="17"/>
  <c r="C34" i="17"/>
  <c r="F34" i="17"/>
  <c r="G34" i="17"/>
  <c r="J34" i="17"/>
  <c r="K34" i="17"/>
  <c r="N34" i="17"/>
  <c r="O34" i="17"/>
  <c r="R34" i="17"/>
  <c r="S34" i="17"/>
  <c r="V34" i="17"/>
  <c r="W34" i="17"/>
  <c r="Z34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H37" i="17"/>
  <c r="AJ37" i="17"/>
  <c r="AL37" i="17"/>
  <c r="AN37" i="17"/>
  <c r="AP37" i="17"/>
  <c r="AR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G38" i="17"/>
  <c r="AH38" i="17"/>
  <c r="AJ38" i="17"/>
  <c r="AL38" i="17"/>
  <c r="AN38" i="17"/>
  <c r="AP38" i="17"/>
  <c r="AR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G39" i="17"/>
  <c r="AH39" i="17"/>
  <c r="AJ39" i="17"/>
  <c r="AL39" i="17"/>
  <c r="AN39" i="17"/>
  <c r="AP39" i="17"/>
  <c r="AR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G40" i="17"/>
  <c r="AH40" i="17"/>
  <c r="AJ40" i="17"/>
  <c r="AL40" i="17"/>
  <c r="AN40" i="17"/>
  <c r="AP40" i="17"/>
  <c r="AR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G41" i="17"/>
  <c r="AH41" i="17"/>
  <c r="AJ41" i="17"/>
  <c r="AL41" i="17"/>
  <c r="AN41" i="17"/>
  <c r="AP41" i="17"/>
  <c r="AR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G42" i="17"/>
  <c r="AH42" i="17"/>
  <c r="AJ42" i="17"/>
  <c r="AL42" i="17"/>
  <c r="AN42" i="17"/>
  <c r="AP42" i="17"/>
  <c r="AR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H43" i="17"/>
  <c r="AJ43" i="17"/>
  <c r="AL43" i="17"/>
  <c r="AN43" i="17"/>
  <c r="AP43" i="17"/>
  <c r="AR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H44" i="17"/>
  <c r="AJ44" i="17"/>
  <c r="AL44" i="17"/>
  <c r="AN44" i="17"/>
  <c r="AP44" i="17"/>
  <c r="AR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G45" i="17"/>
  <c r="AH45" i="17"/>
  <c r="AJ45" i="17"/>
  <c r="AL45" i="17"/>
  <c r="AN45" i="17"/>
  <c r="AP45" i="17"/>
  <c r="AR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G46" i="17"/>
  <c r="AH46" i="17"/>
  <c r="AJ46" i="17"/>
  <c r="AL46" i="17"/>
  <c r="AN46" i="17"/>
  <c r="AP46" i="17"/>
  <c r="AR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G47" i="17"/>
  <c r="AH47" i="17"/>
  <c r="AJ47" i="17"/>
  <c r="AL47" i="17"/>
  <c r="AN47" i="17"/>
  <c r="AP47" i="17"/>
  <c r="AR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G48" i="17"/>
  <c r="AH48" i="17"/>
  <c r="AJ48" i="17"/>
  <c r="AL48" i="17"/>
  <c r="AN48" i="17"/>
  <c r="AP48" i="17"/>
  <c r="AR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G49" i="17"/>
  <c r="AH49" i="17"/>
  <c r="AJ49" i="17"/>
  <c r="AL49" i="17"/>
  <c r="AN49" i="17"/>
  <c r="AP49" i="17"/>
  <c r="AR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G50" i="17"/>
  <c r="AH50" i="17"/>
  <c r="AJ50" i="17"/>
  <c r="AL50" i="17"/>
  <c r="AN50" i="17"/>
  <c r="AP50" i="17"/>
  <c r="AR50" i="17"/>
  <c r="A51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G51" i="17"/>
  <c r="AH51" i="17"/>
  <c r="AJ51" i="17"/>
  <c r="AL51" i="17"/>
  <c r="AN51" i="17"/>
  <c r="AP51" i="17"/>
  <c r="AR51" i="17"/>
  <c r="A52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G52" i="17"/>
  <c r="AH52" i="17"/>
  <c r="AJ52" i="17"/>
  <c r="AL52" i="17"/>
  <c r="AN52" i="17"/>
  <c r="AP52" i="17"/>
  <c r="AR52" i="17"/>
  <c r="A53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G53" i="17"/>
  <c r="AH53" i="17"/>
  <c r="AJ53" i="17"/>
  <c r="AL53" i="17"/>
  <c r="AN53" i="17"/>
  <c r="AP53" i="17"/>
  <c r="AR53" i="17"/>
  <c r="A54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G54" i="17"/>
  <c r="AH54" i="17"/>
  <c r="AJ54" i="17"/>
  <c r="AL54" i="17"/>
  <c r="AN54" i="17"/>
  <c r="AP54" i="17"/>
  <c r="AR54" i="17"/>
  <c r="A55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G55" i="17"/>
  <c r="AH55" i="17"/>
  <c r="AJ55" i="17"/>
  <c r="AL55" i="17"/>
  <c r="AN55" i="17"/>
  <c r="AP55" i="17"/>
  <c r="AR55" i="17"/>
  <c r="A56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G56" i="17"/>
  <c r="AH56" i="17"/>
  <c r="AJ56" i="17"/>
  <c r="AL56" i="17"/>
  <c r="AN56" i="17"/>
  <c r="AP56" i="17"/>
  <c r="AR56" i="17"/>
  <c r="A57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G57" i="17"/>
  <c r="AH57" i="17"/>
  <c r="AJ57" i="17"/>
  <c r="AL57" i="17"/>
  <c r="AN57" i="17"/>
  <c r="AP57" i="17"/>
  <c r="AR57" i="17"/>
  <c r="A58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H58" i="17"/>
  <c r="AJ58" i="17"/>
  <c r="AL58" i="17"/>
  <c r="AN58" i="17"/>
  <c r="AP58" i="17"/>
  <c r="AR58" i="17"/>
  <c r="A59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H59" i="17"/>
  <c r="AJ59" i="17"/>
  <c r="AL59" i="17"/>
  <c r="AN59" i="17"/>
  <c r="AP59" i="17"/>
  <c r="AR59" i="17"/>
  <c r="A60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H60" i="17"/>
  <c r="AJ60" i="17"/>
  <c r="AL60" i="17"/>
  <c r="AN60" i="17"/>
  <c r="AP60" i="17"/>
  <c r="AR60" i="17"/>
  <c r="A61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H61" i="17"/>
  <c r="AJ61" i="17"/>
  <c r="AL61" i="17"/>
  <c r="AN61" i="17"/>
  <c r="AP61" i="17"/>
  <c r="AR61" i="17"/>
  <c r="A62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H62" i="17"/>
  <c r="AJ62" i="17"/>
  <c r="AL62" i="17"/>
  <c r="AN62" i="17"/>
  <c r="AP62" i="17"/>
  <c r="AR62" i="17"/>
  <c r="A63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H63" i="17"/>
  <c r="AJ63" i="17"/>
  <c r="AL63" i="17"/>
  <c r="AN63" i="17"/>
  <c r="AP63" i="17"/>
  <c r="AR63" i="17"/>
  <c r="A64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G64" i="17"/>
  <c r="AH64" i="17"/>
  <c r="AJ64" i="17"/>
  <c r="AL64" i="17"/>
  <c r="AN64" i="17"/>
  <c r="AP64" i="17"/>
  <c r="AR64" i="17"/>
  <c r="A65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H65" i="17"/>
  <c r="AJ65" i="17"/>
  <c r="AL65" i="17"/>
  <c r="AN65" i="17"/>
  <c r="AP65" i="17"/>
  <c r="AR65" i="17"/>
  <c r="A66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H66" i="17"/>
  <c r="AJ66" i="17"/>
  <c r="AL66" i="17"/>
  <c r="AN66" i="17"/>
  <c r="AP66" i="17"/>
  <c r="AR66" i="17"/>
  <c r="A67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H67" i="17"/>
  <c r="AJ67" i="17"/>
  <c r="AL67" i="17"/>
  <c r="AN67" i="17"/>
  <c r="AP67" i="17"/>
  <c r="AR67" i="17"/>
  <c r="A68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H68" i="17"/>
  <c r="AJ68" i="17"/>
  <c r="AL68" i="17"/>
  <c r="AN68" i="17"/>
  <c r="AP68" i="17"/>
  <c r="AR68" i="17"/>
  <c r="A69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H69" i="17"/>
  <c r="AJ69" i="17"/>
  <c r="AL69" i="17"/>
  <c r="AN69" i="17"/>
  <c r="AP69" i="17"/>
  <c r="AR69" i="17"/>
  <c r="A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H70" i="17"/>
  <c r="AJ70" i="17"/>
  <c r="AL70" i="17"/>
  <c r="AN70" i="17"/>
  <c r="AP70" i="17"/>
  <c r="AR70" i="17"/>
  <c r="A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H71" i="17"/>
  <c r="AJ71" i="17"/>
  <c r="AL71" i="17"/>
  <c r="AN71" i="17"/>
  <c r="AP71" i="17"/>
  <c r="AR71" i="17"/>
  <c r="A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H72" i="17"/>
  <c r="AJ72" i="17"/>
  <c r="AL72" i="17"/>
  <c r="AN72" i="17"/>
  <c r="AP72" i="17"/>
  <c r="AR72" i="17"/>
  <c r="A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H73" i="17"/>
  <c r="AJ73" i="17"/>
  <c r="AL73" i="17"/>
  <c r="AN73" i="17"/>
  <c r="AP73" i="17"/>
  <c r="AR73" i="17"/>
  <c r="A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H74" i="17"/>
  <c r="AJ74" i="17"/>
  <c r="AL74" i="17"/>
  <c r="AN74" i="17"/>
  <c r="AP74" i="17"/>
  <c r="AR74" i="17"/>
  <c r="A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H75" i="17"/>
  <c r="AJ75" i="17"/>
  <c r="AL75" i="17"/>
  <c r="AN75" i="17"/>
  <c r="AP75" i="17"/>
  <c r="AR75" i="17"/>
  <c r="A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H76" i="17"/>
  <c r="AJ76" i="17"/>
  <c r="AL76" i="17"/>
  <c r="AN76" i="17"/>
  <c r="AP76" i="17"/>
  <c r="AR76" i="17"/>
  <c r="D77" i="17"/>
  <c r="E77" i="17"/>
  <c r="H77" i="17"/>
  <c r="I77" i="17"/>
  <c r="L77" i="17"/>
  <c r="M77" i="17"/>
  <c r="P77" i="17"/>
  <c r="Q77" i="17"/>
  <c r="T77" i="17"/>
  <c r="U77" i="17"/>
  <c r="X77" i="17"/>
  <c r="Y77" i="17"/>
  <c r="AA77" i="17"/>
  <c r="AB77" i="17"/>
  <c r="AC77" i="17"/>
  <c r="AD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1" i="19"/>
  <c r="A2" i="19"/>
  <c r="A3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E8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E9" i="19"/>
  <c r="AE10" i="19"/>
  <c r="AE11" i="19"/>
  <c r="D12" i="19"/>
  <c r="F12" i="19"/>
  <c r="H12" i="19"/>
  <c r="AE12" i="19"/>
  <c r="D13" i="19"/>
  <c r="F13" i="19"/>
  <c r="H13" i="19"/>
  <c r="AE13" i="19"/>
  <c r="D14" i="19"/>
  <c r="F14" i="19"/>
  <c r="H14" i="19"/>
  <c r="AE14" i="19"/>
  <c r="D15" i="19"/>
  <c r="F15" i="19"/>
  <c r="H15" i="19"/>
  <c r="AE15" i="19"/>
  <c r="D16" i="19"/>
  <c r="F16" i="19"/>
  <c r="H16" i="19"/>
  <c r="AE16" i="19"/>
  <c r="D17" i="19"/>
  <c r="F17" i="19"/>
  <c r="H17" i="19"/>
  <c r="AE17" i="19"/>
  <c r="D18" i="19"/>
  <c r="F18" i="19"/>
  <c r="H18" i="19"/>
  <c r="AE18" i="19"/>
  <c r="D19" i="19"/>
  <c r="F19" i="19"/>
  <c r="H19" i="19"/>
  <c r="AE19" i="19"/>
  <c r="AE20" i="19"/>
  <c r="AE21" i="19"/>
  <c r="AE22" i="19"/>
  <c r="AE23" i="19"/>
  <c r="C24" i="19"/>
  <c r="E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E24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E25" i="19"/>
  <c r="AE26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E27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E28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E29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E30" i="19"/>
  <c r="AE31" i="19"/>
  <c r="AE32" i="19"/>
  <c r="AE33" i="19"/>
  <c r="C34" i="19"/>
  <c r="E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E34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E35" i="19"/>
  <c r="AE36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E37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E38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E39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E40" i="19"/>
  <c r="AE41" i="19"/>
  <c r="AE42" i="19"/>
  <c r="AE43" i="19"/>
  <c r="C44" i="19"/>
  <c r="E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AE44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E45" i="19"/>
  <c r="AE46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E47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E48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E49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E50" i="19"/>
  <c r="A1" i="14"/>
  <c r="A2" i="14"/>
  <c r="A3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Q8" i="14"/>
  <c r="A9" i="14"/>
  <c r="C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P9" i="14"/>
  <c r="AQ9" i="14"/>
  <c r="A10" i="14"/>
  <c r="C10" i="14"/>
  <c r="AP10" i="14"/>
  <c r="AQ10" i="14"/>
  <c r="A11" i="14"/>
  <c r="C11" i="14"/>
  <c r="AP11" i="14"/>
  <c r="AQ11" i="14"/>
  <c r="A12" i="14"/>
  <c r="C12" i="14"/>
  <c r="AP12" i="14"/>
  <c r="AQ12" i="14"/>
  <c r="A13" i="14"/>
  <c r="C13" i="14"/>
  <c r="AP13" i="14"/>
  <c r="AQ13" i="14"/>
  <c r="A14" i="14"/>
  <c r="C14" i="14"/>
  <c r="AP14" i="14"/>
  <c r="AQ14" i="14"/>
  <c r="A15" i="14"/>
  <c r="C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P15" i="14"/>
  <c r="AQ15" i="14"/>
  <c r="AQ16" i="14"/>
  <c r="A17" i="14"/>
  <c r="C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P17" i="14"/>
  <c r="AQ17" i="14"/>
  <c r="A18" i="14"/>
  <c r="C18" i="14"/>
  <c r="AP18" i="14"/>
  <c r="AQ18" i="14"/>
  <c r="A19" i="14"/>
  <c r="C19" i="14"/>
  <c r="AP19" i="14"/>
  <c r="AQ19" i="14"/>
  <c r="A20" i="14"/>
  <c r="C20" i="14"/>
  <c r="AP20" i="14"/>
  <c r="AQ20" i="14"/>
  <c r="A21" i="14"/>
  <c r="C21" i="14"/>
  <c r="AP21" i="14"/>
  <c r="AQ21" i="14"/>
  <c r="A22" i="14"/>
  <c r="C22" i="14"/>
  <c r="AP22" i="14"/>
  <c r="AQ22" i="14"/>
  <c r="A23" i="14"/>
  <c r="C23" i="14"/>
  <c r="AP23" i="14"/>
  <c r="AQ23" i="14"/>
  <c r="A24" i="14"/>
  <c r="C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P24" i="14"/>
  <c r="AQ24" i="14"/>
  <c r="AQ25" i="14"/>
  <c r="A26" i="14"/>
  <c r="C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P26" i="14"/>
  <c r="AQ26" i="14"/>
  <c r="A27" i="14"/>
  <c r="C27" i="14"/>
  <c r="AF27" i="14"/>
  <c r="AP27" i="14"/>
  <c r="AQ27" i="14"/>
  <c r="A28" i="14"/>
  <c r="C28" i="14"/>
  <c r="AF28" i="14"/>
  <c r="AP28" i="14"/>
  <c r="AQ28" i="14"/>
  <c r="A29" i="14"/>
  <c r="C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AF29" i="14"/>
  <c r="AP29" i="14"/>
  <c r="AQ29" i="14"/>
  <c r="A30" i="14"/>
  <c r="C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AF30" i="14"/>
  <c r="AP30" i="14"/>
  <c r="AQ30" i="14"/>
  <c r="A31" i="14"/>
  <c r="C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P31" i="14"/>
  <c r="AQ31" i="14"/>
  <c r="AQ32" i="14"/>
  <c r="A33" i="14"/>
  <c r="C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AF33" i="14"/>
  <c r="AP33" i="14"/>
  <c r="AQ33" i="14"/>
  <c r="A34" i="14"/>
  <c r="C34" i="14"/>
  <c r="AP34" i="14"/>
  <c r="AQ34" i="14"/>
  <c r="A35" i="14"/>
  <c r="C35" i="14"/>
  <c r="AP35" i="14"/>
  <c r="AQ35" i="14"/>
  <c r="A36" i="14"/>
  <c r="C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P36" i="14"/>
  <c r="AQ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Q37" i="14"/>
  <c r="A38" i="14"/>
  <c r="C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K38" i="14"/>
  <c r="AP38" i="14"/>
  <c r="AQ38" i="14"/>
  <c r="A39" i="14"/>
  <c r="C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P39" i="14"/>
  <c r="AQ39" i="14"/>
  <c r="AQ40" i="14"/>
  <c r="A41" i="14"/>
  <c r="C41" i="14"/>
  <c r="AK41" i="14"/>
  <c r="AP41" i="14"/>
  <c r="AQ41" i="14"/>
  <c r="A42" i="14"/>
  <c r="C42" i="14"/>
  <c r="AH42" i="14"/>
  <c r="AP42" i="14"/>
  <c r="AQ42" i="14"/>
  <c r="A43" i="14"/>
  <c r="C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P43" i="14"/>
  <c r="AQ43" i="14"/>
  <c r="AQ44" i="14"/>
  <c r="C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P45" i="14"/>
  <c r="AQ45" i="14"/>
  <c r="C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P46" i="14"/>
  <c r="AQ46" i="14"/>
  <c r="AS46" i="14"/>
  <c r="AQ47" i="14"/>
  <c r="C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P48" i="14"/>
  <c r="AQ48" i="14"/>
  <c r="AQ49" i="14"/>
  <c r="AQ50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Q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Q52" i="14"/>
  <c r="AR52" i="14"/>
  <c r="AP53" i="14"/>
  <c r="AQ53" i="14"/>
  <c r="A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Q54" i="14"/>
  <c r="AR54" i="14"/>
  <c r="AQ55" i="14"/>
  <c r="A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P56" i="14"/>
  <c r="AQ56" i="14"/>
  <c r="A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Q57" i="14"/>
  <c r="AR57" i="14"/>
  <c r="AX57" i="14"/>
  <c r="AY57" i="14"/>
  <c r="AZ57" i="14"/>
  <c r="AQ58" i="14"/>
  <c r="AR58" i="14"/>
  <c r="AX58" i="14"/>
  <c r="C59" i="14"/>
  <c r="AQ59" i="14"/>
  <c r="AR59" i="14"/>
  <c r="AY59" i="14"/>
  <c r="AZ59" i="14"/>
  <c r="C60" i="14"/>
  <c r="AQ60" i="14"/>
  <c r="AR60" i="14"/>
  <c r="AT60" i="14"/>
  <c r="AX60" i="14"/>
  <c r="AY60" i="14"/>
  <c r="AZ60" i="14"/>
  <c r="C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Q61" i="14"/>
  <c r="AR61" i="14"/>
  <c r="AV61" i="14"/>
  <c r="AX61" i="14"/>
  <c r="AY61" i="14"/>
  <c r="AZ61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Q62" i="14"/>
  <c r="A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Q63" i="14"/>
  <c r="AR63" i="14"/>
  <c r="AX63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P64" i="14"/>
  <c r="AQ64" i="14"/>
  <c r="AR64" i="14"/>
  <c r="AX64" i="14"/>
  <c r="AY64" i="14"/>
  <c r="AZ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Q65" i="14"/>
  <c r="AR65" i="14"/>
  <c r="AX65" i="14"/>
  <c r="AY65" i="14"/>
  <c r="AZ65" i="14"/>
  <c r="AQ66" i="14"/>
  <c r="AR66" i="14"/>
  <c r="AV66" i="14"/>
  <c r="AX66" i="14"/>
  <c r="AY66" i="14"/>
  <c r="A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P67" i="14"/>
  <c r="AQ67" i="14"/>
  <c r="A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Q68" i="14"/>
  <c r="AR68" i="14"/>
  <c r="AV68" i="14"/>
  <c r="AW69" i="14"/>
  <c r="AD76" i="14"/>
  <c r="AD77" i="14"/>
  <c r="AD78" i="14"/>
  <c r="AD79" i="14"/>
  <c r="AD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D84" i="14"/>
  <c r="AD85" i="14"/>
  <c r="AD86" i="14"/>
  <c r="AD87" i="14"/>
  <c r="AD88" i="14"/>
  <c r="AD89" i="14"/>
  <c r="AD90" i="14"/>
  <c r="AD91" i="14"/>
  <c r="AD92" i="14"/>
  <c r="AD93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1" i="13"/>
  <c r="A2" i="13"/>
  <c r="A3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C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C60" i="13"/>
  <c r="D60" i="13"/>
  <c r="C61" i="13"/>
  <c r="D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1" i="33"/>
  <c r="A2" i="33"/>
  <c r="A3" i="33"/>
  <c r="C13" i="33"/>
  <c r="D13" i="33"/>
  <c r="E13" i="33"/>
  <c r="F13" i="33"/>
  <c r="H13" i="33"/>
  <c r="I13" i="33"/>
  <c r="J13" i="33"/>
  <c r="K13" i="33"/>
  <c r="L14" i="33"/>
  <c r="N14" i="33"/>
  <c r="O14" i="33"/>
  <c r="R14" i="33"/>
  <c r="S14" i="33"/>
  <c r="B15" i="33"/>
  <c r="L15" i="33"/>
  <c r="L16" i="33"/>
  <c r="L17" i="33"/>
  <c r="M17" i="33"/>
  <c r="Q17" i="33"/>
  <c r="L18" i="33"/>
  <c r="M18" i="33"/>
  <c r="N18" i="33"/>
  <c r="Q18" i="33"/>
  <c r="R18" i="33"/>
  <c r="B19" i="33"/>
  <c r="C19" i="33"/>
  <c r="D19" i="33"/>
  <c r="E19" i="33"/>
  <c r="F19" i="33"/>
  <c r="K19" i="33"/>
  <c r="L19" i="33"/>
  <c r="M19" i="33"/>
  <c r="N19" i="33"/>
  <c r="Q19" i="33"/>
  <c r="R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Q20" i="33"/>
  <c r="R20" i="33"/>
  <c r="S20" i="33"/>
  <c r="A21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Q21" i="33"/>
  <c r="R21" i="33"/>
  <c r="S21" i="33"/>
  <c r="A22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Q22" i="33"/>
  <c r="R22" i="33"/>
  <c r="S22" i="33"/>
  <c r="A23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Q23" i="33"/>
  <c r="R23" i="33"/>
  <c r="S23" i="33"/>
  <c r="A24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Q24" i="33"/>
  <c r="R24" i="33"/>
  <c r="S24" i="33"/>
  <c r="A25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Q25" i="33"/>
  <c r="R25" i="33"/>
  <c r="S25" i="33"/>
  <c r="A26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Q26" i="33"/>
  <c r="R26" i="33"/>
  <c r="S26" i="33"/>
  <c r="A27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Q27" i="33"/>
  <c r="R27" i="33"/>
  <c r="S27" i="33"/>
  <c r="A28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Q28" i="33"/>
  <c r="R28" i="33"/>
  <c r="S28" i="33"/>
  <c r="A29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Q29" i="33"/>
  <c r="R29" i="33"/>
  <c r="S29" i="33"/>
  <c r="A30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Q30" i="33"/>
  <c r="R30" i="33"/>
  <c r="S30" i="33"/>
  <c r="A31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Q31" i="33"/>
  <c r="R31" i="33"/>
  <c r="S31" i="33"/>
  <c r="A32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Q32" i="33"/>
  <c r="R32" i="33"/>
  <c r="S32" i="33"/>
  <c r="A33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Q33" i="33"/>
  <c r="R33" i="33"/>
  <c r="S33" i="33"/>
  <c r="A34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Q34" i="33"/>
  <c r="R34" i="33"/>
  <c r="S34" i="33"/>
  <c r="A35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Q35" i="33"/>
  <c r="R35" i="33"/>
  <c r="S35" i="33"/>
  <c r="A36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Q36" i="33"/>
  <c r="R36" i="33"/>
  <c r="S36" i="33"/>
  <c r="A37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Q37" i="33"/>
  <c r="R37" i="33"/>
  <c r="S37" i="33"/>
  <c r="A38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Q38" i="33"/>
  <c r="R38" i="33"/>
  <c r="S38" i="33"/>
  <c r="A39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Q39" i="33"/>
  <c r="R39" i="33"/>
  <c r="S39" i="33"/>
  <c r="A40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Q40" i="33"/>
  <c r="R40" i="33"/>
  <c r="S40" i="33"/>
  <c r="A41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Q41" i="33"/>
  <c r="R41" i="33"/>
  <c r="S41" i="33"/>
  <c r="A42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Q42" i="33"/>
  <c r="R42" i="33"/>
  <c r="S42" i="33"/>
  <c r="A43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Q43" i="33"/>
  <c r="R43" i="33"/>
  <c r="S43" i="33"/>
  <c r="A44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Q44" i="33"/>
  <c r="R44" i="33"/>
  <c r="S44" i="33"/>
  <c r="A45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Q45" i="33"/>
  <c r="R45" i="33"/>
  <c r="S45" i="33"/>
  <c r="A46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Q46" i="33"/>
  <c r="R46" i="33"/>
  <c r="S46" i="33"/>
  <c r="A47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Q47" i="33"/>
  <c r="R47" i="33"/>
  <c r="S47" i="33"/>
  <c r="A48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Q48" i="33"/>
  <c r="R48" i="33"/>
  <c r="S48" i="33"/>
  <c r="A49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Q49" i="33"/>
  <c r="R49" i="33"/>
  <c r="S49" i="33"/>
  <c r="A50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Q50" i="33"/>
  <c r="R50" i="33"/>
  <c r="S50" i="33"/>
  <c r="A51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Q51" i="33"/>
  <c r="R51" i="33"/>
  <c r="S51" i="33"/>
  <c r="A52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Q52" i="33"/>
  <c r="R52" i="33"/>
  <c r="S52" i="33"/>
  <c r="A53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Q53" i="33"/>
  <c r="R53" i="33"/>
  <c r="S53" i="33"/>
  <c r="A54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Q54" i="33"/>
  <c r="R54" i="33"/>
  <c r="S54" i="33"/>
  <c r="A55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Q55" i="33"/>
  <c r="R55" i="33"/>
  <c r="S55" i="33"/>
  <c r="A56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Q56" i="33"/>
  <c r="R56" i="33"/>
  <c r="S56" i="33"/>
  <c r="A57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Q57" i="33"/>
  <c r="R57" i="33"/>
  <c r="S57" i="33"/>
  <c r="A58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Q58" i="33"/>
  <c r="R58" i="33"/>
  <c r="S58" i="33"/>
  <c r="A59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Q59" i="33"/>
  <c r="R59" i="33"/>
  <c r="S59" i="33"/>
  <c r="A60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Q60" i="33"/>
  <c r="R60" i="33"/>
  <c r="S60" i="33"/>
  <c r="A61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Q61" i="33"/>
  <c r="R61" i="33"/>
  <c r="S61" i="33"/>
  <c r="A62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Q62" i="33"/>
  <c r="R62" i="33"/>
  <c r="S62" i="33"/>
  <c r="A63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Q63" i="33"/>
  <c r="R63" i="33"/>
  <c r="S63" i="33"/>
  <c r="A64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Q64" i="33"/>
  <c r="R64" i="33"/>
  <c r="S64" i="33"/>
  <c r="A65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Q65" i="33"/>
  <c r="R65" i="33"/>
  <c r="S65" i="33"/>
  <c r="A66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Q66" i="33"/>
  <c r="R66" i="33"/>
  <c r="S66" i="33"/>
  <c r="A67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Q67" i="33"/>
  <c r="R67" i="33"/>
  <c r="S67" i="33"/>
  <c r="A68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Q68" i="33"/>
  <c r="R68" i="33"/>
  <c r="S68" i="33"/>
  <c r="A69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Q69" i="33"/>
  <c r="R69" i="33"/>
  <c r="S69" i="33"/>
  <c r="A70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Q70" i="33"/>
  <c r="R70" i="33"/>
  <c r="S70" i="33"/>
  <c r="A71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Q71" i="33"/>
  <c r="R71" i="33"/>
  <c r="S71" i="33"/>
  <c r="A72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Q72" i="33"/>
  <c r="R72" i="33"/>
  <c r="S72" i="33"/>
  <c r="A73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Q73" i="33"/>
  <c r="R73" i="33"/>
  <c r="S73" i="33"/>
  <c r="A74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Q74" i="33"/>
  <c r="R74" i="33"/>
  <c r="S74" i="33"/>
  <c r="A75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Q75" i="33"/>
  <c r="R75" i="33"/>
  <c r="S75" i="33"/>
  <c r="A76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Q76" i="33"/>
  <c r="R76" i="33"/>
  <c r="S76" i="33"/>
  <c r="A77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Q77" i="33"/>
  <c r="R77" i="33"/>
  <c r="S77" i="33"/>
  <c r="A78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Q78" i="33"/>
  <c r="R78" i="33"/>
  <c r="S78" i="33"/>
  <c r="A79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Q79" i="33"/>
  <c r="R79" i="33"/>
  <c r="S79" i="33"/>
  <c r="A80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Q80" i="33"/>
  <c r="R80" i="33"/>
  <c r="S80" i="33"/>
  <c r="A81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Q81" i="33"/>
  <c r="R81" i="33"/>
  <c r="S81" i="33"/>
  <c r="A82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Q82" i="33"/>
  <c r="R82" i="33"/>
  <c r="S82" i="33"/>
  <c r="A83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Q83" i="33"/>
  <c r="R83" i="33"/>
  <c r="S83" i="33"/>
  <c r="A84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Q84" i="33"/>
  <c r="R84" i="33"/>
  <c r="S84" i="33"/>
  <c r="A85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Q85" i="33"/>
  <c r="R85" i="33"/>
  <c r="S85" i="33"/>
  <c r="A86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Q86" i="33"/>
  <c r="R86" i="33"/>
  <c r="S86" i="33"/>
  <c r="A87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Q87" i="33"/>
  <c r="R87" i="33"/>
  <c r="S87" i="33"/>
  <c r="A88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Q88" i="33"/>
  <c r="R88" i="33"/>
  <c r="S88" i="33"/>
  <c r="A89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Q89" i="33"/>
  <c r="R89" i="33"/>
  <c r="S89" i="33"/>
  <c r="A90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Q90" i="33"/>
  <c r="R90" i="33"/>
  <c r="S90" i="33"/>
  <c r="A91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Q91" i="33"/>
  <c r="R91" i="33"/>
  <c r="S91" i="33"/>
  <c r="A92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Q92" i="33"/>
  <c r="R92" i="33"/>
  <c r="S92" i="33"/>
  <c r="A93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Q93" i="33"/>
  <c r="R93" i="33"/>
  <c r="S93" i="33"/>
  <c r="A94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Q94" i="33"/>
  <c r="R94" i="33"/>
  <c r="S94" i="33"/>
  <c r="A95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Q95" i="33"/>
  <c r="R95" i="33"/>
  <c r="S95" i="33"/>
  <c r="A96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Q96" i="33"/>
  <c r="R96" i="33"/>
  <c r="S96" i="33"/>
  <c r="A97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Q97" i="33"/>
  <c r="R97" i="33"/>
  <c r="S97" i="33"/>
  <c r="A98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Q98" i="33"/>
  <c r="R98" i="33"/>
  <c r="S98" i="33"/>
  <c r="A99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Q99" i="33"/>
  <c r="R99" i="33"/>
  <c r="S99" i="33"/>
  <c r="A100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Q100" i="33"/>
  <c r="R100" i="33"/>
  <c r="S100" i="33"/>
  <c r="A101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Q101" i="33"/>
  <c r="R101" i="33"/>
  <c r="S101" i="33"/>
  <c r="A102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Q102" i="33"/>
  <c r="R102" i="33"/>
  <c r="S102" i="33"/>
  <c r="A103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Q103" i="33"/>
  <c r="R103" i="33"/>
  <c r="S103" i="33"/>
  <c r="A104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O104" i="33"/>
  <c r="Q104" i="33"/>
  <c r="R104" i="33"/>
  <c r="S104" i="33"/>
  <c r="A105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O105" i="33"/>
  <c r="Q105" i="33"/>
  <c r="R105" i="33"/>
  <c r="S105" i="33"/>
  <c r="A106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O106" i="33"/>
  <c r="Q106" i="33"/>
  <c r="R106" i="33"/>
  <c r="S106" i="33"/>
  <c r="A107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Q107" i="33"/>
  <c r="R107" i="33"/>
  <c r="S107" i="33"/>
  <c r="A108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Q108" i="33"/>
  <c r="R108" i="33"/>
  <c r="S108" i="33"/>
  <c r="A109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Q109" i="33"/>
  <c r="R109" i="33"/>
  <c r="S109" i="33"/>
  <c r="A110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Q110" i="33"/>
  <c r="R110" i="33"/>
  <c r="S110" i="33"/>
  <c r="A111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O111" i="33"/>
  <c r="Q111" i="33"/>
  <c r="R111" i="33"/>
  <c r="S111" i="33"/>
  <c r="A112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O112" i="33"/>
  <c r="Q112" i="33"/>
  <c r="R112" i="33"/>
  <c r="S112" i="33"/>
  <c r="A113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O113" i="33"/>
  <c r="Q113" i="33"/>
  <c r="R113" i="33"/>
  <c r="S113" i="33"/>
  <c r="A114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O114" i="33"/>
  <c r="Q114" i="33"/>
  <c r="R114" i="33"/>
  <c r="S114" i="33"/>
  <c r="A115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O115" i="33"/>
  <c r="Q115" i="33"/>
  <c r="R115" i="33"/>
  <c r="S115" i="33"/>
  <c r="A116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O116" i="33"/>
  <c r="Q116" i="33"/>
  <c r="R116" i="33"/>
  <c r="S116" i="33"/>
  <c r="A117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O117" i="33"/>
  <c r="Q117" i="33"/>
  <c r="R117" i="33"/>
  <c r="S117" i="33"/>
  <c r="A118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O118" i="33"/>
  <c r="Q118" i="33"/>
  <c r="R118" i="33"/>
  <c r="S118" i="33"/>
  <c r="A119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O119" i="33"/>
  <c r="Q119" i="33"/>
  <c r="R119" i="33"/>
  <c r="S119" i="33"/>
  <c r="A120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O120" i="33"/>
  <c r="Q120" i="33"/>
  <c r="R120" i="33"/>
  <c r="S120" i="33"/>
  <c r="A121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O121" i="33"/>
  <c r="Q121" i="33"/>
  <c r="R121" i="33"/>
  <c r="S121" i="33"/>
  <c r="A122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O122" i="33"/>
  <c r="Q122" i="33"/>
  <c r="R122" i="33"/>
  <c r="S122" i="33"/>
  <c r="A123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O123" i="33"/>
  <c r="Q123" i="33"/>
  <c r="R123" i="33"/>
  <c r="S123" i="33"/>
  <c r="A124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O124" i="33"/>
  <c r="Q124" i="33"/>
  <c r="R124" i="33"/>
  <c r="S124" i="33"/>
  <c r="A125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O125" i="33"/>
  <c r="Q125" i="33"/>
  <c r="R125" i="33"/>
  <c r="S125" i="33"/>
  <c r="A126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O126" i="33"/>
  <c r="Q126" i="33"/>
  <c r="R126" i="33"/>
  <c r="S126" i="33"/>
  <c r="A127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O127" i="33"/>
  <c r="Q127" i="33"/>
  <c r="R127" i="33"/>
  <c r="S127" i="33"/>
  <c r="A128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O128" i="33"/>
  <c r="Q128" i="33"/>
  <c r="R128" i="33"/>
  <c r="S128" i="33"/>
  <c r="A129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O129" i="33"/>
  <c r="Q129" i="33"/>
  <c r="R129" i="33"/>
  <c r="S129" i="33"/>
  <c r="A130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O130" i="33"/>
  <c r="Q130" i="33"/>
  <c r="R130" i="33"/>
  <c r="S130" i="33"/>
  <c r="A131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O131" i="33"/>
  <c r="Q131" i="33"/>
  <c r="R131" i="33"/>
  <c r="S131" i="33"/>
  <c r="A132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O132" i="33"/>
  <c r="Q132" i="33"/>
  <c r="R132" i="33"/>
  <c r="S132" i="33"/>
  <c r="A133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O133" i="33"/>
  <c r="Q133" i="33"/>
  <c r="R133" i="33"/>
  <c r="S133" i="33"/>
  <c r="A134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O134" i="33"/>
  <c r="Q134" i="33"/>
  <c r="R134" i="33"/>
  <c r="S134" i="33"/>
  <c r="A135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O135" i="33"/>
  <c r="Q135" i="33"/>
  <c r="R135" i="33"/>
  <c r="S135" i="33"/>
  <c r="A136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O136" i="33"/>
  <c r="Q136" i="33"/>
  <c r="R136" i="33"/>
  <c r="S136" i="33"/>
  <c r="A137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O137" i="33"/>
  <c r="Q137" i="33"/>
  <c r="R137" i="33"/>
  <c r="S137" i="33"/>
  <c r="A138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O138" i="33"/>
  <c r="Q138" i="33"/>
  <c r="R138" i="33"/>
  <c r="S138" i="33"/>
  <c r="A139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O139" i="33"/>
  <c r="Q139" i="33"/>
  <c r="R139" i="33"/>
  <c r="S139" i="33"/>
  <c r="A140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O140" i="33"/>
  <c r="Q140" i="33"/>
  <c r="R140" i="33"/>
  <c r="S140" i="33"/>
  <c r="A141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Q141" i="33"/>
  <c r="R141" i="33"/>
  <c r="S141" i="33"/>
  <c r="A142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Q142" i="33"/>
  <c r="R142" i="33"/>
  <c r="S142" i="33"/>
  <c r="A143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Q143" i="33"/>
  <c r="R143" i="33"/>
  <c r="S143" i="33"/>
  <c r="A144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O144" i="33"/>
  <c r="Q144" i="33"/>
  <c r="R144" i="33"/>
  <c r="S144" i="33"/>
  <c r="A145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O145" i="33"/>
  <c r="Q145" i="33"/>
  <c r="R145" i="33"/>
  <c r="S145" i="33"/>
  <c r="A146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O146" i="33"/>
  <c r="Q146" i="33"/>
  <c r="R146" i="33"/>
  <c r="S146" i="33"/>
  <c r="A147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O147" i="33"/>
  <c r="Q147" i="33"/>
  <c r="R147" i="33"/>
  <c r="S147" i="33"/>
  <c r="A148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O148" i="33"/>
  <c r="Q148" i="33"/>
  <c r="R148" i="33"/>
  <c r="S148" i="33"/>
  <c r="A149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O149" i="33"/>
  <c r="Q149" i="33"/>
  <c r="R149" i="33"/>
  <c r="S149" i="33"/>
  <c r="A150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O150" i="33"/>
  <c r="Q150" i="33"/>
  <c r="R150" i="33"/>
  <c r="S150" i="33"/>
  <c r="A151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O151" i="33"/>
  <c r="Q151" i="33"/>
  <c r="R151" i="33"/>
  <c r="S151" i="33"/>
  <c r="A152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O152" i="33"/>
  <c r="Q152" i="33"/>
  <c r="R152" i="33"/>
  <c r="S152" i="33"/>
  <c r="A153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O153" i="33"/>
  <c r="Q153" i="33"/>
  <c r="R153" i="33"/>
  <c r="S153" i="33"/>
  <c r="A154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Q154" i="33"/>
  <c r="R154" i="33"/>
  <c r="S154" i="33"/>
  <c r="A155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Q155" i="33"/>
  <c r="R155" i="33"/>
  <c r="S155" i="33"/>
  <c r="A156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Q156" i="33"/>
  <c r="R156" i="33"/>
  <c r="S156" i="33"/>
  <c r="A157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O157" i="33"/>
  <c r="Q157" i="33"/>
  <c r="R157" i="33"/>
  <c r="S157" i="33"/>
  <c r="A158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O158" i="33"/>
  <c r="Q158" i="33"/>
  <c r="R158" i="33"/>
  <c r="S158" i="33"/>
  <c r="A159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O159" i="33"/>
  <c r="Q159" i="33"/>
  <c r="R159" i="33"/>
  <c r="S159" i="33"/>
  <c r="A160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Q160" i="33"/>
  <c r="R160" i="33"/>
  <c r="S160" i="33"/>
  <c r="A161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O161" i="33"/>
  <c r="Q161" i="33"/>
  <c r="R161" i="33"/>
  <c r="S161" i="33"/>
  <c r="A162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Q162" i="33"/>
  <c r="R162" i="33"/>
  <c r="S162" i="33"/>
  <c r="A163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O163" i="33"/>
  <c r="Q163" i="33"/>
  <c r="R163" i="33"/>
  <c r="S163" i="33"/>
  <c r="A164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O164" i="33"/>
  <c r="Q164" i="33"/>
  <c r="R164" i="33"/>
  <c r="S164" i="33"/>
  <c r="A165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O165" i="33"/>
  <c r="Q165" i="33"/>
  <c r="R165" i="33"/>
  <c r="S165" i="33"/>
  <c r="A166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O166" i="33"/>
  <c r="Q166" i="33"/>
  <c r="R166" i="33"/>
  <c r="S166" i="33"/>
  <c r="A167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O167" i="33"/>
  <c r="Q167" i="33"/>
  <c r="R167" i="33"/>
  <c r="S167" i="33"/>
  <c r="A168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O168" i="33"/>
  <c r="Q168" i="33"/>
  <c r="R168" i="33"/>
  <c r="S168" i="33"/>
  <c r="A169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O169" i="33"/>
  <c r="Q169" i="33"/>
  <c r="R169" i="33"/>
  <c r="S169" i="33"/>
  <c r="A170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O170" i="33"/>
  <c r="Q170" i="33"/>
  <c r="R170" i="33"/>
  <c r="S170" i="33"/>
  <c r="A171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O171" i="33"/>
  <c r="Q171" i="33"/>
  <c r="R171" i="33"/>
  <c r="S171" i="33"/>
  <c r="A172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O172" i="33"/>
  <c r="Q172" i="33"/>
  <c r="R172" i="33"/>
  <c r="S172" i="33"/>
  <c r="A173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O173" i="33"/>
  <c r="Q173" i="33"/>
  <c r="R173" i="33"/>
  <c r="S173" i="33"/>
  <c r="A174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Q174" i="33"/>
  <c r="R174" i="33"/>
  <c r="S174" i="33"/>
  <c r="A175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Q175" i="33"/>
  <c r="R175" i="33"/>
  <c r="S175" i="33"/>
  <c r="A176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Q176" i="33"/>
  <c r="R176" i="33"/>
  <c r="S176" i="33"/>
  <c r="A177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O177" i="33"/>
  <c r="Q177" i="33"/>
  <c r="R177" i="33"/>
  <c r="S177" i="33"/>
  <c r="A178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O178" i="33"/>
  <c r="Q178" i="33"/>
  <c r="R178" i="33"/>
  <c r="S178" i="33"/>
  <c r="A179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O179" i="33"/>
  <c r="Q179" i="33"/>
  <c r="R179" i="33"/>
  <c r="S179" i="33"/>
  <c r="A180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O180" i="33"/>
  <c r="Q180" i="33"/>
  <c r="R180" i="33"/>
  <c r="S180" i="33"/>
  <c r="A181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O181" i="33"/>
  <c r="Q181" i="33"/>
  <c r="R181" i="33"/>
  <c r="S181" i="33"/>
  <c r="A182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O182" i="33"/>
  <c r="Q182" i="33"/>
  <c r="R182" i="33"/>
  <c r="S182" i="33"/>
  <c r="A183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O183" i="33"/>
  <c r="Q183" i="33"/>
  <c r="R183" i="33"/>
  <c r="S183" i="33"/>
  <c r="A184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O184" i="33"/>
  <c r="Q184" i="33"/>
  <c r="R184" i="33"/>
  <c r="S184" i="33"/>
  <c r="A185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O185" i="33"/>
  <c r="Q185" i="33"/>
  <c r="R185" i="33"/>
  <c r="S185" i="33"/>
  <c r="A186" i="33"/>
  <c r="B186" i="33"/>
  <c r="C186" i="33"/>
  <c r="D186" i="33"/>
  <c r="E186" i="33"/>
  <c r="F186" i="33"/>
  <c r="G186" i="33"/>
  <c r="H186" i="33"/>
  <c r="I186" i="33"/>
  <c r="J186" i="33"/>
  <c r="K186" i="33"/>
  <c r="L186" i="33"/>
  <c r="M186" i="33"/>
  <c r="N186" i="33"/>
  <c r="O186" i="33"/>
  <c r="Q186" i="33"/>
  <c r="R186" i="33"/>
  <c r="S186" i="33"/>
  <c r="A187" i="33"/>
  <c r="B187" i="33"/>
  <c r="C187" i="33"/>
  <c r="D187" i="33"/>
  <c r="E187" i="33"/>
  <c r="F187" i="33"/>
  <c r="G187" i="33"/>
  <c r="H187" i="33"/>
  <c r="I187" i="33"/>
  <c r="J187" i="33"/>
  <c r="K187" i="33"/>
  <c r="L187" i="33"/>
  <c r="M187" i="33"/>
  <c r="N187" i="33"/>
  <c r="O187" i="33"/>
  <c r="Q187" i="33"/>
  <c r="R187" i="33"/>
  <c r="S187" i="33"/>
  <c r="A188" i="33"/>
  <c r="B188" i="33"/>
  <c r="C188" i="33"/>
  <c r="D188" i="33"/>
  <c r="E188" i="33"/>
  <c r="F188" i="33"/>
  <c r="G188" i="33"/>
  <c r="H188" i="33"/>
  <c r="I188" i="33"/>
  <c r="J188" i="33"/>
  <c r="K188" i="33"/>
  <c r="L188" i="33"/>
  <c r="M188" i="33"/>
  <c r="N188" i="33"/>
  <c r="O188" i="33"/>
  <c r="Q188" i="33"/>
  <c r="R188" i="33"/>
  <c r="S188" i="33"/>
  <c r="A189" i="33"/>
  <c r="B189" i="33"/>
  <c r="C189" i="33"/>
  <c r="D189" i="33"/>
  <c r="E189" i="33"/>
  <c r="F189" i="33"/>
  <c r="G189" i="33"/>
  <c r="H189" i="33"/>
  <c r="I189" i="33"/>
  <c r="J189" i="33"/>
  <c r="K189" i="33"/>
  <c r="L189" i="33"/>
  <c r="M189" i="33"/>
  <c r="N189" i="33"/>
  <c r="O189" i="33"/>
  <c r="Q189" i="33"/>
  <c r="R189" i="33"/>
  <c r="S189" i="33"/>
  <c r="A190" i="33"/>
  <c r="B190" i="33"/>
  <c r="C190" i="33"/>
  <c r="D190" i="33"/>
  <c r="E190" i="33"/>
  <c r="F190" i="33"/>
  <c r="G190" i="33"/>
  <c r="H190" i="33"/>
  <c r="I190" i="33"/>
  <c r="J190" i="33"/>
  <c r="K190" i="33"/>
  <c r="L190" i="33"/>
  <c r="M190" i="33"/>
  <c r="N190" i="33"/>
  <c r="O190" i="33"/>
  <c r="Q190" i="33"/>
  <c r="R190" i="33"/>
  <c r="S190" i="33"/>
  <c r="A191" i="33"/>
  <c r="B191" i="33"/>
  <c r="C191" i="33"/>
  <c r="D191" i="33"/>
  <c r="E191" i="33"/>
  <c r="F191" i="33"/>
  <c r="G191" i="33"/>
  <c r="H191" i="33"/>
  <c r="I191" i="33"/>
  <c r="J191" i="33"/>
  <c r="K191" i="33"/>
  <c r="L191" i="33"/>
  <c r="M191" i="33"/>
  <c r="N191" i="33"/>
  <c r="O191" i="33"/>
  <c r="Q191" i="33"/>
  <c r="R191" i="33"/>
  <c r="S191" i="33"/>
  <c r="A192" i="33"/>
  <c r="B192" i="33"/>
  <c r="C192" i="33"/>
  <c r="D192" i="33"/>
  <c r="E192" i="33"/>
  <c r="F192" i="33"/>
  <c r="G192" i="33"/>
  <c r="H192" i="33"/>
  <c r="I192" i="33"/>
  <c r="J192" i="33"/>
  <c r="K192" i="33"/>
  <c r="L192" i="33"/>
  <c r="M192" i="33"/>
  <c r="N192" i="33"/>
  <c r="O192" i="33"/>
  <c r="Q192" i="33"/>
  <c r="R192" i="33"/>
  <c r="S192" i="33"/>
  <c r="A193" i="33"/>
  <c r="B193" i="33"/>
  <c r="C193" i="33"/>
  <c r="D193" i="33"/>
  <c r="E193" i="33"/>
  <c r="F193" i="33"/>
  <c r="G193" i="33"/>
  <c r="H193" i="33"/>
  <c r="I193" i="33"/>
  <c r="J193" i="33"/>
  <c r="K193" i="33"/>
  <c r="L193" i="33"/>
  <c r="M193" i="33"/>
  <c r="N193" i="33"/>
  <c r="O193" i="33"/>
  <c r="Q193" i="33"/>
  <c r="R193" i="33"/>
  <c r="S193" i="33"/>
  <c r="A194" i="33"/>
  <c r="B194" i="33"/>
  <c r="C194" i="33"/>
  <c r="D194" i="33"/>
  <c r="E194" i="33"/>
  <c r="F194" i="33"/>
  <c r="G194" i="33"/>
  <c r="H194" i="33"/>
  <c r="I194" i="33"/>
  <c r="J194" i="33"/>
  <c r="K194" i="33"/>
  <c r="L194" i="33"/>
  <c r="M194" i="33"/>
  <c r="N194" i="33"/>
  <c r="O194" i="33"/>
  <c r="Q194" i="33"/>
  <c r="R194" i="33"/>
  <c r="S194" i="33"/>
  <c r="A195" i="33"/>
  <c r="B195" i="33"/>
  <c r="C195" i="33"/>
  <c r="D195" i="33"/>
  <c r="E195" i="33"/>
  <c r="F195" i="33"/>
  <c r="G195" i="33"/>
  <c r="H195" i="33"/>
  <c r="I195" i="33"/>
  <c r="J195" i="33"/>
  <c r="K195" i="33"/>
  <c r="L195" i="33"/>
  <c r="M195" i="33"/>
  <c r="N195" i="33"/>
  <c r="O195" i="33"/>
  <c r="Q195" i="33"/>
  <c r="R195" i="33"/>
  <c r="S195" i="33"/>
  <c r="A196" i="33"/>
  <c r="B196" i="33"/>
  <c r="C196" i="33"/>
  <c r="D196" i="33"/>
  <c r="E196" i="33"/>
  <c r="F196" i="33"/>
  <c r="G196" i="33"/>
  <c r="H196" i="33"/>
  <c r="I196" i="33"/>
  <c r="J196" i="33"/>
  <c r="K196" i="33"/>
  <c r="L196" i="33"/>
  <c r="M196" i="33"/>
  <c r="N196" i="33"/>
  <c r="O196" i="33"/>
  <c r="Q196" i="33"/>
  <c r="R196" i="33"/>
  <c r="S196" i="33"/>
  <c r="A197" i="33"/>
  <c r="B197" i="33"/>
  <c r="C197" i="33"/>
  <c r="D197" i="33"/>
  <c r="E197" i="33"/>
  <c r="F197" i="33"/>
  <c r="G197" i="33"/>
  <c r="H197" i="33"/>
  <c r="I197" i="33"/>
  <c r="J197" i="33"/>
  <c r="K197" i="33"/>
  <c r="L197" i="33"/>
  <c r="M197" i="33"/>
  <c r="N197" i="33"/>
  <c r="O197" i="33"/>
  <c r="Q197" i="33"/>
  <c r="R197" i="33"/>
  <c r="S197" i="33"/>
  <c r="A198" i="33"/>
  <c r="B198" i="33"/>
  <c r="C198" i="33"/>
  <c r="D198" i="33"/>
  <c r="E198" i="33"/>
  <c r="F198" i="33"/>
  <c r="G198" i="33"/>
  <c r="H198" i="33"/>
  <c r="I198" i="33"/>
  <c r="J198" i="33"/>
  <c r="K198" i="33"/>
  <c r="L198" i="33"/>
  <c r="M198" i="33"/>
  <c r="N198" i="33"/>
  <c r="O198" i="33"/>
  <c r="Q198" i="33"/>
  <c r="R198" i="33"/>
  <c r="S198" i="33"/>
  <c r="A199" i="33"/>
  <c r="B199" i="33"/>
  <c r="C199" i="33"/>
  <c r="D199" i="33"/>
  <c r="E199" i="33"/>
  <c r="F199" i="33"/>
  <c r="G199" i="33"/>
  <c r="H199" i="33"/>
  <c r="I199" i="33"/>
  <c r="J199" i="33"/>
  <c r="K199" i="33"/>
  <c r="L199" i="33"/>
  <c r="M199" i="33"/>
  <c r="N199" i="33"/>
  <c r="O199" i="33"/>
  <c r="Q199" i="33"/>
  <c r="R199" i="33"/>
  <c r="S199" i="33"/>
  <c r="A200" i="33"/>
  <c r="B200" i="33"/>
  <c r="C200" i="33"/>
  <c r="D200" i="33"/>
  <c r="E200" i="33"/>
  <c r="F200" i="33"/>
  <c r="G200" i="33"/>
  <c r="H200" i="33"/>
  <c r="I200" i="33"/>
  <c r="J200" i="33"/>
  <c r="K200" i="33"/>
  <c r="L200" i="33"/>
  <c r="M200" i="33"/>
  <c r="N200" i="33"/>
  <c r="O200" i="33"/>
  <c r="Q200" i="33"/>
  <c r="R200" i="33"/>
  <c r="S200" i="33"/>
  <c r="A201" i="33"/>
  <c r="B201" i="33"/>
  <c r="C201" i="33"/>
  <c r="D201" i="33"/>
  <c r="E201" i="33"/>
  <c r="F201" i="33"/>
  <c r="G201" i="33"/>
  <c r="H201" i="33"/>
  <c r="I201" i="33"/>
  <c r="J201" i="33"/>
  <c r="K201" i="33"/>
  <c r="L201" i="33"/>
  <c r="M201" i="33"/>
  <c r="N201" i="33"/>
  <c r="O201" i="33"/>
  <c r="Q201" i="33"/>
  <c r="R201" i="33"/>
  <c r="S201" i="33"/>
  <c r="A202" i="33"/>
  <c r="B202" i="33"/>
  <c r="C202" i="33"/>
  <c r="D202" i="33"/>
  <c r="E202" i="33"/>
  <c r="F202" i="33"/>
  <c r="G202" i="33"/>
  <c r="H202" i="33"/>
  <c r="I202" i="33"/>
  <c r="J202" i="33"/>
  <c r="K202" i="33"/>
  <c r="L202" i="33"/>
  <c r="M202" i="33"/>
  <c r="N202" i="33"/>
  <c r="O202" i="33"/>
  <c r="Q202" i="33"/>
  <c r="R202" i="33"/>
  <c r="S202" i="33"/>
  <c r="A203" i="33"/>
  <c r="B203" i="33"/>
  <c r="C203" i="33"/>
  <c r="D203" i="33"/>
  <c r="E203" i="33"/>
  <c r="F203" i="33"/>
  <c r="G203" i="33"/>
  <c r="H203" i="33"/>
  <c r="I203" i="33"/>
  <c r="J203" i="33"/>
  <c r="K203" i="33"/>
  <c r="L203" i="33"/>
  <c r="M203" i="33"/>
  <c r="N203" i="33"/>
  <c r="O203" i="33"/>
  <c r="Q203" i="33"/>
  <c r="R203" i="33"/>
  <c r="S203" i="33"/>
  <c r="A204" i="33"/>
  <c r="B204" i="33"/>
  <c r="C204" i="33"/>
  <c r="D204" i="33"/>
  <c r="E204" i="33"/>
  <c r="F204" i="33"/>
  <c r="G204" i="33"/>
  <c r="H204" i="33"/>
  <c r="I204" i="33"/>
  <c r="J204" i="33"/>
  <c r="K204" i="33"/>
  <c r="L204" i="33"/>
  <c r="M204" i="33"/>
  <c r="N204" i="33"/>
  <c r="O204" i="33"/>
  <c r="Q204" i="33"/>
  <c r="R204" i="33"/>
  <c r="S204" i="33"/>
  <c r="A205" i="33"/>
  <c r="B205" i="33"/>
  <c r="C205" i="33"/>
  <c r="D205" i="33"/>
  <c r="E205" i="33"/>
  <c r="F205" i="33"/>
  <c r="G205" i="33"/>
  <c r="H205" i="33"/>
  <c r="I205" i="33"/>
  <c r="J205" i="33"/>
  <c r="K205" i="33"/>
  <c r="L205" i="33"/>
  <c r="M205" i="33"/>
  <c r="N205" i="33"/>
  <c r="O205" i="33"/>
  <c r="Q205" i="33"/>
  <c r="R205" i="33"/>
  <c r="S205" i="33"/>
  <c r="A206" i="33"/>
  <c r="B206" i="33"/>
  <c r="C206" i="33"/>
  <c r="D206" i="33"/>
  <c r="E206" i="33"/>
  <c r="F206" i="33"/>
  <c r="G206" i="33"/>
  <c r="H206" i="33"/>
  <c r="I206" i="33"/>
  <c r="J206" i="33"/>
  <c r="K206" i="33"/>
  <c r="L206" i="33"/>
  <c r="M206" i="33"/>
  <c r="N206" i="33"/>
  <c r="O206" i="33"/>
  <c r="Q206" i="33"/>
  <c r="R206" i="33"/>
  <c r="S206" i="33"/>
  <c r="A207" i="33"/>
  <c r="B207" i="33"/>
  <c r="C207" i="33"/>
  <c r="D207" i="33"/>
  <c r="E207" i="33"/>
  <c r="F207" i="33"/>
  <c r="G207" i="33"/>
  <c r="H207" i="33"/>
  <c r="I207" i="33"/>
  <c r="J207" i="33"/>
  <c r="K207" i="33"/>
  <c r="L207" i="33"/>
  <c r="M207" i="33"/>
  <c r="N207" i="33"/>
  <c r="O207" i="33"/>
  <c r="Q207" i="33"/>
  <c r="R207" i="33"/>
  <c r="S207" i="33"/>
  <c r="A208" i="33"/>
  <c r="B208" i="33"/>
  <c r="C208" i="33"/>
  <c r="D208" i="33"/>
  <c r="E208" i="33"/>
  <c r="F208" i="33"/>
  <c r="G208" i="33"/>
  <c r="H208" i="33"/>
  <c r="I208" i="33"/>
  <c r="J208" i="33"/>
  <c r="K208" i="33"/>
  <c r="L208" i="33"/>
  <c r="M208" i="33"/>
  <c r="N208" i="33"/>
  <c r="O208" i="33"/>
  <c r="Q208" i="33"/>
  <c r="R208" i="33"/>
  <c r="S208" i="33"/>
  <c r="A209" i="33"/>
  <c r="B209" i="33"/>
  <c r="C209" i="33"/>
  <c r="D209" i="33"/>
  <c r="E209" i="33"/>
  <c r="F209" i="33"/>
  <c r="G209" i="33"/>
  <c r="H209" i="33"/>
  <c r="I209" i="33"/>
  <c r="J209" i="33"/>
  <c r="K209" i="33"/>
  <c r="L209" i="33"/>
  <c r="M209" i="33"/>
  <c r="N209" i="33"/>
  <c r="O209" i="33"/>
  <c r="Q209" i="33"/>
  <c r="R209" i="33"/>
  <c r="S209" i="33"/>
  <c r="A210" i="33"/>
  <c r="B210" i="33"/>
  <c r="C210" i="33"/>
  <c r="D210" i="33"/>
  <c r="E210" i="33"/>
  <c r="F210" i="33"/>
  <c r="G210" i="33"/>
  <c r="H210" i="33"/>
  <c r="I210" i="33"/>
  <c r="J210" i="33"/>
  <c r="K210" i="33"/>
  <c r="L210" i="33"/>
  <c r="M210" i="33"/>
  <c r="N210" i="33"/>
  <c r="O210" i="33"/>
  <c r="Q210" i="33"/>
  <c r="R210" i="33"/>
  <c r="S210" i="33"/>
  <c r="A211" i="33"/>
  <c r="B211" i="33"/>
  <c r="C211" i="33"/>
  <c r="D211" i="33"/>
  <c r="E211" i="33"/>
  <c r="F211" i="33"/>
  <c r="G211" i="33"/>
  <c r="H211" i="33"/>
  <c r="I211" i="33"/>
  <c r="J211" i="33"/>
  <c r="K211" i="33"/>
  <c r="L211" i="33"/>
  <c r="M211" i="33"/>
  <c r="N211" i="33"/>
  <c r="O211" i="33"/>
  <c r="Q211" i="33"/>
  <c r="R211" i="33"/>
  <c r="S211" i="33"/>
  <c r="A212" i="33"/>
  <c r="B212" i="33"/>
  <c r="C212" i="33"/>
  <c r="D212" i="33"/>
  <c r="E212" i="33"/>
  <c r="F212" i="33"/>
  <c r="G212" i="33"/>
  <c r="H212" i="33"/>
  <c r="I212" i="33"/>
  <c r="J212" i="33"/>
  <c r="K212" i="33"/>
  <c r="L212" i="33"/>
  <c r="M212" i="33"/>
  <c r="N212" i="33"/>
  <c r="O212" i="33"/>
  <c r="Q212" i="33"/>
  <c r="R212" i="33"/>
  <c r="S212" i="33"/>
  <c r="A213" i="33"/>
  <c r="B213" i="33"/>
  <c r="C213" i="33"/>
  <c r="D213" i="33"/>
  <c r="E213" i="33"/>
  <c r="F213" i="33"/>
  <c r="G213" i="33"/>
  <c r="H213" i="33"/>
  <c r="I213" i="33"/>
  <c r="J213" i="33"/>
  <c r="K213" i="33"/>
  <c r="L213" i="33"/>
  <c r="M213" i="33"/>
  <c r="N213" i="33"/>
  <c r="O213" i="33"/>
  <c r="Q213" i="33"/>
  <c r="R213" i="33"/>
  <c r="S213" i="33"/>
  <c r="A214" i="33"/>
  <c r="B214" i="33"/>
  <c r="C214" i="33"/>
  <c r="D214" i="33"/>
  <c r="E214" i="33"/>
  <c r="F214" i="33"/>
  <c r="G214" i="33"/>
  <c r="H214" i="33"/>
  <c r="I214" i="33"/>
  <c r="J214" i="33"/>
  <c r="K214" i="33"/>
  <c r="L214" i="33"/>
  <c r="M214" i="33"/>
  <c r="N214" i="33"/>
  <c r="O214" i="33"/>
  <c r="Q214" i="33"/>
  <c r="R214" i="33"/>
  <c r="S214" i="33"/>
  <c r="A215" i="33"/>
  <c r="B215" i="33"/>
  <c r="C215" i="33"/>
  <c r="D215" i="33"/>
  <c r="E215" i="33"/>
  <c r="F215" i="33"/>
  <c r="G215" i="33"/>
  <c r="H215" i="33"/>
  <c r="I215" i="33"/>
  <c r="J215" i="33"/>
  <c r="K215" i="33"/>
  <c r="L215" i="33"/>
  <c r="M215" i="33"/>
  <c r="N215" i="33"/>
  <c r="O215" i="33"/>
  <c r="Q215" i="33"/>
  <c r="R215" i="33"/>
  <c r="S215" i="33"/>
  <c r="A216" i="33"/>
  <c r="B216" i="33"/>
  <c r="C216" i="33"/>
  <c r="D216" i="33"/>
  <c r="E216" i="33"/>
  <c r="F216" i="33"/>
  <c r="G216" i="33"/>
  <c r="H216" i="33"/>
  <c r="I216" i="33"/>
  <c r="J216" i="33"/>
  <c r="K216" i="33"/>
  <c r="L216" i="33"/>
  <c r="M216" i="33"/>
  <c r="N216" i="33"/>
  <c r="O216" i="33"/>
  <c r="Q216" i="33"/>
  <c r="R216" i="33"/>
  <c r="S216" i="33"/>
  <c r="A217" i="33"/>
  <c r="B217" i="33"/>
  <c r="C217" i="33"/>
  <c r="D217" i="33"/>
  <c r="E217" i="33"/>
  <c r="F217" i="33"/>
  <c r="G217" i="33"/>
  <c r="H217" i="33"/>
  <c r="I217" i="33"/>
  <c r="J217" i="33"/>
  <c r="K217" i="33"/>
  <c r="L217" i="33"/>
  <c r="M217" i="33"/>
  <c r="N217" i="33"/>
  <c r="O217" i="33"/>
  <c r="Q217" i="33"/>
  <c r="R217" i="33"/>
  <c r="S217" i="33"/>
  <c r="A218" i="33"/>
  <c r="B218" i="33"/>
  <c r="C218" i="33"/>
  <c r="D218" i="33"/>
  <c r="E218" i="33"/>
  <c r="F218" i="33"/>
  <c r="G218" i="33"/>
  <c r="H218" i="33"/>
  <c r="I218" i="33"/>
  <c r="J218" i="33"/>
  <c r="K218" i="33"/>
  <c r="L218" i="33"/>
  <c r="M218" i="33"/>
  <c r="N218" i="33"/>
  <c r="O218" i="33"/>
  <c r="Q218" i="33"/>
  <c r="R218" i="33"/>
  <c r="S218" i="33"/>
  <c r="A219" i="33"/>
  <c r="B219" i="33"/>
  <c r="C219" i="33"/>
  <c r="D219" i="33"/>
  <c r="E219" i="33"/>
  <c r="F219" i="33"/>
  <c r="G219" i="33"/>
  <c r="H219" i="33"/>
  <c r="I219" i="33"/>
  <c r="J219" i="33"/>
  <c r="K219" i="33"/>
  <c r="L219" i="33"/>
  <c r="M219" i="33"/>
  <c r="N219" i="33"/>
  <c r="O219" i="33"/>
  <c r="Q219" i="33"/>
  <c r="R219" i="33"/>
  <c r="S219" i="33"/>
  <c r="A220" i="33"/>
  <c r="B220" i="33"/>
  <c r="C220" i="33"/>
  <c r="D220" i="33"/>
  <c r="E220" i="33"/>
  <c r="F220" i="33"/>
  <c r="G220" i="33"/>
  <c r="H220" i="33"/>
  <c r="I220" i="33"/>
  <c r="J220" i="33"/>
  <c r="K220" i="33"/>
  <c r="L220" i="33"/>
  <c r="M220" i="33"/>
  <c r="N220" i="33"/>
  <c r="O220" i="33"/>
  <c r="Q220" i="33"/>
  <c r="R220" i="33"/>
  <c r="S220" i="33"/>
  <c r="A221" i="33"/>
  <c r="B221" i="33"/>
  <c r="C221" i="33"/>
  <c r="D221" i="33"/>
  <c r="E221" i="33"/>
  <c r="F221" i="33"/>
  <c r="G221" i="33"/>
  <c r="H221" i="33"/>
  <c r="I221" i="33"/>
  <c r="J221" i="33"/>
  <c r="K221" i="33"/>
  <c r="L221" i="33"/>
  <c r="M221" i="33"/>
  <c r="N221" i="33"/>
  <c r="O221" i="33"/>
  <c r="Q221" i="33"/>
  <c r="R221" i="33"/>
  <c r="S221" i="33"/>
  <c r="A222" i="33"/>
  <c r="B222" i="33"/>
  <c r="C222" i="33"/>
  <c r="D222" i="33"/>
  <c r="E222" i="33"/>
  <c r="F222" i="33"/>
  <c r="G222" i="33"/>
  <c r="H222" i="33"/>
  <c r="I222" i="33"/>
  <c r="J222" i="33"/>
  <c r="K222" i="33"/>
  <c r="L222" i="33"/>
  <c r="M222" i="33"/>
  <c r="N222" i="33"/>
  <c r="O222" i="33"/>
  <c r="Q222" i="33"/>
  <c r="R222" i="33"/>
  <c r="S222" i="33"/>
  <c r="A223" i="33"/>
  <c r="B223" i="33"/>
  <c r="C223" i="33"/>
  <c r="D223" i="33"/>
  <c r="E223" i="33"/>
  <c r="F223" i="33"/>
  <c r="G223" i="33"/>
  <c r="H223" i="33"/>
  <c r="I223" i="33"/>
  <c r="J223" i="33"/>
  <c r="K223" i="33"/>
  <c r="L223" i="33"/>
  <c r="M223" i="33"/>
  <c r="N223" i="33"/>
  <c r="O223" i="33"/>
  <c r="Q223" i="33"/>
  <c r="R223" i="33"/>
  <c r="S223" i="33"/>
  <c r="A224" i="33"/>
  <c r="B224" i="33"/>
  <c r="C224" i="33"/>
  <c r="D224" i="33"/>
  <c r="E224" i="33"/>
  <c r="F224" i="33"/>
  <c r="G224" i="33"/>
  <c r="H224" i="33"/>
  <c r="I224" i="33"/>
  <c r="J224" i="33"/>
  <c r="K224" i="33"/>
  <c r="L224" i="33"/>
  <c r="M224" i="33"/>
  <c r="N224" i="33"/>
  <c r="O224" i="33"/>
  <c r="Q224" i="33"/>
  <c r="R224" i="33"/>
  <c r="S224" i="33"/>
  <c r="A225" i="33"/>
  <c r="B225" i="33"/>
  <c r="C225" i="33"/>
  <c r="D225" i="33"/>
  <c r="E225" i="33"/>
  <c r="F225" i="33"/>
  <c r="G225" i="33"/>
  <c r="H225" i="33"/>
  <c r="I225" i="33"/>
  <c r="J225" i="33"/>
  <c r="K225" i="33"/>
  <c r="L225" i="33"/>
  <c r="M225" i="33"/>
  <c r="N225" i="33"/>
  <c r="O225" i="33"/>
  <c r="Q225" i="33"/>
  <c r="R225" i="33"/>
  <c r="S225" i="33"/>
  <c r="A226" i="33"/>
  <c r="B226" i="33"/>
  <c r="C226" i="33"/>
  <c r="D226" i="33"/>
  <c r="E226" i="33"/>
  <c r="F226" i="33"/>
  <c r="G226" i="33"/>
  <c r="H226" i="33"/>
  <c r="I226" i="33"/>
  <c r="J226" i="33"/>
  <c r="K226" i="33"/>
  <c r="L226" i="33"/>
  <c r="M226" i="33"/>
  <c r="N226" i="33"/>
  <c r="O226" i="33"/>
  <c r="Q226" i="33"/>
  <c r="R226" i="33"/>
  <c r="S226" i="33"/>
  <c r="A227" i="33"/>
  <c r="B227" i="33"/>
  <c r="C227" i="33"/>
  <c r="D227" i="33"/>
  <c r="E227" i="33"/>
  <c r="F227" i="33"/>
  <c r="G227" i="33"/>
  <c r="H227" i="33"/>
  <c r="I227" i="33"/>
  <c r="J227" i="33"/>
  <c r="K227" i="33"/>
  <c r="L227" i="33"/>
  <c r="M227" i="33"/>
  <c r="N227" i="33"/>
  <c r="O227" i="33"/>
  <c r="Q227" i="33"/>
  <c r="R227" i="33"/>
  <c r="S227" i="33"/>
  <c r="A228" i="33"/>
  <c r="B228" i="33"/>
  <c r="C228" i="33"/>
  <c r="D228" i="33"/>
  <c r="E228" i="33"/>
  <c r="F228" i="33"/>
  <c r="G228" i="33"/>
  <c r="H228" i="33"/>
  <c r="I228" i="33"/>
  <c r="J228" i="33"/>
  <c r="K228" i="33"/>
  <c r="L228" i="33"/>
  <c r="M228" i="33"/>
  <c r="N228" i="33"/>
  <c r="O228" i="33"/>
  <c r="Q228" i="33"/>
  <c r="R228" i="33"/>
  <c r="S228" i="33"/>
  <c r="A229" i="33"/>
  <c r="B229" i="33"/>
  <c r="C229" i="33"/>
  <c r="D229" i="33"/>
  <c r="E229" i="33"/>
  <c r="F229" i="33"/>
  <c r="G229" i="33"/>
  <c r="H229" i="33"/>
  <c r="I229" i="33"/>
  <c r="J229" i="33"/>
  <c r="K229" i="33"/>
  <c r="L229" i="33"/>
  <c r="M229" i="33"/>
  <c r="N229" i="33"/>
  <c r="O229" i="33"/>
  <c r="Q229" i="33"/>
  <c r="R229" i="33"/>
  <c r="S229" i="33"/>
  <c r="A230" i="33"/>
  <c r="B230" i="33"/>
  <c r="C230" i="33"/>
  <c r="D230" i="33"/>
  <c r="E230" i="33"/>
  <c r="F230" i="33"/>
  <c r="G230" i="33"/>
  <c r="H230" i="33"/>
  <c r="I230" i="33"/>
  <c r="J230" i="33"/>
  <c r="K230" i="33"/>
  <c r="L230" i="33"/>
  <c r="M230" i="33"/>
  <c r="N230" i="33"/>
  <c r="O230" i="33"/>
  <c r="Q230" i="33"/>
  <c r="R230" i="33"/>
  <c r="S230" i="33"/>
  <c r="A231" i="33"/>
  <c r="B231" i="33"/>
  <c r="C231" i="33"/>
  <c r="D231" i="33"/>
  <c r="E231" i="33"/>
  <c r="F231" i="33"/>
  <c r="G231" i="33"/>
  <c r="H231" i="33"/>
  <c r="I231" i="33"/>
  <c r="J231" i="33"/>
  <c r="K231" i="33"/>
  <c r="L231" i="33"/>
  <c r="M231" i="33"/>
  <c r="N231" i="33"/>
  <c r="O231" i="33"/>
  <c r="Q231" i="33"/>
  <c r="R231" i="33"/>
  <c r="S231" i="33"/>
  <c r="A232" i="33"/>
  <c r="B232" i="33"/>
  <c r="C232" i="33"/>
  <c r="D232" i="33"/>
  <c r="E232" i="33"/>
  <c r="F232" i="33"/>
  <c r="G232" i="33"/>
  <c r="H232" i="33"/>
  <c r="I232" i="33"/>
  <c r="J232" i="33"/>
  <c r="K232" i="33"/>
  <c r="L232" i="33"/>
  <c r="M232" i="33"/>
  <c r="N232" i="33"/>
  <c r="O232" i="33"/>
  <c r="Q232" i="33"/>
  <c r="R232" i="33"/>
  <c r="S232" i="33"/>
  <c r="A233" i="33"/>
  <c r="B233" i="33"/>
  <c r="C233" i="33"/>
  <c r="D233" i="33"/>
  <c r="E233" i="33"/>
  <c r="F233" i="33"/>
  <c r="G233" i="33"/>
  <c r="H233" i="33"/>
  <c r="I233" i="33"/>
  <c r="J233" i="33"/>
  <c r="K233" i="33"/>
  <c r="L233" i="33"/>
  <c r="M233" i="33"/>
  <c r="N233" i="33"/>
  <c r="O233" i="33"/>
  <c r="Q233" i="33"/>
  <c r="R233" i="33"/>
  <c r="S233" i="33"/>
  <c r="A234" i="33"/>
  <c r="B234" i="33"/>
  <c r="C234" i="33"/>
  <c r="D234" i="33"/>
  <c r="E234" i="33"/>
  <c r="F234" i="33"/>
  <c r="G234" i="33"/>
  <c r="H234" i="33"/>
  <c r="I234" i="33"/>
  <c r="J234" i="33"/>
  <c r="K234" i="33"/>
  <c r="L234" i="33"/>
  <c r="M234" i="33"/>
  <c r="N234" i="33"/>
  <c r="O234" i="33"/>
  <c r="Q234" i="33"/>
  <c r="R234" i="33"/>
  <c r="S234" i="33"/>
  <c r="A235" i="33"/>
  <c r="B235" i="33"/>
  <c r="C235" i="33"/>
  <c r="D235" i="33"/>
  <c r="E235" i="33"/>
  <c r="F235" i="33"/>
  <c r="G235" i="33"/>
  <c r="H235" i="33"/>
  <c r="I235" i="33"/>
  <c r="J235" i="33"/>
  <c r="K235" i="33"/>
  <c r="L235" i="33"/>
  <c r="M235" i="33"/>
  <c r="N235" i="33"/>
  <c r="O235" i="33"/>
  <c r="Q235" i="33"/>
  <c r="R235" i="33"/>
  <c r="S235" i="33"/>
  <c r="A236" i="33"/>
  <c r="B236" i="33"/>
  <c r="C236" i="33"/>
  <c r="D236" i="33"/>
  <c r="E236" i="33"/>
  <c r="F236" i="33"/>
  <c r="G236" i="33"/>
  <c r="H236" i="33"/>
  <c r="I236" i="33"/>
  <c r="J236" i="33"/>
  <c r="K236" i="33"/>
  <c r="L236" i="33"/>
  <c r="M236" i="33"/>
  <c r="N236" i="33"/>
  <c r="O236" i="33"/>
  <c r="Q236" i="33"/>
  <c r="R236" i="33"/>
  <c r="S236" i="33"/>
  <c r="A237" i="33"/>
  <c r="B237" i="33"/>
  <c r="C237" i="33"/>
  <c r="D237" i="33"/>
  <c r="E237" i="33"/>
  <c r="F237" i="33"/>
  <c r="G237" i="33"/>
  <c r="H237" i="33"/>
  <c r="I237" i="33"/>
  <c r="J237" i="33"/>
  <c r="K237" i="33"/>
  <c r="L237" i="33"/>
  <c r="M237" i="33"/>
  <c r="N237" i="33"/>
  <c r="O237" i="33"/>
  <c r="Q237" i="33"/>
  <c r="R237" i="33"/>
  <c r="S237" i="33"/>
  <c r="A238" i="33"/>
  <c r="B238" i="33"/>
  <c r="C238" i="33"/>
  <c r="D238" i="33"/>
  <c r="E238" i="33"/>
  <c r="F238" i="33"/>
  <c r="G238" i="33"/>
  <c r="H238" i="33"/>
  <c r="I238" i="33"/>
  <c r="J238" i="33"/>
  <c r="K238" i="33"/>
  <c r="L238" i="33"/>
  <c r="M238" i="33"/>
  <c r="N238" i="33"/>
  <c r="O238" i="33"/>
  <c r="Q238" i="33"/>
  <c r="R238" i="33"/>
  <c r="S238" i="33"/>
  <c r="A239" i="33"/>
  <c r="B239" i="33"/>
  <c r="C239" i="33"/>
  <c r="D239" i="33"/>
  <c r="E239" i="33"/>
  <c r="F239" i="33"/>
  <c r="G239" i="33"/>
  <c r="H239" i="33"/>
  <c r="I239" i="33"/>
  <c r="J239" i="33"/>
  <c r="K239" i="33"/>
  <c r="L239" i="33"/>
  <c r="M239" i="33"/>
  <c r="N239" i="33"/>
  <c r="O239" i="33"/>
  <c r="Q239" i="33"/>
  <c r="R239" i="33"/>
  <c r="S239" i="33"/>
  <c r="A240" i="33"/>
  <c r="B240" i="33"/>
  <c r="C240" i="33"/>
  <c r="D240" i="33"/>
  <c r="E240" i="33"/>
  <c r="F240" i="33"/>
  <c r="G240" i="33"/>
  <c r="H240" i="33"/>
  <c r="I240" i="33"/>
  <c r="J240" i="33"/>
  <c r="K240" i="33"/>
  <c r="L240" i="33"/>
  <c r="M240" i="33"/>
  <c r="N240" i="33"/>
  <c r="O240" i="33"/>
  <c r="Q240" i="33"/>
  <c r="R240" i="33"/>
  <c r="S240" i="33"/>
  <c r="A241" i="33"/>
  <c r="B241" i="33"/>
  <c r="C241" i="33"/>
  <c r="D241" i="33"/>
  <c r="E241" i="33"/>
  <c r="F241" i="33"/>
  <c r="G241" i="33"/>
  <c r="H241" i="33"/>
  <c r="I241" i="33"/>
  <c r="J241" i="33"/>
  <c r="K241" i="33"/>
  <c r="L241" i="33"/>
  <c r="M241" i="33"/>
  <c r="N241" i="33"/>
  <c r="O241" i="33"/>
  <c r="Q241" i="33"/>
  <c r="R241" i="33"/>
  <c r="S241" i="33"/>
  <c r="A242" i="33"/>
  <c r="B242" i="33"/>
  <c r="C242" i="33"/>
  <c r="D242" i="33"/>
  <c r="E242" i="33"/>
  <c r="F242" i="33"/>
  <c r="G242" i="33"/>
  <c r="H242" i="33"/>
  <c r="I242" i="33"/>
  <c r="J242" i="33"/>
  <c r="K242" i="33"/>
  <c r="L242" i="33"/>
  <c r="M242" i="33"/>
  <c r="N242" i="33"/>
  <c r="O242" i="33"/>
  <c r="Q242" i="33"/>
  <c r="R242" i="33"/>
  <c r="S242" i="33"/>
  <c r="A243" i="33"/>
  <c r="B243" i="33"/>
  <c r="C243" i="33"/>
  <c r="D243" i="33"/>
  <c r="E243" i="33"/>
  <c r="F243" i="33"/>
  <c r="G243" i="33"/>
  <c r="H243" i="33"/>
  <c r="I243" i="33"/>
  <c r="J243" i="33"/>
  <c r="K243" i="33"/>
  <c r="L243" i="33"/>
  <c r="M243" i="33"/>
  <c r="N243" i="33"/>
  <c r="O243" i="33"/>
  <c r="Q243" i="33"/>
  <c r="R243" i="33"/>
  <c r="S243" i="33"/>
  <c r="A244" i="33"/>
  <c r="B244" i="33"/>
  <c r="C244" i="33"/>
  <c r="D244" i="33"/>
  <c r="E244" i="33"/>
  <c r="F244" i="33"/>
  <c r="G244" i="33"/>
  <c r="H244" i="33"/>
  <c r="I244" i="33"/>
  <c r="J244" i="33"/>
  <c r="K244" i="33"/>
  <c r="L244" i="33"/>
  <c r="M244" i="33"/>
  <c r="N244" i="33"/>
  <c r="O244" i="33"/>
  <c r="Q244" i="33"/>
  <c r="R244" i="33"/>
  <c r="S244" i="33"/>
  <c r="A245" i="33"/>
  <c r="B245" i="33"/>
  <c r="C245" i="33"/>
  <c r="D245" i="33"/>
  <c r="E245" i="33"/>
  <c r="F245" i="33"/>
  <c r="G245" i="33"/>
  <c r="H245" i="33"/>
  <c r="I245" i="33"/>
  <c r="J245" i="33"/>
  <c r="K245" i="33"/>
  <c r="L245" i="33"/>
  <c r="M245" i="33"/>
  <c r="N245" i="33"/>
  <c r="O245" i="33"/>
  <c r="Q245" i="33"/>
  <c r="R245" i="33"/>
  <c r="S245" i="33"/>
  <c r="A246" i="33"/>
  <c r="B246" i="33"/>
  <c r="C246" i="33"/>
  <c r="D246" i="33"/>
  <c r="E246" i="33"/>
  <c r="F246" i="33"/>
  <c r="G246" i="33"/>
  <c r="H246" i="33"/>
  <c r="I246" i="33"/>
  <c r="J246" i="33"/>
  <c r="K246" i="33"/>
  <c r="L246" i="33"/>
  <c r="M246" i="33"/>
  <c r="N246" i="33"/>
  <c r="O246" i="33"/>
  <c r="Q246" i="33"/>
  <c r="R246" i="33"/>
  <c r="S246" i="33"/>
  <c r="A247" i="33"/>
  <c r="B247" i="33"/>
  <c r="C247" i="33"/>
  <c r="D247" i="33"/>
  <c r="E247" i="33"/>
  <c r="F247" i="33"/>
  <c r="G247" i="33"/>
  <c r="H247" i="33"/>
  <c r="I247" i="33"/>
  <c r="J247" i="33"/>
  <c r="K247" i="33"/>
  <c r="L247" i="33"/>
  <c r="M247" i="33"/>
  <c r="N247" i="33"/>
  <c r="O247" i="33"/>
  <c r="Q247" i="33"/>
  <c r="R247" i="33"/>
  <c r="S247" i="33"/>
  <c r="A248" i="33"/>
  <c r="B248" i="33"/>
  <c r="C248" i="33"/>
  <c r="D248" i="33"/>
  <c r="E248" i="33"/>
  <c r="F248" i="33"/>
  <c r="G248" i="33"/>
  <c r="H248" i="33"/>
  <c r="I248" i="33"/>
  <c r="J248" i="33"/>
  <c r="K248" i="33"/>
  <c r="L248" i="33"/>
  <c r="M248" i="33"/>
  <c r="N248" i="33"/>
  <c r="O248" i="33"/>
  <c r="Q248" i="33"/>
  <c r="R248" i="33"/>
  <c r="S248" i="33"/>
  <c r="A249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N249" i="33"/>
  <c r="O249" i="33"/>
  <c r="Q249" i="33"/>
  <c r="R249" i="33"/>
  <c r="S249" i="33"/>
  <c r="A250" i="33"/>
  <c r="B250" i="33"/>
  <c r="C250" i="33"/>
  <c r="D250" i="33"/>
  <c r="E250" i="33"/>
  <c r="F250" i="33"/>
  <c r="G250" i="33"/>
  <c r="H250" i="33"/>
  <c r="I250" i="33"/>
  <c r="J250" i="33"/>
  <c r="K250" i="33"/>
  <c r="L250" i="33"/>
  <c r="M250" i="33"/>
  <c r="N250" i="33"/>
  <c r="O250" i="33"/>
  <c r="Q250" i="33"/>
  <c r="R250" i="33"/>
  <c r="S250" i="33"/>
  <c r="A251" i="33"/>
  <c r="B251" i="33"/>
  <c r="C251" i="33"/>
  <c r="D251" i="33"/>
  <c r="E251" i="33"/>
  <c r="F251" i="33"/>
  <c r="G251" i="33"/>
  <c r="H251" i="33"/>
  <c r="I251" i="33"/>
  <c r="J251" i="33"/>
  <c r="K251" i="33"/>
  <c r="L251" i="33"/>
  <c r="M251" i="33"/>
  <c r="N251" i="33"/>
  <c r="O251" i="33"/>
  <c r="Q251" i="33"/>
  <c r="R251" i="33"/>
  <c r="S251" i="33"/>
  <c r="A252" i="33"/>
  <c r="B252" i="33"/>
  <c r="C252" i="33"/>
  <c r="D252" i="33"/>
  <c r="E252" i="33"/>
  <c r="F252" i="33"/>
  <c r="G252" i="33"/>
  <c r="H252" i="33"/>
  <c r="I252" i="33"/>
  <c r="J252" i="33"/>
  <c r="K252" i="33"/>
  <c r="L252" i="33"/>
  <c r="M252" i="33"/>
  <c r="N252" i="33"/>
  <c r="O252" i="33"/>
  <c r="Q252" i="33"/>
  <c r="R252" i="33"/>
  <c r="S252" i="33"/>
  <c r="A253" i="33"/>
  <c r="B253" i="33"/>
  <c r="C253" i="33"/>
  <c r="D253" i="33"/>
  <c r="E253" i="33"/>
  <c r="F253" i="33"/>
  <c r="G253" i="33"/>
  <c r="H253" i="33"/>
  <c r="I253" i="33"/>
  <c r="J253" i="33"/>
  <c r="K253" i="33"/>
  <c r="L253" i="33"/>
  <c r="M253" i="33"/>
  <c r="N253" i="33"/>
  <c r="O253" i="33"/>
  <c r="Q253" i="33"/>
  <c r="R253" i="33"/>
  <c r="S253" i="33"/>
  <c r="A254" i="33"/>
  <c r="B254" i="33"/>
  <c r="C254" i="33"/>
  <c r="D254" i="33"/>
  <c r="E254" i="33"/>
  <c r="F254" i="33"/>
  <c r="G254" i="33"/>
  <c r="H254" i="33"/>
  <c r="I254" i="33"/>
  <c r="J254" i="33"/>
  <c r="K254" i="33"/>
  <c r="L254" i="33"/>
  <c r="M254" i="33"/>
  <c r="N254" i="33"/>
  <c r="O254" i="33"/>
  <c r="Q254" i="33"/>
  <c r="R254" i="33"/>
  <c r="S254" i="33"/>
  <c r="A255" i="33"/>
  <c r="B255" i="33"/>
  <c r="C255" i="33"/>
  <c r="D255" i="33"/>
  <c r="E255" i="33"/>
  <c r="F255" i="33"/>
  <c r="G255" i="33"/>
  <c r="H255" i="33"/>
  <c r="I255" i="33"/>
  <c r="J255" i="33"/>
  <c r="K255" i="33"/>
  <c r="L255" i="33"/>
  <c r="M255" i="33"/>
  <c r="N255" i="33"/>
  <c r="O255" i="33"/>
  <c r="Q255" i="33"/>
  <c r="R255" i="33"/>
  <c r="S255" i="33"/>
  <c r="A256" i="33"/>
  <c r="B256" i="33"/>
  <c r="C256" i="33"/>
  <c r="D256" i="33"/>
  <c r="E256" i="33"/>
  <c r="F256" i="33"/>
  <c r="G256" i="33"/>
  <c r="H256" i="33"/>
  <c r="I256" i="33"/>
  <c r="J256" i="33"/>
  <c r="K256" i="33"/>
  <c r="L256" i="33"/>
  <c r="M256" i="33"/>
  <c r="N256" i="33"/>
  <c r="O256" i="33"/>
  <c r="Q256" i="33"/>
  <c r="R256" i="33"/>
  <c r="S256" i="33"/>
  <c r="A257" i="33"/>
  <c r="B257" i="33"/>
  <c r="C257" i="33"/>
  <c r="D257" i="33"/>
  <c r="E257" i="33"/>
  <c r="F257" i="33"/>
  <c r="G257" i="33"/>
  <c r="H257" i="33"/>
  <c r="I257" i="33"/>
  <c r="J257" i="33"/>
  <c r="K257" i="33"/>
  <c r="L257" i="33"/>
  <c r="M257" i="33"/>
  <c r="N257" i="33"/>
  <c r="O257" i="33"/>
  <c r="Q257" i="33"/>
  <c r="R257" i="33"/>
  <c r="S257" i="33"/>
  <c r="A258" i="33"/>
  <c r="B258" i="33"/>
  <c r="C258" i="33"/>
  <c r="D258" i="33"/>
  <c r="E258" i="33"/>
  <c r="F258" i="33"/>
  <c r="G258" i="33"/>
  <c r="H258" i="33"/>
  <c r="I258" i="33"/>
  <c r="J258" i="33"/>
  <c r="K258" i="33"/>
  <c r="L258" i="33"/>
  <c r="M258" i="33"/>
  <c r="N258" i="33"/>
  <c r="O258" i="33"/>
  <c r="Q258" i="33"/>
  <c r="R258" i="33"/>
  <c r="S258" i="33"/>
  <c r="A259" i="33"/>
  <c r="B259" i="33"/>
  <c r="C259" i="33"/>
  <c r="D259" i="33"/>
  <c r="E259" i="33"/>
  <c r="F259" i="33"/>
  <c r="G259" i="33"/>
  <c r="H259" i="33"/>
  <c r="I259" i="33"/>
  <c r="J259" i="33"/>
  <c r="K259" i="33"/>
  <c r="L259" i="33"/>
  <c r="M259" i="33"/>
  <c r="N259" i="33"/>
  <c r="O259" i="33"/>
  <c r="Q259" i="33"/>
  <c r="R259" i="33"/>
  <c r="S259" i="33"/>
  <c r="A260" i="33"/>
  <c r="B260" i="33"/>
  <c r="C260" i="33"/>
  <c r="D260" i="33"/>
  <c r="E260" i="33"/>
  <c r="F260" i="33"/>
  <c r="G260" i="33"/>
  <c r="H260" i="33"/>
  <c r="I260" i="33"/>
  <c r="J260" i="33"/>
  <c r="K260" i="33"/>
  <c r="L260" i="33"/>
  <c r="M260" i="33"/>
  <c r="N260" i="33"/>
  <c r="O260" i="33"/>
  <c r="Q260" i="33"/>
  <c r="R260" i="33"/>
  <c r="S260" i="33"/>
  <c r="A261" i="33"/>
  <c r="B261" i="33"/>
  <c r="C261" i="33"/>
  <c r="D261" i="33"/>
  <c r="E261" i="33"/>
  <c r="F261" i="33"/>
  <c r="G261" i="33"/>
  <c r="H261" i="33"/>
  <c r="I261" i="33"/>
  <c r="J261" i="33"/>
  <c r="K261" i="33"/>
  <c r="L261" i="33"/>
  <c r="M261" i="33"/>
  <c r="N261" i="33"/>
  <c r="O261" i="33"/>
  <c r="Q261" i="33"/>
  <c r="R261" i="33"/>
  <c r="S261" i="33"/>
  <c r="A262" i="33"/>
  <c r="B262" i="33"/>
  <c r="C262" i="33"/>
  <c r="D262" i="33"/>
  <c r="E262" i="33"/>
  <c r="F262" i="33"/>
  <c r="G262" i="33"/>
  <c r="H262" i="33"/>
  <c r="I262" i="33"/>
  <c r="J262" i="33"/>
  <c r="K262" i="33"/>
  <c r="L262" i="33"/>
  <c r="M262" i="33"/>
  <c r="N262" i="33"/>
  <c r="O262" i="33"/>
  <c r="Q262" i="33"/>
  <c r="R262" i="33"/>
  <c r="S262" i="33"/>
  <c r="A263" i="33"/>
  <c r="B263" i="33"/>
  <c r="C263" i="33"/>
  <c r="D263" i="33"/>
  <c r="E263" i="33"/>
  <c r="F263" i="33"/>
  <c r="G263" i="33"/>
  <c r="H263" i="33"/>
  <c r="I263" i="33"/>
  <c r="J263" i="33"/>
  <c r="K263" i="33"/>
  <c r="L263" i="33"/>
  <c r="M263" i="33"/>
  <c r="N263" i="33"/>
  <c r="O263" i="33"/>
  <c r="Q263" i="33"/>
  <c r="R263" i="33"/>
  <c r="S263" i="33"/>
  <c r="A264" i="33"/>
  <c r="B264" i="33"/>
  <c r="C264" i="33"/>
  <c r="D264" i="33"/>
  <c r="E264" i="33"/>
  <c r="F264" i="33"/>
  <c r="G264" i="33"/>
  <c r="H264" i="33"/>
  <c r="I264" i="33"/>
  <c r="J264" i="33"/>
  <c r="K264" i="33"/>
  <c r="L264" i="33"/>
  <c r="M264" i="33"/>
  <c r="N264" i="33"/>
  <c r="O264" i="33"/>
  <c r="Q264" i="33"/>
  <c r="R264" i="33"/>
  <c r="S264" i="33"/>
  <c r="A265" i="33"/>
  <c r="B265" i="33"/>
  <c r="C265" i="33"/>
  <c r="D265" i="33"/>
  <c r="E265" i="33"/>
  <c r="F265" i="33"/>
  <c r="G265" i="33"/>
  <c r="H265" i="33"/>
  <c r="I265" i="33"/>
  <c r="J265" i="33"/>
  <c r="K265" i="33"/>
  <c r="L265" i="33"/>
  <c r="M265" i="33"/>
  <c r="N265" i="33"/>
  <c r="O265" i="33"/>
  <c r="Q265" i="33"/>
  <c r="R265" i="33"/>
  <c r="S265" i="33"/>
  <c r="A266" i="33"/>
  <c r="B266" i="33"/>
  <c r="C266" i="33"/>
  <c r="D266" i="33"/>
  <c r="E266" i="33"/>
  <c r="F266" i="33"/>
  <c r="G266" i="33"/>
  <c r="H266" i="33"/>
  <c r="I266" i="33"/>
  <c r="J266" i="33"/>
  <c r="K266" i="33"/>
  <c r="L266" i="33"/>
  <c r="M266" i="33"/>
  <c r="N266" i="33"/>
  <c r="O266" i="33"/>
  <c r="Q266" i="33"/>
  <c r="R266" i="33"/>
  <c r="S266" i="33"/>
  <c r="A267" i="33"/>
  <c r="B267" i="33"/>
  <c r="C267" i="33"/>
  <c r="D267" i="33"/>
  <c r="E267" i="33"/>
  <c r="F267" i="33"/>
  <c r="G267" i="33"/>
  <c r="H267" i="33"/>
  <c r="I267" i="33"/>
  <c r="J267" i="33"/>
  <c r="K267" i="33"/>
  <c r="L267" i="33"/>
  <c r="M267" i="33"/>
  <c r="N267" i="33"/>
  <c r="O267" i="33"/>
  <c r="Q267" i="33"/>
  <c r="R267" i="33"/>
  <c r="S267" i="33"/>
  <c r="A268" i="33"/>
  <c r="B268" i="33"/>
  <c r="C268" i="33"/>
  <c r="D268" i="33"/>
  <c r="E268" i="33"/>
  <c r="F268" i="33"/>
  <c r="G268" i="33"/>
  <c r="H268" i="33"/>
  <c r="I268" i="33"/>
  <c r="J268" i="33"/>
  <c r="K268" i="33"/>
  <c r="L268" i="33"/>
  <c r="M268" i="33"/>
  <c r="N268" i="33"/>
  <c r="O268" i="33"/>
  <c r="Q268" i="33"/>
  <c r="R268" i="33"/>
  <c r="S268" i="33"/>
  <c r="A269" i="33"/>
  <c r="B269" i="33"/>
  <c r="C269" i="33"/>
  <c r="D269" i="33"/>
  <c r="E269" i="33"/>
  <c r="F269" i="33"/>
  <c r="G269" i="33"/>
  <c r="H269" i="33"/>
  <c r="I269" i="33"/>
  <c r="J269" i="33"/>
  <c r="K269" i="33"/>
  <c r="L269" i="33"/>
  <c r="M269" i="33"/>
  <c r="N269" i="33"/>
  <c r="O269" i="33"/>
  <c r="Q269" i="33"/>
  <c r="R269" i="33"/>
  <c r="S269" i="33"/>
  <c r="A270" i="33"/>
  <c r="B270" i="33"/>
  <c r="C270" i="33"/>
  <c r="D270" i="33"/>
  <c r="E270" i="33"/>
  <c r="F270" i="33"/>
  <c r="G270" i="33"/>
  <c r="H270" i="33"/>
  <c r="I270" i="33"/>
  <c r="J270" i="33"/>
  <c r="K270" i="33"/>
  <c r="L270" i="33"/>
  <c r="M270" i="33"/>
  <c r="N270" i="33"/>
  <c r="O270" i="33"/>
  <c r="Q270" i="33"/>
  <c r="R270" i="33"/>
  <c r="S270" i="33"/>
  <c r="A271" i="33"/>
  <c r="B271" i="33"/>
  <c r="C271" i="33"/>
  <c r="D271" i="33"/>
  <c r="E271" i="33"/>
  <c r="F271" i="33"/>
  <c r="G271" i="33"/>
  <c r="H271" i="33"/>
  <c r="I271" i="33"/>
  <c r="J271" i="33"/>
  <c r="K271" i="33"/>
  <c r="L271" i="33"/>
  <c r="M271" i="33"/>
  <c r="N271" i="33"/>
  <c r="O271" i="33"/>
  <c r="Q271" i="33"/>
  <c r="R271" i="33"/>
  <c r="S271" i="33"/>
  <c r="A272" i="33"/>
  <c r="B272" i="33"/>
  <c r="C272" i="33"/>
  <c r="D272" i="33"/>
  <c r="E272" i="33"/>
  <c r="F272" i="33"/>
  <c r="G272" i="33"/>
  <c r="H272" i="33"/>
  <c r="I272" i="33"/>
  <c r="J272" i="33"/>
  <c r="K272" i="33"/>
  <c r="L272" i="33"/>
  <c r="M272" i="33"/>
  <c r="N272" i="33"/>
  <c r="O272" i="33"/>
  <c r="Q272" i="33"/>
  <c r="R272" i="33"/>
  <c r="S272" i="33"/>
  <c r="A273" i="33"/>
  <c r="B273" i="33"/>
  <c r="C273" i="33"/>
  <c r="D273" i="33"/>
  <c r="E273" i="33"/>
  <c r="F273" i="33"/>
  <c r="G273" i="33"/>
  <c r="H273" i="33"/>
  <c r="I273" i="33"/>
  <c r="J273" i="33"/>
  <c r="K273" i="33"/>
  <c r="L273" i="33"/>
  <c r="M273" i="33"/>
  <c r="N273" i="33"/>
  <c r="O273" i="33"/>
  <c r="Q273" i="33"/>
  <c r="R273" i="33"/>
  <c r="S273" i="33"/>
  <c r="A274" i="33"/>
  <c r="B274" i="33"/>
  <c r="C274" i="33"/>
  <c r="D274" i="33"/>
  <c r="E274" i="33"/>
  <c r="F274" i="33"/>
  <c r="G274" i="33"/>
  <c r="H274" i="33"/>
  <c r="I274" i="33"/>
  <c r="J274" i="33"/>
  <c r="K274" i="33"/>
  <c r="L274" i="33"/>
  <c r="M274" i="33"/>
  <c r="N274" i="33"/>
  <c r="O274" i="33"/>
  <c r="Q274" i="33"/>
  <c r="R274" i="33"/>
  <c r="S274" i="33"/>
  <c r="A275" i="33"/>
  <c r="B275" i="33"/>
  <c r="C275" i="33"/>
  <c r="D275" i="33"/>
  <c r="E275" i="33"/>
  <c r="F275" i="33"/>
  <c r="G275" i="33"/>
  <c r="H275" i="33"/>
  <c r="I275" i="33"/>
  <c r="J275" i="33"/>
  <c r="K275" i="33"/>
  <c r="L275" i="33"/>
  <c r="M275" i="33"/>
  <c r="N275" i="33"/>
  <c r="O275" i="33"/>
  <c r="Q275" i="33"/>
  <c r="R275" i="33"/>
  <c r="S275" i="33"/>
  <c r="A276" i="33"/>
  <c r="B276" i="33"/>
  <c r="C276" i="33"/>
  <c r="D276" i="33"/>
  <c r="E276" i="33"/>
  <c r="F276" i="33"/>
  <c r="G276" i="33"/>
  <c r="H276" i="33"/>
  <c r="I276" i="33"/>
  <c r="J276" i="33"/>
  <c r="K276" i="33"/>
  <c r="L276" i="33"/>
  <c r="M276" i="33"/>
  <c r="N276" i="33"/>
  <c r="O276" i="33"/>
  <c r="Q276" i="33"/>
  <c r="R276" i="33"/>
  <c r="S276" i="33"/>
  <c r="A277" i="33"/>
  <c r="B277" i="33"/>
  <c r="C277" i="33"/>
  <c r="D277" i="33"/>
  <c r="E277" i="33"/>
  <c r="F277" i="33"/>
  <c r="G277" i="33"/>
  <c r="H277" i="33"/>
  <c r="I277" i="33"/>
  <c r="J277" i="33"/>
  <c r="K277" i="33"/>
  <c r="L277" i="33"/>
  <c r="M277" i="33"/>
  <c r="N277" i="33"/>
  <c r="O277" i="33"/>
  <c r="Q277" i="33"/>
  <c r="R277" i="33"/>
  <c r="S277" i="33"/>
  <c r="A278" i="33"/>
  <c r="B278" i="33"/>
  <c r="C278" i="33"/>
  <c r="D278" i="33"/>
  <c r="E278" i="33"/>
  <c r="F278" i="33"/>
  <c r="G278" i="33"/>
  <c r="H278" i="33"/>
  <c r="I278" i="33"/>
  <c r="J278" i="33"/>
  <c r="K278" i="33"/>
  <c r="L278" i="33"/>
  <c r="M278" i="33"/>
  <c r="N278" i="33"/>
  <c r="O278" i="33"/>
  <c r="Q278" i="33"/>
  <c r="R278" i="33"/>
  <c r="S278" i="33"/>
  <c r="A279" i="33"/>
  <c r="B279" i="33"/>
  <c r="C279" i="33"/>
  <c r="D279" i="33"/>
  <c r="E279" i="33"/>
  <c r="F279" i="33"/>
  <c r="G279" i="33"/>
  <c r="H279" i="33"/>
  <c r="I279" i="33"/>
  <c r="J279" i="33"/>
  <c r="K279" i="33"/>
  <c r="L279" i="33"/>
  <c r="M279" i="33"/>
  <c r="N279" i="33"/>
  <c r="O279" i="33"/>
  <c r="Q279" i="33"/>
  <c r="R279" i="33"/>
  <c r="S279" i="33"/>
  <c r="A280" i="33"/>
  <c r="B280" i="33"/>
  <c r="C280" i="33"/>
  <c r="D280" i="33"/>
  <c r="E280" i="33"/>
  <c r="F280" i="33"/>
  <c r="G280" i="33"/>
  <c r="H280" i="33"/>
  <c r="I280" i="33"/>
  <c r="J280" i="33"/>
  <c r="K280" i="33"/>
  <c r="L280" i="33"/>
  <c r="M280" i="33"/>
  <c r="N280" i="33"/>
  <c r="O280" i="33"/>
  <c r="Q280" i="33"/>
  <c r="R280" i="33"/>
  <c r="S280" i="33"/>
  <c r="A281" i="33"/>
  <c r="B281" i="33"/>
  <c r="C281" i="33"/>
  <c r="D281" i="33"/>
  <c r="E281" i="33"/>
  <c r="F281" i="33"/>
  <c r="G281" i="33"/>
  <c r="H281" i="33"/>
  <c r="I281" i="33"/>
  <c r="J281" i="33"/>
  <c r="K281" i="33"/>
  <c r="L281" i="33"/>
  <c r="M281" i="33"/>
  <c r="N281" i="33"/>
  <c r="O281" i="33"/>
  <c r="Q281" i="33"/>
  <c r="R281" i="33"/>
  <c r="S281" i="33"/>
  <c r="A282" i="33"/>
  <c r="B282" i="33"/>
  <c r="C282" i="33"/>
  <c r="D282" i="33"/>
  <c r="E282" i="33"/>
  <c r="F282" i="33"/>
  <c r="G282" i="33"/>
  <c r="H282" i="33"/>
  <c r="I282" i="33"/>
  <c r="J282" i="33"/>
  <c r="K282" i="33"/>
  <c r="L282" i="33"/>
  <c r="M282" i="33"/>
  <c r="N282" i="33"/>
  <c r="O282" i="33"/>
  <c r="Q282" i="33"/>
  <c r="R282" i="33"/>
  <c r="S282" i="33"/>
  <c r="A283" i="33"/>
  <c r="B283" i="33"/>
  <c r="C283" i="33"/>
  <c r="D283" i="33"/>
  <c r="E283" i="33"/>
  <c r="F283" i="33"/>
  <c r="G283" i="33"/>
  <c r="H283" i="33"/>
  <c r="I283" i="33"/>
  <c r="J283" i="33"/>
  <c r="K283" i="33"/>
  <c r="L283" i="33"/>
  <c r="M283" i="33"/>
  <c r="N283" i="33"/>
  <c r="O283" i="33"/>
  <c r="Q283" i="33"/>
  <c r="R283" i="33"/>
  <c r="S283" i="33"/>
  <c r="A284" i="33"/>
  <c r="B284" i="33"/>
  <c r="C284" i="33"/>
  <c r="D284" i="33"/>
  <c r="E284" i="33"/>
  <c r="F284" i="33"/>
  <c r="G284" i="33"/>
  <c r="H284" i="33"/>
  <c r="I284" i="33"/>
  <c r="J284" i="33"/>
  <c r="K284" i="33"/>
  <c r="L284" i="33"/>
  <c r="M284" i="33"/>
  <c r="N284" i="33"/>
  <c r="O284" i="33"/>
  <c r="Q284" i="33"/>
  <c r="R284" i="33"/>
  <c r="S284" i="33"/>
  <c r="A285" i="33"/>
  <c r="B285" i="33"/>
  <c r="C285" i="33"/>
  <c r="D285" i="33"/>
  <c r="E285" i="33"/>
  <c r="F285" i="33"/>
  <c r="G285" i="33"/>
  <c r="H285" i="33"/>
  <c r="I285" i="33"/>
  <c r="J285" i="33"/>
  <c r="K285" i="33"/>
  <c r="L285" i="33"/>
  <c r="M285" i="33"/>
  <c r="N285" i="33"/>
  <c r="O285" i="33"/>
  <c r="Q285" i="33"/>
  <c r="R285" i="33"/>
  <c r="S285" i="33"/>
  <c r="A286" i="33"/>
  <c r="B286" i="33"/>
  <c r="C286" i="33"/>
  <c r="D286" i="33"/>
  <c r="E286" i="33"/>
  <c r="F286" i="33"/>
  <c r="G286" i="33"/>
  <c r="H286" i="33"/>
  <c r="I286" i="33"/>
  <c r="J286" i="33"/>
  <c r="K286" i="33"/>
  <c r="L286" i="33"/>
  <c r="M286" i="33"/>
  <c r="N286" i="33"/>
  <c r="O286" i="33"/>
  <c r="Q286" i="33"/>
  <c r="R286" i="33"/>
  <c r="S286" i="33"/>
  <c r="A287" i="33"/>
  <c r="B287" i="33"/>
  <c r="C287" i="33"/>
  <c r="D287" i="33"/>
  <c r="E287" i="33"/>
  <c r="F287" i="33"/>
  <c r="G287" i="33"/>
  <c r="H287" i="33"/>
  <c r="I287" i="33"/>
  <c r="J287" i="33"/>
  <c r="K287" i="33"/>
  <c r="L287" i="33"/>
  <c r="M287" i="33"/>
  <c r="N287" i="33"/>
  <c r="O287" i="33"/>
  <c r="Q287" i="33"/>
  <c r="R287" i="33"/>
  <c r="S287" i="33"/>
  <c r="A288" i="33"/>
  <c r="B288" i="33"/>
  <c r="C288" i="33"/>
  <c r="D288" i="33"/>
  <c r="E288" i="33"/>
  <c r="F288" i="33"/>
  <c r="G288" i="33"/>
  <c r="H288" i="33"/>
  <c r="I288" i="33"/>
  <c r="J288" i="33"/>
  <c r="K288" i="33"/>
  <c r="L288" i="33"/>
  <c r="M288" i="33"/>
  <c r="N288" i="33"/>
  <c r="O288" i="33"/>
  <c r="Q288" i="33"/>
  <c r="R288" i="33"/>
  <c r="S288" i="33"/>
  <c r="B291" i="33"/>
  <c r="C291" i="33"/>
  <c r="D291" i="33"/>
  <c r="E291" i="33"/>
  <c r="F291" i="33"/>
  <c r="G291" i="33"/>
  <c r="H291" i="33"/>
  <c r="I291" i="33"/>
  <c r="J291" i="33"/>
  <c r="K291" i="33"/>
  <c r="L291" i="33"/>
  <c r="M291" i="33"/>
  <c r="N291" i="33"/>
  <c r="O291" i="33"/>
  <c r="P291" i="33"/>
  <c r="Q291" i="33"/>
  <c r="R291" i="33"/>
  <c r="S291" i="33"/>
  <c r="A1" i="16"/>
  <c r="A2" i="16"/>
  <c r="A3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P8" i="16"/>
  <c r="AP9" i="16"/>
  <c r="B10" i="16"/>
  <c r="D10" i="16"/>
  <c r="AP10" i="16"/>
  <c r="D11" i="16"/>
  <c r="AP11" i="16"/>
  <c r="D12" i="16"/>
  <c r="AP12" i="16"/>
  <c r="D13" i="16"/>
  <c r="AP13" i="16"/>
  <c r="AP14" i="16"/>
  <c r="AP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P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P22" i="16"/>
  <c r="AP23" i="16"/>
  <c r="AP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P31" i="16"/>
  <c r="AP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P39" i="16"/>
  <c r="AP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P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P52" i="16"/>
  <c r="B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P54" i="16"/>
  <c r="AP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P57" i="16"/>
  <c r="AP58" i="16"/>
  <c r="AP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AO60" i="16"/>
  <c r="AP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P61" i="16"/>
  <c r="AP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O65" i="16"/>
  <c r="AP65" i="16"/>
  <c r="AO66" i="16"/>
  <c r="AP66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P68" i="16"/>
  <c r="D69" i="16"/>
  <c r="AP69" i="16"/>
  <c r="D70" i="16"/>
  <c r="AP70" i="16"/>
  <c r="AP71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P72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P73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P74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P75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D86" i="16"/>
  <c r="A1" i="29"/>
  <c r="A2" i="29"/>
  <c r="A3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C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C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C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Z57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Z58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Z63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B13" i="38"/>
  <c r="B14" i="38"/>
  <c r="B15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H37" i="38"/>
  <c r="C52" i="38"/>
  <c r="D52" i="38"/>
  <c r="E52" i="38"/>
  <c r="F52" i="38"/>
  <c r="G52" i="38"/>
  <c r="C53" i="38"/>
  <c r="G53" i="38"/>
  <c r="D54" i="38"/>
  <c r="E54" i="38"/>
  <c r="F54" i="38"/>
  <c r="G54" i="38"/>
  <c r="G55" i="38"/>
  <c r="G56" i="38"/>
  <c r="G57" i="38"/>
  <c r="G58" i="38"/>
  <c r="G59" i="38"/>
  <c r="A1" i="2"/>
  <c r="A2" i="2"/>
  <c r="A3" i="2"/>
  <c r="A10" i="2"/>
  <c r="B10" i="2"/>
  <c r="C10" i="2"/>
  <c r="D10" i="2"/>
  <c r="B11" i="2"/>
  <c r="C11" i="2"/>
  <c r="D11" i="2"/>
  <c r="A13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A23" i="2"/>
  <c r="B23" i="2"/>
  <c r="C23" i="2"/>
  <c r="B24" i="2"/>
  <c r="C24" i="2"/>
  <c r="B25" i="2"/>
  <c r="C25" i="2"/>
  <c r="A27" i="2"/>
  <c r="C27" i="2"/>
  <c r="B28" i="2"/>
  <c r="C28" i="2"/>
  <c r="D28" i="2"/>
  <c r="B29" i="2"/>
  <c r="C29" i="2"/>
  <c r="D29" i="2"/>
  <c r="C30" i="2"/>
  <c r="A32" i="2"/>
  <c r="B32" i="2"/>
  <c r="C32" i="2"/>
  <c r="C33" i="2"/>
  <c r="C34" i="2"/>
  <c r="D34" i="2"/>
  <c r="E34" i="2"/>
  <c r="C35" i="2"/>
  <c r="D35" i="2"/>
  <c r="E35" i="2"/>
  <c r="A37" i="2"/>
  <c r="C37" i="2"/>
  <c r="C38" i="2"/>
  <c r="B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A50" i="2"/>
  <c r="B50" i="2"/>
  <c r="B52" i="2"/>
  <c r="C52" i="2"/>
  <c r="B53" i="2"/>
  <c r="C53" i="2"/>
  <c r="B54" i="2"/>
  <c r="C54" i="2"/>
  <c r="A56" i="2"/>
  <c r="C56" i="2"/>
  <c r="C57" i="2"/>
  <c r="C58" i="2"/>
  <c r="A60" i="2"/>
  <c r="A1" i="3"/>
  <c r="A2" i="3"/>
  <c r="A3" i="3"/>
  <c r="A10" i="3"/>
  <c r="B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B28" i="3"/>
  <c r="C28" i="3"/>
  <c r="D28" i="3"/>
  <c r="A30" i="3"/>
  <c r="B30" i="3"/>
  <c r="C30" i="3"/>
  <c r="B31" i="3"/>
  <c r="C31" i="3"/>
  <c r="A33" i="3"/>
  <c r="B33" i="3"/>
  <c r="B34" i="3"/>
  <c r="B35" i="3"/>
  <c r="C35" i="3"/>
  <c r="C37" i="3"/>
  <c r="B38" i="3"/>
  <c r="C38" i="3"/>
  <c r="A40" i="3"/>
  <c r="B41" i="3"/>
  <c r="C41" i="3"/>
  <c r="D41" i="3"/>
  <c r="E41" i="3"/>
  <c r="B42" i="3"/>
  <c r="C42" i="3"/>
  <c r="D42" i="3"/>
  <c r="E42" i="3"/>
  <c r="B43" i="3"/>
  <c r="C43" i="3"/>
  <c r="D43" i="3"/>
  <c r="E43" i="3"/>
  <c r="A45" i="3"/>
  <c r="B45" i="3"/>
  <c r="B46" i="3"/>
  <c r="D46" i="3"/>
  <c r="B47" i="3"/>
  <c r="D47" i="3"/>
  <c r="A49" i="3"/>
  <c r="B50" i="3"/>
  <c r="C50" i="3"/>
  <c r="A1" i="4"/>
  <c r="A2" i="4"/>
  <c r="A3" i="4"/>
  <c r="A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8" i="4"/>
  <c r="C38" i="4"/>
  <c r="B39" i="4"/>
  <c r="C39" i="4"/>
  <c r="B40" i="4"/>
  <c r="C40" i="4"/>
  <c r="B41" i="4"/>
  <c r="C41" i="4"/>
  <c r="B43" i="4"/>
  <c r="C43" i="4"/>
  <c r="B44" i="4"/>
  <c r="C44" i="4"/>
  <c r="B46" i="4"/>
  <c r="C46" i="4"/>
  <c r="I46" i="4"/>
  <c r="B47" i="4"/>
  <c r="C47" i="4"/>
  <c r="I47" i="4"/>
  <c r="B48" i="4"/>
  <c r="C48" i="4"/>
  <c r="B50" i="4"/>
  <c r="C50" i="4"/>
  <c r="B51" i="4"/>
  <c r="C51" i="4"/>
  <c r="A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A59" i="4"/>
  <c r="C59" i="4"/>
  <c r="D59" i="4"/>
  <c r="E59" i="4"/>
  <c r="B60" i="4"/>
  <c r="C60" i="4"/>
  <c r="D60" i="4"/>
  <c r="E60" i="4"/>
  <c r="B61" i="4"/>
  <c r="C61" i="4"/>
  <c r="D61" i="4"/>
  <c r="E61" i="4"/>
  <c r="A63" i="4"/>
  <c r="B63" i="4"/>
  <c r="C65" i="4"/>
  <c r="D65" i="4"/>
  <c r="C66" i="4"/>
  <c r="D66" i="4"/>
  <c r="A1" i="5"/>
  <c r="A2" i="5"/>
  <c r="A3" i="5"/>
  <c r="A10" i="5"/>
  <c r="B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A65" i="5"/>
  <c r="B65" i="5"/>
  <c r="C65" i="5"/>
  <c r="D65" i="5"/>
  <c r="B66" i="5"/>
  <c r="C66" i="5"/>
  <c r="D66" i="5"/>
  <c r="B67" i="5"/>
  <c r="C67" i="5"/>
  <c r="D67" i="5"/>
  <c r="A1" i="30"/>
  <c r="A2" i="30"/>
  <c r="A3" i="30"/>
  <c r="A10" i="30"/>
  <c r="B10" i="30"/>
  <c r="D10" i="30"/>
  <c r="B11" i="30"/>
  <c r="C11" i="30"/>
  <c r="D11" i="30"/>
  <c r="B12" i="30"/>
  <c r="C12" i="30"/>
  <c r="A14" i="30"/>
  <c r="C15" i="30"/>
  <c r="D15" i="30"/>
  <c r="C16" i="30"/>
  <c r="D16" i="30"/>
  <c r="C17" i="30"/>
  <c r="D17" i="30"/>
  <c r="A19" i="30"/>
  <c r="B19" i="30"/>
  <c r="C19" i="30"/>
  <c r="B20" i="30"/>
  <c r="C20" i="30"/>
  <c r="B21" i="30"/>
  <c r="C21" i="30"/>
  <c r="A23" i="30"/>
  <c r="B23" i="30"/>
  <c r="C23" i="30"/>
  <c r="B24" i="30"/>
  <c r="C24" i="30"/>
  <c r="B25" i="30"/>
  <c r="C25" i="30"/>
  <c r="A1" i="12"/>
  <c r="A2" i="12"/>
  <c r="A3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B17" i="12"/>
  <c r="B19" i="12"/>
  <c r="C19" i="12"/>
  <c r="C20" i="12"/>
  <c r="C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C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B41" i="12"/>
  <c r="B43" i="12"/>
  <c r="C43" i="12"/>
  <c r="C44" i="12"/>
  <c r="C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B57" i="12"/>
  <c r="B59" i="12"/>
  <c r="C59" i="12"/>
  <c r="C60" i="12"/>
  <c r="C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B73" i="12"/>
  <c r="B75" i="12"/>
  <c r="C75" i="12"/>
  <c r="C76" i="12"/>
  <c r="C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79" i="12"/>
  <c r="A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C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B92" i="12"/>
  <c r="B94" i="12"/>
  <c r="C94" i="12"/>
  <c r="B95" i="12"/>
  <c r="C95" i="12"/>
  <c r="A97" i="12"/>
  <c r="A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C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B110" i="12"/>
  <c r="B112" i="12"/>
  <c r="C112" i="12"/>
  <c r="B113" i="12"/>
  <c r="C113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B124" i="12"/>
  <c r="B126" i="12"/>
  <c r="C126" i="12"/>
  <c r="C127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B138" i="12"/>
  <c r="B140" i="12"/>
  <c r="C140" i="12"/>
  <c r="C141" i="12"/>
  <c r="A1" i="18"/>
  <c r="A2" i="18"/>
  <c r="A3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AA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A9" i="18"/>
  <c r="AA10" i="18"/>
  <c r="AA11" i="18"/>
  <c r="AA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A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A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AA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A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AA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A23" i="18"/>
  <c r="AA24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AA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AA26" i="18"/>
  <c r="A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AA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AA28" i="18"/>
  <c r="AA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AA30" i="18"/>
  <c r="AA31" i="18"/>
  <c r="AA32" i="18"/>
  <c r="AA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A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AA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A37" i="18"/>
  <c r="AA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AA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A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A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A47" i="18"/>
  <c r="AA48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AA53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A55" i="18"/>
  <c r="AA56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A57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1" i="32"/>
  <c r="A2" i="32"/>
  <c r="A3" i="32"/>
  <c r="K9" i="32"/>
  <c r="K10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A16" i="32"/>
  <c r="C16" i="32"/>
  <c r="D16" i="32"/>
  <c r="E16" i="32"/>
  <c r="F16" i="32"/>
  <c r="G16" i="32"/>
  <c r="H16" i="32"/>
  <c r="I16" i="32"/>
  <c r="J16" i="32"/>
  <c r="K16" i="32"/>
  <c r="L16" i="32"/>
  <c r="M16" i="32"/>
  <c r="A17" i="32"/>
  <c r="C17" i="32"/>
  <c r="D17" i="32"/>
  <c r="E17" i="32"/>
  <c r="F17" i="32"/>
  <c r="G17" i="32"/>
  <c r="H17" i="32"/>
  <c r="I17" i="32"/>
  <c r="J17" i="32"/>
  <c r="K17" i="32"/>
  <c r="L17" i="32"/>
  <c r="M17" i="32"/>
  <c r="A18" i="32"/>
  <c r="C18" i="32"/>
  <c r="D18" i="32"/>
  <c r="E18" i="32"/>
  <c r="F18" i="32"/>
  <c r="G18" i="32"/>
  <c r="H18" i="32"/>
  <c r="I18" i="32"/>
  <c r="J18" i="32"/>
  <c r="K18" i="32"/>
  <c r="L18" i="32"/>
  <c r="M18" i="32"/>
  <c r="A19" i="32"/>
  <c r="C19" i="32"/>
  <c r="D19" i="32"/>
  <c r="E19" i="32"/>
  <c r="F19" i="32"/>
  <c r="G19" i="32"/>
  <c r="H19" i="32"/>
  <c r="I19" i="32"/>
  <c r="J19" i="32"/>
  <c r="K19" i="32"/>
  <c r="L19" i="32"/>
  <c r="M19" i="32"/>
  <c r="A20" i="32"/>
  <c r="C20" i="32"/>
  <c r="D20" i="32"/>
  <c r="E20" i="32"/>
  <c r="F20" i="32"/>
  <c r="G20" i="32"/>
  <c r="H20" i="32"/>
  <c r="I20" i="32"/>
  <c r="J20" i="32"/>
  <c r="K20" i="32"/>
  <c r="L20" i="32"/>
  <c r="M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A22" i="32"/>
  <c r="C22" i="32"/>
  <c r="D22" i="32"/>
  <c r="E22" i="32"/>
  <c r="F22" i="32"/>
  <c r="G22" i="32"/>
  <c r="H22" i="32"/>
  <c r="I22" i="32"/>
  <c r="J22" i="32"/>
  <c r="K22" i="32"/>
  <c r="L22" i="32"/>
  <c r="M22" i="32"/>
  <c r="A23" i="32"/>
  <c r="C23" i="32"/>
  <c r="D23" i="32"/>
  <c r="E23" i="32"/>
  <c r="F23" i="32"/>
  <c r="G23" i="32"/>
  <c r="H23" i="32"/>
  <c r="I23" i="32"/>
  <c r="J23" i="32"/>
  <c r="K23" i="32"/>
  <c r="L23" i="32"/>
  <c r="M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A25" i="32"/>
  <c r="C25" i="32"/>
  <c r="D25" i="32"/>
  <c r="E25" i="32"/>
  <c r="F25" i="32"/>
  <c r="G25" i="32"/>
  <c r="H25" i="32"/>
  <c r="I25" i="32"/>
  <c r="J25" i="32"/>
  <c r="K25" i="32"/>
  <c r="L25" i="32"/>
  <c r="M25" i="32"/>
  <c r="A26" i="32"/>
  <c r="C26" i="32"/>
  <c r="D26" i="32"/>
  <c r="E26" i="32"/>
  <c r="F26" i="32"/>
  <c r="G26" i="32"/>
  <c r="H26" i="32"/>
  <c r="I26" i="32"/>
  <c r="J26" i="32"/>
  <c r="K26" i="32"/>
  <c r="L26" i="32"/>
  <c r="M26" i="32"/>
  <c r="A27" i="32"/>
  <c r="C27" i="32"/>
  <c r="D27" i="32"/>
  <c r="E27" i="32"/>
  <c r="F27" i="32"/>
  <c r="G27" i="32"/>
  <c r="H27" i="32"/>
  <c r="I27" i="32"/>
  <c r="J27" i="32"/>
  <c r="K27" i="32"/>
  <c r="L27" i="32"/>
  <c r="M27" i="32"/>
  <c r="A28" i="32"/>
  <c r="C28" i="32"/>
  <c r="D28" i="32"/>
  <c r="E28" i="32"/>
  <c r="F28" i="32"/>
  <c r="G28" i="32"/>
  <c r="H28" i="32"/>
  <c r="I28" i="32"/>
  <c r="J28" i="32"/>
  <c r="K28" i="32"/>
  <c r="L28" i="32"/>
  <c r="M28" i="32"/>
  <c r="A29" i="32"/>
  <c r="C29" i="32"/>
  <c r="D29" i="32"/>
  <c r="E29" i="32"/>
  <c r="F29" i="32"/>
  <c r="G29" i="32"/>
  <c r="H29" i="32"/>
  <c r="I29" i="32"/>
  <c r="J29" i="32"/>
  <c r="K29" i="32"/>
  <c r="L29" i="32"/>
  <c r="M29" i="32"/>
  <c r="A30" i="32"/>
  <c r="C30" i="32"/>
  <c r="D30" i="32"/>
  <c r="E30" i="32"/>
  <c r="F30" i="32"/>
  <c r="G30" i="32"/>
  <c r="H30" i="32"/>
  <c r="I30" i="32"/>
  <c r="J30" i="32"/>
  <c r="K30" i="32"/>
  <c r="L30" i="32"/>
  <c r="M30" i="32"/>
  <c r="A31" i="32"/>
  <c r="C31" i="32"/>
  <c r="D31" i="32"/>
  <c r="E31" i="32"/>
  <c r="F31" i="32"/>
  <c r="G31" i="32"/>
  <c r="H31" i="32"/>
  <c r="I31" i="32"/>
  <c r="J31" i="32"/>
  <c r="K31" i="32"/>
  <c r="L31" i="32"/>
  <c r="M31" i="32"/>
  <c r="A32" i="32"/>
  <c r="C32" i="32"/>
  <c r="D32" i="32"/>
  <c r="E32" i="32"/>
  <c r="F32" i="32"/>
  <c r="G32" i="32"/>
  <c r="H32" i="32"/>
  <c r="I32" i="32"/>
  <c r="J32" i="32"/>
  <c r="K32" i="32"/>
  <c r="L32" i="32"/>
  <c r="M32" i="32"/>
  <c r="A33" i="32"/>
  <c r="C33" i="32"/>
  <c r="D33" i="32"/>
  <c r="E33" i="32"/>
  <c r="F33" i="32"/>
  <c r="G33" i="32"/>
  <c r="H33" i="32"/>
  <c r="I33" i="32"/>
  <c r="J33" i="32"/>
  <c r="K33" i="32"/>
  <c r="L33" i="32"/>
  <c r="M33" i="32"/>
  <c r="A34" i="32"/>
  <c r="C34" i="32"/>
  <c r="D34" i="32"/>
  <c r="E34" i="32"/>
  <c r="F34" i="32"/>
  <c r="G34" i="32"/>
  <c r="H34" i="32"/>
  <c r="I34" i="32"/>
  <c r="J34" i="32"/>
  <c r="K34" i="32"/>
  <c r="L34" i="32"/>
  <c r="M34" i="32"/>
  <c r="A35" i="32"/>
  <c r="C35" i="32"/>
  <c r="D35" i="32"/>
  <c r="E35" i="32"/>
  <c r="F35" i="32"/>
  <c r="G35" i="32"/>
  <c r="H35" i="32"/>
  <c r="I35" i="32"/>
  <c r="J35" i="32"/>
  <c r="K35" i="32"/>
  <c r="L35" i="32"/>
  <c r="M35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A37" i="32"/>
  <c r="C37" i="32"/>
  <c r="D37" i="32"/>
  <c r="E37" i="32"/>
  <c r="F37" i="32"/>
  <c r="G37" i="32"/>
  <c r="H37" i="32"/>
  <c r="I37" i="32"/>
  <c r="J37" i="32"/>
  <c r="K37" i="32"/>
  <c r="L37" i="32"/>
  <c r="M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A39" i="32"/>
  <c r="C39" i="32"/>
  <c r="D39" i="32"/>
  <c r="E39" i="32"/>
  <c r="F39" i="32"/>
  <c r="G39" i="32"/>
  <c r="H39" i="32"/>
  <c r="I39" i="32"/>
  <c r="J39" i="32"/>
  <c r="K39" i="32"/>
  <c r="L39" i="32"/>
  <c r="M39" i="32"/>
  <c r="A40" i="32"/>
  <c r="C40" i="32"/>
  <c r="D40" i="32"/>
  <c r="E40" i="32"/>
  <c r="F40" i="32"/>
  <c r="G40" i="32"/>
  <c r="H40" i="32"/>
  <c r="I40" i="32"/>
  <c r="J40" i="32"/>
  <c r="K40" i="32"/>
  <c r="L40" i="32"/>
  <c r="M40" i="32"/>
  <c r="A41" i="32"/>
  <c r="C41" i="32"/>
  <c r="D41" i="32"/>
  <c r="E41" i="32"/>
  <c r="F41" i="32"/>
  <c r="G41" i="32"/>
  <c r="H41" i="32"/>
  <c r="I41" i="32"/>
  <c r="J41" i="32"/>
  <c r="K41" i="32"/>
  <c r="L41" i="32"/>
  <c r="M41" i="32"/>
  <c r="A42" i="32"/>
  <c r="C42" i="32"/>
  <c r="D42" i="32"/>
  <c r="E42" i="32"/>
  <c r="F42" i="32"/>
  <c r="G42" i="32"/>
  <c r="H42" i="32"/>
  <c r="I42" i="32"/>
  <c r="J42" i="32"/>
  <c r="K42" i="32"/>
  <c r="L42" i="32"/>
  <c r="M42" i="32"/>
  <c r="A43" i="32"/>
  <c r="C43" i="32"/>
  <c r="D43" i="32"/>
  <c r="E43" i="32"/>
  <c r="F43" i="32"/>
  <c r="G43" i="32"/>
  <c r="H43" i="32"/>
  <c r="I43" i="32"/>
  <c r="J43" i="32"/>
  <c r="K43" i="32"/>
  <c r="L43" i="32"/>
  <c r="M43" i="32"/>
  <c r="A44" i="32"/>
  <c r="C44" i="32"/>
  <c r="D44" i="32"/>
  <c r="E44" i="32"/>
  <c r="F44" i="32"/>
  <c r="G44" i="32"/>
  <c r="H44" i="32"/>
  <c r="I44" i="32"/>
  <c r="J44" i="32"/>
  <c r="K44" i="32"/>
  <c r="L44" i="32"/>
  <c r="M44" i="32"/>
  <c r="A45" i="32"/>
  <c r="C45" i="32"/>
  <c r="D45" i="32"/>
  <c r="E45" i="32"/>
  <c r="F45" i="32"/>
  <c r="G45" i="32"/>
  <c r="H45" i="32"/>
  <c r="I45" i="32"/>
  <c r="J45" i="32"/>
  <c r="K45" i="32"/>
  <c r="L45" i="32"/>
  <c r="M45" i="32"/>
  <c r="A46" i="32"/>
  <c r="C46" i="32"/>
  <c r="D46" i="32"/>
  <c r="E46" i="32"/>
  <c r="F46" i="32"/>
  <c r="G46" i="32"/>
  <c r="H46" i="32"/>
  <c r="I46" i="32"/>
  <c r="J46" i="32"/>
  <c r="K46" i="32"/>
  <c r="L46" i="32"/>
  <c r="M46" i="32"/>
  <c r="A47" i="32"/>
  <c r="C47" i="32"/>
  <c r="D47" i="32"/>
  <c r="E47" i="32"/>
  <c r="F47" i="32"/>
  <c r="G47" i="32"/>
  <c r="H47" i="32"/>
  <c r="I47" i="32"/>
  <c r="J47" i="32"/>
  <c r="K47" i="32"/>
  <c r="L47" i="32"/>
  <c r="M47" i="32"/>
  <c r="A48" i="32"/>
  <c r="C48" i="32"/>
  <c r="D48" i="32"/>
  <c r="E48" i="32"/>
  <c r="F48" i="32"/>
  <c r="G48" i="32"/>
  <c r="H48" i="32"/>
  <c r="I48" i="32"/>
  <c r="J48" i="32"/>
  <c r="K48" i="32"/>
  <c r="L48" i="32"/>
  <c r="M48" i="32"/>
  <c r="A49" i="32"/>
  <c r="C49" i="32"/>
  <c r="D49" i="32"/>
  <c r="E49" i="32"/>
  <c r="F49" i="32"/>
  <c r="G49" i="32"/>
  <c r="H49" i="32"/>
  <c r="I49" i="32"/>
  <c r="J49" i="32"/>
  <c r="K49" i="32"/>
  <c r="L49" i="32"/>
  <c r="M49" i="32"/>
  <c r="A50" i="32"/>
  <c r="C50" i="32"/>
  <c r="D50" i="32"/>
  <c r="E50" i="32"/>
  <c r="F50" i="32"/>
  <c r="G50" i="32"/>
  <c r="H50" i="32"/>
  <c r="I50" i="32"/>
  <c r="J50" i="32"/>
  <c r="K50" i="32"/>
  <c r="L50" i="32"/>
  <c r="M50" i="32"/>
  <c r="A51" i="32"/>
  <c r="C51" i="32"/>
  <c r="D51" i="32"/>
  <c r="E51" i="32"/>
  <c r="F51" i="32"/>
  <c r="G51" i="32"/>
  <c r="H51" i="32"/>
  <c r="I51" i="32"/>
  <c r="J51" i="32"/>
  <c r="K51" i="32"/>
  <c r="L51" i="32"/>
  <c r="M51" i="32"/>
  <c r="A52" i="32"/>
  <c r="C52" i="32"/>
  <c r="D52" i="32"/>
  <c r="E52" i="32"/>
  <c r="F52" i="32"/>
  <c r="G52" i="32"/>
  <c r="H52" i="32"/>
  <c r="I52" i="32"/>
  <c r="J52" i="32"/>
  <c r="K52" i="32"/>
  <c r="L52" i="32"/>
  <c r="M52" i="32"/>
  <c r="A53" i="32"/>
  <c r="C53" i="32"/>
  <c r="D53" i="32"/>
  <c r="E53" i="32"/>
  <c r="F53" i="32"/>
  <c r="G53" i="32"/>
  <c r="H53" i="32"/>
  <c r="I53" i="32"/>
  <c r="J53" i="32"/>
  <c r="K53" i="32"/>
  <c r="L53" i="32"/>
  <c r="M53" i="32"/>
  <c r="A54" i="32"/>
  <c r="C54" i="32"/>
  <c r="D54" i="32"/>
  <c r="E54" i="32"/>
  <c r="F54" i="32"/>
  <c r="G54" i="32"/>
  <c r="H54" i="32"/>
  <c r="I54" i="32"/>
  <c r="J54" i="32"/>
  <c r="K54" i="32"/>
  <c r="L54" i="32"/>
  <c r="M54" i="32"/>
  <c r="A55" i="32"/>
  <c r="C55" i="32"/>
  <c r="D55" i="32"/>
  <c r="E55" i="32"/>
  <c r="F55" i="32"/>
  <c r="G55" i="32"/>
  <c r="H55" i="32"/>
  <c r="I55" i="32"/>
  <c r="J55" i="32"/>
  <c r="K55" i="32"/>
  <c r="L55" i="32"/>
  <c r="M55" i="32"/>
  <c r="A56" i="32"/>
  <c r="C56" i="32"/>
  <c r="D56" i="32"/>
  <c r="E56" i="32"/>
  <c r="F56" i="32"/>
  <c r="G56" i="32"/>
  <c r="H56" i="32"/>
  <c r="I56" i="32"/>
  <c r="J56" i="32"/>
  <c r="K56" i="32"/>
  <c r="L56" i="32"/>
  <c r="M56" i="32"/>
  <c r="A57" i="32"/>
  <c r="C57" i="32"/>
  <c r="D57" i="32"/>
  <c r="E57" i="32"/>
  <c r="F57" i="32"/>
  <c r="G57" i="32"/>
  <c r="H57" i="32"/>
  <c r="I57" i="32"/>
  <c r="J57" i="32"/>
  <c r="K57" i="32"/>
  <c r="L57" i="32"/>
  <c r="M57" i="32"/>
  <c r="A58" i="32"/>
  <c r="C58" i="32"/>
  <c r="D58" i="32"/>
  <c r="E58" i="32"/>
  <c r="F58" i="32"/>
  <c r="G58" i="32"/>
  <c r="H58" i="32"/>
  <c r="I58" i="32"/>
  <c r="J58" i="32"/>
  <c r="K58" i="32"/>
  <c r="L58" i="32"/>
  <c r="M58" i="32"/>
  <c r="A59" i="32"/>
  <c r="C59" i="32"/>
  <c r="D59" i="32"/>
  <c r="E59" i="32"/>
  <c r="F59" i="32"/>
  <c r="G59" i="32"/>
  <c r="H59" i="32"/>
  <c r="I59" i="32"/>
  <c r="J59" i="32"/>
  <c r="K59" i="32"/>
  <c r="L59" i="32"/>
  <c r="M59" i="32"/>
  <c r="A60" i="32"/>
  <c r="C60" i="32"/>
  <c r="D60" i="32"/>
  <c r="E60" i="32"/>
  <c r="F60" i="32"/>
  <c r="G60" i="32"/>
  <c r="H60" i="32"/>
  <c r="I60" i="32"/>
  <c r="J60" i="32"/>
  <c r="K60" i="32"/>
  <c r="L60" i="32"/>
  <c r="M60" i="32"/>
  <c r="A61" i="32"/>
  <c r="C61" i="32"/>
  <c r="D61" i="32"/>
  <c r="E61" i="32"/>
  <c r="F61" i="32"/>
  <c r="G61" i="32"/>
  <c r="H61" i="32"/>
  <c r="I61" i="32"/>
  <c r="J61" i="32"/>
  <c r="K61" i="32"/>
  <c r="L61" i="32"/>
  <c r="M61" i="32"/>
  <c r="A62" i="32"/>
  <c r="C62" i="32"/>
  <c r="D62" i="32"/>
  <c r="E62" i="32"/>
  <c r="F62" i="32"/>
  <c r="G62" i="32"/>
  <c r="H62" i="32"/>
  <c r="I62" i="32"/>
  <c r="J62" i="32"/>
  <c r="K62" i="32"/>
  <c r="L62" i="32"/>
  <c r="M62" i="32"/>
  <c r="A63" i="32"/>
  <c r="C63" i="32"/>
  <c r="D63" i="32"/>
  <c r="E63" i="32"/>
  <c r="F63" i="32"/>
  <c r="G63" i="32"/>
  <c r="H63" i="32"/>
  <c r="I63" i="32"/>
  <c r="J63" i="32"/>
  <c r="K63" i="32"/>
  <c r="L63" i="32"/>
  <c r="M63" i="32"/>
  <c r="A64" i="32"/>
  <c r="C64" i="32"/>
  <c r="D64" i="32"/>
  <c r="E64" i="32"/>
  <c r="F64" i="32"/>
  <c r="G64" i="32"/>
  <c r="H64" i="32"/>
  <c r="I64" i="32"/>
  <c r="J64" i="32"/>
  <c r="K64" i="32"/>
  <c r="L64" i="32"/>
  <c r="M64" i="32"/>
  <c r="A65" i="32"/>
  <c r="C65" i="32"/>
  <c r="D65" i="32"/>
  <c r="E65" i="32"/>
  <c r="F65" i="32"/>
  <c r="G65" i="32"/>
  <c r="H65" i="32"/>
  <c r="I65" i="32"/>
  <c r="J65" i="32"/>
  <c r="K65" i="32"/>
  <c r="L65" i="32"/>
  <c r="M65" i="32"/>
  <c r="A66" i="32"/>
  <c r="C66" i="32"/>
  <c r="D66" i="32"/>
  <c r="E66" i="32"/>
  <c r="F66" i="32"/>
  <c r="G66" i="32"/>
  <c r="H66" i="32"/>
  <c r="I66" i="32"/>
  <c r="J66" i="32"/>
  <c r="K66" i="32"/>
  <c r="L66" i="32"/>
  <c r="M66" i="32"/>
  <c r="A67" i="32"/>
  <c r="C67" i="32"/>
  <c r="D67" i="32"/>
  <c r="E67" i="32"/>
  <c r="F67" i="32"/>
  <c r="G67" i="32"/>
  <c r="H67" i="32"/>
  <c r="I67" i="32"/>
  <c r="J67" i="32"/>
  <c r="K67" i="32"/>
  <c r="L67" i="32"/>
  <c r="M67" i="32"/>
  <c r="A68" i="32"/>
  <c r="C68" i="32"/>
  <c r="D68" i="32"/>
  <c r="E68" i="32"/>
  <c r="F68" i="32"/>
  <c r="G68" i="32"/>
  <c r="H68" i="32"/>
  <c r="I68" i="32"/>
  <c r="J68" i="32"/>
  <c r="K68" i="32"/>
  <c r="L68" i="32"/>
  <c r="M68" i="32"/>
  <c r="A69" i="32"/>
  <c r="C69" i="32"/>
  <c r="D69" i="32"/>
  <c r="E69" i="32"/>
  <c r="F69" i="32"/>
  <c r="G69" i="32"/>
  <c r="H69" i="32"/>
  <c r="I69" i="32"/>
  <c r="J69" i="32"/>
  <c r="K69" i="32"/>
  <c r="L69" i="32"/>
  <c r="M69" i="32"/>
  <c r="A70" i="32"/>
  <c r="C70" i="32"/>
  <c r="D70" i="32"/>
  <c r="E70" i="32"/>
  <c r="F70" i="32"/>
  <c r="G70" i="32"/>
  <c r="H70" i="32"/>
  <c r="I70" i="32"/>
  <c r="J70" i="32"/>
  <c r="K70" i="32"/>
  <c r="L70" i="32"/>
  <c r="M70" i="32"/>
  <c r="A71" i="32"/>
  <c r="C71" i="32"/>
  <c r="D71" i="32"/>
  <c r="E71" i="32"/>
  <c r="F71" i="32"/>
  <c r="G71" i="32"/>
  <c r="H71" i="32"/>
  <c r="I71" i="32"/>
  <c r="J71" i="32"/>
  <c r="K71" i="32"/>
  <c r="L71" i="32"/>
  <c r="M71" i="32"/>
  <c r="A72" i="32"/>
  <c r="C72" i="32"/>
  <c r="D72" i="32"/>
  <c r="E72" i="32"/>
  <c r="F72" i="32"/>
  <c r="G72" i="32"/>
  <c r="H72" i="32"/>
  <c r="I72" i="32"/>
  <c r="J72" i="32"/>
  <c r="K72" i="32"/>
  <c r="L72" i="32"/>
  <c r="M72" i="32"/>
  <c r="A73" i="32"/>
  <c r="C73" i="32"/>
  <c r="D73" i="32"/>
  <c r="E73" i="32"/>
  <c r="F73" i="32"/>
  <c r="G73" i="32"/>
  <c r="H73" i="32"/>
  <c r="I73" i="32"/>
  <c r="J73" i="32"/>
  <c r="K73" i="32"/>
  <c r="L73" i="32"/>
  <c r="M73" i="32"/>
  <c r="A74" i="32"/>
  <c r="C74" i="32"/>
  <c r="D74" i="32"/>
  <c r="E74" i="32"/>
  <c r="F74" i="32"/>
  <c r="G74" i="32"/>
  <c r="H74" i="32"/>
  <c r="I74" i="32"/>
  <c r="J74" i="32"/>
  <c r="K74" i="32"/>
  <c r="L74" i="32"/>
  <c r="M74" i="32"/>
  <c r="A75" i="32"/>
  <c r="C75" i="32"/>
  <c r="D75" i="32"/>
  <c r="E75" i="32"/>
  <c r="F75" i="32"/>
  <c r="G75" i="32"/>
  <c r="H75" i="32"/>
  <c r="I75" i="32"/>
  <c r="J75" i="32"/>
  <c r="K75" i="32"/>
  <c r="L75" i="32"/>
  <c r="M75" i="32"/>
  <c r="A76" i="32"/>
  <c r="C76" i="32"/>
  <c r="D76" i="32"/>
  <c r="E76" i="32"/>
  <c r="F76" i="32"/>
  <c r="G76" i="32"/>
  <c r="H76" i="32"/>
  <c r="I76" i="32"/>
  <c r="J76" i="32"/>
  <c r="K76" i="32"/>
  <c r="L76" i="32"/>
  <c r="M76" i="32"/>
  <c r="A77" i="32"/>
  <c r="C77" i="32"/>
  <c r="D77" i="32"/>
  <c r="E77" i="32"/>
  <c r="F77" i="32"/>
  <c r="G77" i="32"/>
  <c r="H77" i="32"/>
  <c r="I77" i="32"/>
  <c r="J77" i="32"/>
  <c r="K77" i="32"/>
  <c r="L77" i="32"/>
  <c r="M77" i="32"/>
  <c r="A78" i="32"/>
  <c r="C78" i="32"/>
  <c r="D78" i="32"/>
  <c r="E78" i="32"/>
  <c r="F78" i="32"/>
  <c r="G78" i="32"/>
  <c r="H78" i="32"/>
  <c r="I78" i="32"/>
  <c r="J78" i="32"/>
  <c r="K78" i="32"/>
  <c r="L78" i="32"/>
  <c r="M78" i="32"/>
  <c r="A79" i="32"/>
  <c r="C79" i="32"/>
  <c r="D79" i="32"/>
  <c r="E79" i="32"/>
  <c r="F79" i="32"/>
  <c r="G79" i="32"/>
  <c r="H79" i="32"/>
  <c r="I79" i="32"/>
  <c r="J79" i="32"/>
  <c r="K79" i="32"/>
  <c r="L79" i="32"/>
  <c r="M79" i="32"/>
  <c r="A80" i="32"/>
  <c r="C80" i="32"/>
  <c r="D80" i="32"/>
  <c r="E80" i="32"/>
  <c r="F80" i="32"/>
  <c r="G80" i="32"/>
  <c r="H80" i="32"/>
  <c r="I80" i="32"/>
  <c r="J80" i="32"/>
  <c r="K80" i="32"/>
  <c r="L80" i="32"/>
  <c r="M80" i="32"/>
  <c r="A81" i="32"/>
  <c r="C81" i="32"/>
  <c r="D81" i="32"/>
  <c r="E81" i="32"/>
  <c r="F81" i="32"/>
  <c r="G81" i="32"/>
  <c r="H81" i="32"/>
  <c r="I81" i="32"/>
  <c r="J81" i="32"/>
  <c r="K81" i="32"/>
  <c r="L81" i="32"/>
  <c r="M81" i="32"/>
  <c r="A82" i="32"/>
  <c r="C82" i="32"/>
  <c r="D82" i="32"/>
  <c r="E82" i="32"/>
  <c r="F82" i="32"/>
  <c r="G82" i="32"/>
  <c r="H82" i="32"/>
  <c r="I82" i="32"/>
  <c r="J82" i="32"/>
  <c r="K82" i="32"/>
  <c r="L82" i="32"/>
  <c r="M82" i="32"/>
  <c r="A83" i="32"/>
  <c r="C83" i="32"/>
  <c r="D83" i="32"/>
  <c r="E83" i="32"/>
  <c r="F83" i="32"/>
  <c r="G83" i="32"/>
  <c r="H83" i="32"/>
  <c r="I83" i="32"/>
  <c r="J83" i="32"/>
  <c r="K83" i="32"/>
  <c r="L83" i="32"/>
  <c r="M83" i="32"/>
  <c r="A84" i="32"/>
  <c r="C84" i="32"/>
  <c r="D84" i="32"/>
  <c r="E84" i="32"/>
  <c r="F84" i="32"/>
  <c r="G84" i="32"/>
  <c r="H84" i="32"/>
  <c r="I84" i="32"/>
  <c r="J84" i="32"/>
  <c r="K84" i="32"/>
  <c r="L84" i="32"/>
  <c r="M84" i="32"/>
  <c r="A85" i="32"/>
  <c r="C85" i="32"/>
  <c r="D85" i="32"/>
  <c r="E85" i="32"/>
  <c r="F85" i="32"/>
  <c r="G85" i="32"/>
  <c r="H85" i="32"/>
  <c r="I85" i="32"/>
  <c r="J85" i="32"/>
  <c r="K85" i="32"/>
  <c r="L85" i="32"/>
  <c r="M85" i="32"/>
  <c r="A86" i="32"/>
  <c r="C86" i="32"/>
  <c r="D86" i="32"/>
  <c r="E86" i="32"/>
  <c r="F86" i="32"/>
  <c r="G86" i="32"/>
  <c r="H86" i="32"/>
  <c r="I86" i="32"/>
  <c r="J86" i="32"/>
  <c r="K86" i="32"/>
  <c r="L86" i="32"/>
  <c r="M86" i="32"/>
  <c r="A87" i="32"/>
  <c r="C87" i="32"/>
  <c r="D87" i="32"/>
  <c r="E87" i="32"/>
  <c r="F87" i="32"/>
  <c r="G87" i="32"/>
  <c r="H87" i="32"/>
  <c r="I87" i="32"/>
  <c r="J87" i="32"/>
  <c r="K87" i="32"/>
  <c r="L87" i="32"/>
  <c r="M87" i="32"/>
  <c r="A88" i="32"/>
  <c r="C88" i="32"/>
  <c r="D88" i="32"/>
  <c r="E88" i="32"/>
  <c r="F88" i="32"/>
  <c r="G88" i="32"/>
  <c r="H88" i="32"/>
  <c r="I88" i="32"/>
  <c r="J88" i="32"/>
  <c r="K88" i="32"/>
  <c r="L88" i="32"/>
  <c r="M88" i="32"/>
  <c r="A89" i="32"/>
  <c r="C89" i="32"/>
  <c r="D89" i="32"/>
  <c r="E89" i="32"/>
  <c r="F89" i="32"/>
  <c r="G89" i="32"/>
  <c r="H89" i="32"/>
  <c r="I89" i="32"/>
  <c r="J89" i="32"/>
  <c r="K89" i="32"/>
  <c r="L89" i="32"/>
  <c r="M89" i="32"/>
  <c r="A90" i="32"/>
  <c r="C90" i="32"/>
  <c r="D90" i="32"/>
  <c r="E90" i="32"/>
  <c r="F90" i="32"/>
  <c r="G90" i="32"/>
  <c r="H90" i="32"/>
  <c r="I90" i="32"/>
  <c r="J90" i="32"/>
  <c r="K90" i="32"/>
  <c r="L90" i="32"/>
  <c r="M90" i="32"/>
  <c r="A91" i="32"/>
  <c r="C91" i="32"/>
  <c r="D91" i="32"/>
  <c r="E91" i="32"/>
  <c r="F91" i="32"/>
  <c r="G91" i="32"/>
  <c r="H91" i="32"/>
  <c r="I91" i="32"/>
  <c r="J91" i="32"/>
  <c r="K91" i="32"/>
  <c r="L91" i="32"/>
  <c r="M91" i="32"/>
  <c r="A92" i="32"/>
  <c r="C92" i="32"/>
  <c r="D92" i="32"/>
  <c r="E92" i="32"/>
  <c r="F92" i="32"/>
  <c r="G92" i="32"/>
  <c r="H92" i="32"/>
  <c r="I92" i="32"/>
  <c r="J92" i="32"/>
  <c r="K92" i="32"/>
  <c r="L92" i="32"/>
  <c r="M92" i="32"/>
  <c r="A93" i="32"/>
  <c r="C93" i="32"/>
  <c r="D93" i="32"/>
  <c r="E93" i="32"/>
  <c r="F93" i="32"/>
  <c r="G93" i="32"/>
  <c r="H93" i="32"/>
  <c r="I93" i="32"/>
  <c r="J93" i="32"/>
  <c r="K93" i="32"/>
  <c r="L93" i="32"/>
  <c r="M93" i="32"/>
  <c r="A94" i="32"/>
  <c r="C94" i="32"/>
  <c r="D94" i="32"/>
  <c r="E94" i="32"/>
  <c r="F94" i="32"/>
  <c r="G94" i="32"/>
  <c r="H94" i="32"/>
  <c r="I94" i="32"/>
  <c r="J94" i="32"/>
  <c r="K94" i="32"/>
  <c r="L94" i="32"/>
  <c r="M94" i="32"/>
  <c r="A95" i="32"/>
  <c r="C95" i="32"/>
  <c r="D95" i="32"/>
  <c r="E95" i="32"/>
  <c r="F95" i="32"/>
  <c r="G95" i="32"/>
  <c r="H95" i="32"/>
  <c r="I95" i="32"/>
  <c r="J95" i="32"/>
  <c r="K95" i="32"/>
  <c r="L95" i="32"/>
  <c r="M95" i="32"/>
  <c r="A96" i="32"/>
  <c r="C96" i="32"/>
  <c r="D96" i="32"/>
  <c r="E96" i="32"/>
  <c r="F96" i="32"/>
  <c r="G96" i="32"/>
  <c r="H96" i="32"/>
  <c r="I96" i="32"/>
  <c r="J96" i="32"/>
  <c r="K96" i="32"/>
  <c r="L96" i="32"/>
  <c r="M96" i="32"/>
  <c r="A97" i="32"/>
  <c r="C97" i="32"/>
  <c r="D97" i="32"/>
  <c r="E97" i="32"/>
  <c r="F97" i="32"/>
  <c r="G97" i="32"/>
  <c r="H97" i="32"/>
  <c r="I97" i="32"/>
  <c r="J97" i="32"/>
  <c r="K97" i="32"/>
  <c r="L97" i="32"/>
  <c r="M97" i="32"/>
  <c r="A98" i="32"/>
  <c r="C98" i="32"/>
  <c r="D98" i="32"/>
  <c r="E98" i="32"/>
  <c r="F98" i="32"/>
  <c r="G98" i="32"/>
  <c r="H98" i="32"/>
  <c r="I98" i="32"/>
  <c r="J98" i="32"/>
  <c r="K98" i="32"/>
  <c r="L98" i="32"/>
  <c r="M98" i="32"/>
  <c r="A99" i="32"/>
  <c r="C99" i="32"/>
  <c r="D99" i="32"/>
  <c r="E99" i="32"/>
  <c r="F99" i="32"/>
  <c r="G99" i="32"/>
  <c r="H99" i="32"/>
  <c r="I99" i="32"/>
  <c r="J99" i="32"/>
  <c r="K99" i="32"/>
  <c r="L99" i="32"/>
  <c r="M99" i="32"/>
  <c r="A100" i="32"/>
  <c r="C100" i="32"/>
  <c r="D100" i="32"/>
  <c r="E100" i="32"/>
  <c r="F100" i="32"/>
  <c r="G100" i="32"/>
  <c r="H100" i="32"/>
  <c r="I100" i="32"/>
  <c r="J100" i="32"/>
  <c r="K100" i="32"/>
  <c r="L100" i="32"/>
  <c r="M100" i="32"/>
  <c r="A101" i="32"/>
  <c r="C101" i="32"/>
  <c r="D101" i="32"/>
  <c r="E101" i="32"/>
  <c r="F101" i="32"/>
  <c r="G101" i="32"/>
  <c r="H101" i="32"/>
  <c r="I101" i="32"/>
  <c r="J101" i="32"/>
  <c r="K101" i="32"/>
  <c r="L101" i="32"/>
  <c r="M101" i="32"/>
  <c r="A102" i="32"/>
  <c r="C102" i="32"/>
  <c r="D102" i="32"/>
  <c r="E102" i="32"/>
  <c r="F102" i="32"/>
  <c r="G102" i="32"/>
  <c r="H102" i="32"/>
  <c r="I102" i="32"/>
  <c r="J102" i="32"/>
  <c r="K102" i="32"/>
  <c r="L102" i="32"/>
  <c r="M102" i="32"/>
  <c r="A103" i="32"/>
  <c r="C103" i="32"/>
  <c r="D103" i="32"/>
  <c r="E103" i="32"/>
  <c r="F103" i="32"/>
  <c r="G103" i="32"/>
  <c r="H103" i="32"/>
  <c r="I103" i="32"/>
  <c r="J103" i="32"/>
  <c r="K103" i="32"/>
  <c r="L103" i="32"/>
  <c r="M103" i="32"/>
  <c r="A104" i="32"/>
  <c r="C104" i="32"/>
  <c r="D104" i="32"/>
  <c r="E104" i="32"/>
  <c r="F104" i="32"/>
  <c r="G104" i="32"/>
  <c r="H104" i="32"/>
  <c r="I104" i="32"/>
  <c r="J104" i="32"/>
  <c r="K104" i="32"/>
  <c r="L104" i="32"/>
  <c r="M104" i="32"/>
  <c r="A105" i="32"/>
  <c r="C105" i="32"/>
  <c r="D105" i="32"/>
  <c r="E105" i="32"/>
  <c r="F105" i="32"/>
  <c r="G105" i="32"/>
  <c r="H105" i="32"/>
  <c r="I105" i="32"/>
  <c r="J105" i="32"/>
  <c r="K105" i="32"/>
  <c r="L105" i="32"/>
  <c r="M105" i="32"/>
  <c r="A106" i="32"/>
  <c r="C106" i="32"/>
  <c r="D106" i="32"/>
  <c r="E106" i="32"/>
  <c r="F106" i="32"/>
  <c r="G106" i="32"/>
  <c r="H106" i="32"/>
  <c r="I106" i="32"/>
  <c r="J106" i="32"/>
  <c r="K106" i="32"/>
  <c r="L106" i="32"/>
  <c r="M106" i="32"/>
  <c r="A107" i="32"/>
  <c r="C107" i="32"/>
  <c r="D107" i="32"/>
  <c r="E107" i="32"/>
  <c r="F107" i="32"/>
  <c r="G107" i="32"/>
  <c r="H107" i="32"/>
  <c r="I107" i="32"/>
  <c r="J107" i="32"/>
  <c r="K107" i="32"/>
  <c r="L107" i="32"/>
  <c r="M107" i="32"/>
  <c r="A108" i="32"/>
  <c r="C108" i="32"/>
  <c r="D108" i="32"/>
  <c r="E108" i="32"/>
  <c r="F108" i="32"/>
  <c r="G108" i="32"/>
  <c r="H108" i="32"/>
  <c r="I108" i="32"/>
  <c r="J108" i="32"/>
  <c r="K108" i="32"/>
  <c r="L108" i="32"/>
  <c r="M108" i="32"/>
  <c r="A109" i="32"/>
  <c r="C109" i="32"/>
  <c r="D109" i="32"/>
  <c r="E109" i="32"/>
  <c r="F109" i="32"/>
  <c r="G109" i="32"/>
  <c r="H109" i="32"/>
  <c r="I109" i="32"/>
  <c r="J109" i="32"/>
  <c r="K109" i="32"/>
  <c r="L109" i="32"/>
  <c r="M109" i="32"/>
  <c r="A110" i="32"/>
  <c r="C110" i="32"/>
  <c r="D110" i="32"/>
  <c r="E110" i="32"/>
  <c r="F110" i="32"/>
  <c r="G110" i="32"/>
  <c r="H110" i="32"/>
  <c r="I110" i="32"/>
  <c r="J110" i="32"/>
  <c r="K110" i="32"/>
  <c r="L110" i="32"/>
  <c r="M110" i="32"/>
  <c r="A111" i="32"/>
  <c r="C111" i="32"/>
  <c r="D111" i="32"/>
  <c r="E111" i="32"/>
  <c r="F111" i="32"/>
  <c r="G111" i="32"/>
  <c r="H111" i="32"/>
  <c r="I111" i="32"/>
  <c r="J111" i="32"/>
  <c r="K111" i="32"/>
  <c r="L111" i="32"/>
  <c r="M111" i="32"/>
  <c r="A112" i="32"/>
  <c r="C112" i="32"/>
  <c r="D112" i="32"/>
  <c r="E112" i="32"/>
  <c r="F112" i="32"/>
  <c r="G112" i="32"/>
  <c r="H112" i="32"/>
  <c r="I112" i="32"/>
  <c r="J112" i="32"/>
  <c r="K112" i="32"/>
  <c r="L112" i="32"/>
  <c r="M112" i="32"/>
  <c r="A113" i="32"/>
  <c r="C113" i="32"/>
  <c r="D113" i="32"/>
  <c r="E113" i="32"/>
  <c r="F113" i="32"/>
  <c r="G113" i="32"/>
  <c r="H113" i="32"/>
  <c r="I113" i="32"/>
  <c r="J113" i="32"/>
  <c r="K113" i="32"/>
  <c r="L113" i="32"/>
  <c r="M113" i="32"/>
  <c r="A114" i="32"/>
  <c r="C114" i="32"/>
  <c r="D114" i="32"/>
  <c r="E114" i="32"/>
  <c r="F114" i="32"/>
  <c r="G114" i="32"/>
  <c r="H114" i="32"/>
  <c r="I114" i="32"/>
  <c r="J114" i="32"/>
  <c r="K114" i="32"/>
  <c r="L114" i="32"/>
  <c r="M114" i="32"/>
  <c r="A115" i="32"/>
  <c r="C115" i="32"/>
  <c r="D115" i="32"/>
  <c r="E115" i="32"/>
  <c r="F115" i="32"/>
  <c r="G115" i="32"/>
  <c r="H115" i="32"/>
  <c r="I115" i="32"/>
  <c r="J115" i="32"/>
  <c r="K115" i="32"/>
  <c r="L115" i="32"/>
  <c r="M115" i="32"/>
  <c r="A116" i="32"/>
  <c r="C116" i="32"/>
  <c r="D116" i="32"/>
  <c r="E116" i="32"/>
  <c r="F116" i="32"/>
  <c r="G116" i="32"/>
  <c r="H116" i="32"/>
  <c r="I116" i="32"/>
  <c r="J116" i="32"/>
  <c r="K116" i="32"/>
  <c r="L116" i="32"/>
  <c r="M116" i="32"/>
  <c r="A117" i="32"/>
  <c r="C117" i="32"/>
  <c r="D117" i="32"/>
  <c r="E117" i="32"/>
  <c r="F117" i="32"/>
  <c r="G117" i="32"/>
  <c r="H117" i="32"/>
  <c r="I117" i="32"/>
  <c r="J117" i="32"/>
  <c r="K117" i="32"/>
  <c r="L117" i="32"/>
  <c r="M117" i="32"/>
  <c r="A118" i="32"/>
  <c r="C118" i="32"/>
  <c r="D118" i="32"/>
  <c r="E118" i="32"/>
  <c r="F118" i="32"/>
  <c r="G118" i="32"/>
  <c r="H118" i="32"/>
  <c r="I118" i="32"/>
  <c r="J118" i="32"/>
  <c r="K118" i="32"/>
  <c r="L118" i="32"/>
  <c r="M118" i="32"/>
  <c r="A119" i="32"/>
  <c r="C119" i="32"/>
  <c r="D119" i="32"/>
  <c r="E119" i="32"/>
  <c r="F119" i="32"/>
  <c r="G119" i="32"/>
  <c r="H119" i="32"/>
  <c r="I119" i="32"/>
  <c r="J119" i="32"/>
  <c r="K119" i="32"/>
  <c r="L119" i="32"/>
  <c r="M119" i="32"/>
  <c r="A120" i="32"/>
  <c r="C120" i="32"/>
  <c r="D120" i="32"/>
  <c r="E120" i="32"/>
  <c r="F120" i="32"/>
  <c r="G120" i="32"/>
  <c r="H120" i="32"/>
  <c r="I120" i="32"/>
  <c r="J120" i="32"/>
  <c r="K120" i="32"/>
  <c r="L120" i="32"/>
  <c r="M120" i="32"/>
  <c r="A121" i="32"/>
  <c r="C121" i="32"/>
  <c r="D121" i="32"/>
  <c r="E121" i="32"/>
  <c r="F121" i="32"/>
  <c r="G121" i="32"/>
  <c r="H121" i="32"/>
  <c r="I121" i="32"/>
  <c r="J121" i="32"/>
  <c r="K121" i="32"/>
  <c r="L121" i="32"/>
  <c r="M121" i="32"/>
  <c r="A122" i="32"/>
  <c r="C122" i="32"/>
  <c r="D122" i="32"/>
  <c r="E122" i="32"/>
  <c r="F122" i="32"/>
  <c r="G122" i="32"/>
  <c r="H122" i="32"/>
  <c r="I122" i="32"/>
  <c r="J122" i="32"/>
  <c r="K122" i="32"/>
  <c r="L122" i="32"/>
  <c r="M122" i="32"/>
  <c r="A123" i="32"/>
  <c r="C123" i="32"/>
  <c r="D123" i="32"/>
  <c r="E123" i="32"/>
  <c r="F123" i="32"/>
  <c r="G123" i="32"/>
  <c r="H123" i="32"/>
  <c r="I123" i="32"/>
  <c r="J123" i="32"/>
  <c r="K123" i="32"/>
  <c r="L123" i="32"/>
  <c r="M123" i="32"/>
  <c r="A124" i="32"/>
  <c r="C124" i="32"/>
  <c r="D124" i="32"/>
  <c r="E124" i="32"/>
  <c r="F124" i="32"/>
  <c r="G124" i="32"/>
  <c r="H124" i="32"/>
  <c r="I124" i="32"/>
  <c r="J124" i="32"/>
  <c r="K124" i="32"/>
  <c r="L124" i="32"/>
  <c r="M124" i="32"/>
  <c r="A125" i="32"/>
  <c r="C125" i="32"/>
  <c r="D125" i="32"/>
  <c r="E125" i="32"/>
  <c r="F125" i="32"/>
  <c r="G125" i="32"/>
  <c r="H125" i="32"/>
  <c r="I125" i="32"/>
  <c r="J125" i="32"/>
  <c r="K125" i="32"/>
  <c r="L125" i="32"/>
  <c r="M125" i="32"/>
  <c r="A126" i="32"/>
  <c r="C126" i="32"/>
  <c r="D126" i="32"/>
  <c r="E126" i="32"/>
  <c r="F126" i="32"/>
  <c r="G126" i="32"/>
  <c r="H126" i="32"/>
  <c r="I126" i="32"/>
  <c r="J126" i="32"/>
  <c r="K126" i="32"/>
  <c r="L126" i="32"/>
  <c r="M126" i="32"/>
  <c r="A127" i="32"/>
  <c r="C127" i="32"/>
  <c r="D127" i="32"/>
  <c r="E127" i="32"/>
  <c r="F127" i="32"/>
  <c r="G127" i="32"/>
  <c r="H127" i="32"/>
  <c r="I127" i="32"/>
  <c r="J127" i="32"/>
  <c r="K127" i="32"/>
  <c r="L127" i="32"/>
  <c r="M127" i="32"/>
  <c r="A128" i="32"/>
  <c r="C128" i="32"/>
  <c r="D128" i="32"/>
  <c r="E128" i="32"/>
  <c r="F128" i="32"/>
  <c r="G128" i="32"/>
  <c r="H128" i="32"/>
  <c r="I128" i="32"/>
  <c r="J128" i="32"/>
  <c r="K128" i="32"/>
  <c r="L128" i="32"/>
  <c r="M128" i="32"/>
  <c r="A129" i="32"/>
  <c r="C129" i="32"/>
  <c r="D129" i="32"/>
  <c r="E129" i="32"/>
  <c r="F129" i="32"/>
  <c r="G129" i="32"/>
  <c r="H129" i="32"/>
  <c r="I129" i="32"/>
  <c r="J129" i="32"/>
  <c r="K129" i="32"/>
  <c r="L129" i="32"/>
  <c r="M129" i="32"/>
  <c r="A130" i="32"/>
  <c r="C130" i="32"/>
  <c r="D130" i="32"/>
  <c r="E130" i="32"/>
  <c r="F130" i="32"/>
  <c r="G130" i="32"/>
  <c r="H130" i="32"/>
  <c r="I130" i="32"/>
  <c r="J130" i="32"/>
  <c r="K130" i="32"/>
  <c r="L130" i="32"/>
  <c r="M130" i="32"/>
  <c r="A131" i="32"/>
  <c r="C131" i="32"/>
  <c r="D131" i="32"/>
  <c r="E131" i="32"/>
  <c r="F131" i="32"/>
  <c r="G131" i="32"/>
  <c r="H131" i="32"/>
  <c r="I131" i="32"/>
  <c r="J131" i="32"/>
  <c r="K131" i="32"/>
  <c r="L131" i="32"/>
  <c r="M131" i="32"/>
  <c r="A132" i="32"/>
  <c r="C132" i="32"/>
  <c r="D132" i="32"/>
  <c r="E132" i="32"/>
  <c r="F132" i="32"/>
  <c r="G132" i="32"/>
  <c r="H132" i="32"/>
  <c r="I132" i="32"/>
  <c r="J132" i="32"/>
  <c r="K132" i="32"/>
  <c r="L132" i="32"/>
  <c r="M132" i="32"/>
  <c r="A133" i="32"/>
  <c r="C133" i="32"/>
  <c r="D133" i="32"/>
  <c r="E133" i="32"/>
  <c r="F133" i="32"/>
  <c r="G133" i="32"/>
  <c r="H133" i="32"/>
  <c r="I133" i="32"/>
  <c r="J133" i="32"/>
  <c r="K133" i="32"/>
  <c r="L133" i="32"/>
  <c r="M133" i="32"/>
  <c r="A134" i="32"/>
  <c r="C134" i="32"/>
  <c r="D134" i="32"/>
  <c r="E134" i="32"/>
  <c r="F134" i="32"/>
  <c r="G134" i="32"/>
  <c r="H134" i="32"/>
  <c r="I134" i="32"/>
  <c r="J134" i="32"/>
  <c r="K134" i="32"/>
  <c r="L134" i="32"/>
  <c r="M134" i="32"/>
  <c r="A135" i="32"/>
  <c r="C135" i="32"/>
  <c r="D135" i="32"/>
  <c r="E135" i="32"/>
  <c r="F135" i="32"/>
  <c r="G135" i="32"/>
  <c r="H135" i="32"/>
  <c r="I135" i="32"/>
  <c r="J135" i="32"/>
  <c r="K135" i="32"/>
  <c r="L135" i="32"/>
  <c r="M135" i="32"/>
  <c r="A136" i="32"/>
  <c r="C136" i="32"/>
  <c r="D136" i="32"/>
  <c r="E136" i="32"/>
  <c r="F136" i="32"/>
  <c r="G136" i="32"/>
  <c r="H136" i="32"/>
  <c r="I136" i="32"/>
  <c r="J136" i="32"/>
  <c r="K136" i="32"/>
  <c r="L136" i="32"/>
  <c r="M136" i="32"/>
  <c r="A137" i="32"/>
  <c r="C137" i="32"/>
  <c r="D137" i="32"/>
  <c r="E137" i="32"/>
  <c r="F137" i="32"/>
  <c r="G137" i="32"/>
  <c r="H137" i="32"/>
  <c r="I137" i="32"/>
  <c r="J137" i="32"/>
  <c r="K137" i="32"/>
  <c r="L137" i="32"/>
  <c r="M137" i="32"/>
  <c r="A138" i="32"/>
  <c r="C138" i="32"/>
  <c r="D138" i="32"/>
  <c r="E138" i="32"/>
  <c r="F138" i="32"/>
  <c r="G138" i="32"/>
  <c r="H138" i="32"/>
  <c r="I138" i="32"/>
  <c r="J138" i="32"/>
  <c r="K138" i="32"/>
  <c r="L138" i="32"/>
  <c r="M138" i="32"/>
  <c r="A139" i="32"/>
  <c r="C139" i="32"/>
  <c r="D139" i="32"/>
  <c r="E139" i="32"/>
  <c r="F139" i="32"/>
  <c r="G139" i="32"/>
  <c r="H139" i="32"/>
  <c r="I139" i="32"/>
  <c r="J139" i="32"/>
  <c r="K139" i="32"/>
  <c r="L139" i="32"/>
  <c r="M139" i="32"/>
  <c r="A140" i="32"/>
  <c r="C140" i="32"/>
  <c r="D140" i="32"/>
  <c r="E140" i="32"/>
  <c r="F140" i="32"/>
  <c r="G140" i="32"/>
  <c r="H140" i="32"/>
  <c r="I140" i="32"/>
  <c r="J140" i="32"/>
  <c r="K140" i="32"/>
  <c r="L140" i="32"/>
  <c r="M140" i="32"/>
  <c r="A141" i="32"/>
  <c r="C141" i="32"/>
  <c r="D141" i="32"/>
  <c r="E141" i="32"/>
  <c r="F141" i="32"/>
  <c r="G141" i="32"/>
  <c r="H141" i="32"/>
  <c r="I141" i="32"/>
  <c r="J141" i="32"/>
  <c r="K141" i="32"/>
  <c r="L141" i="32"/>
  <c r="M141" i="32"/>
  <c r="A142" i="32"/>
  <c r="C142" i="32"/>
  <c r="D142" i="32"/>
  <c r="E142" i="32"/>
  <c r="F142" i="32"/>
  <c r="G142" i="32"/>
  <c r="H142" i="32"/>
  <c r="I142" i="32"/>
  <c r="J142" i="32"/>
  <c r="K142" i="32"/>
  <c r="L142" i="32"/>
  <c r="M142" i="32"/>
  <c r="A143" i="32"/>
  <c r="C143" i="32"/>
  <c r="D143" i="32"/>
  <c r="E143" i="32"/>
  <c r="F143" i="32"/>
  <c r="G143" i="32"/>
  <c r="H143" i="32"/>
  <c r="I143" i="32"/>
  <c r="J143" i="32"/>
  <c r="K143" i="32"/>
  <c r="L143" i="32"/>
  <c r="M143" i="32"/>
  <c r="A144" i="32"/>
  <c r="C144" i="32"/>
  <c r="D144" i="32"/>
  <c r="E144" i="32"/>
  <c r="F144" i="32"/>
  <c r="G144" i="32"/>
  <c r="H144" i="32"/>
  <c r="I144" i="32"/>
  <c r="J144" i="32"/>
  <c r="K144" i="32"/>
  <c r="L144" i="32"/>
  <c r="M144" i="32"/>
  <c r="A145" i="32"/>
  <c r="C145" i="32"/>
  <c r="D145" i="32"/>
  <c r="E145" i="32"/>
  <c r="F145" i="32"/>
  <c r="G145" i="32"/>
  <c r="H145" i="32"/>
  <c r="I145" i="32"/>
  <c r="J145" i="32"/>
  <c r="K145" i="32"/>
  <c r="L145" i="32"/>
  <c r="M145" i="32"/>
  <c r="A146" i="32"/>
  <c r="C146" i="32"/>
  <c r="D146" i="32"/>
  <c r="E146" i="32"/>
  <c r="F146" i="32"/>
  <c r="G146" i="32"/>
  <c r="H146" i="32"/>
  <c r="I146" i="32"/>
  <c r="J146" i="32"/>
  <c r="K146" i="32"/>
  <c r="L146" i="32"/>
  <c r="M146" i="32"/>
  <c r="A147" i="32"/>
  <c r="C147" i="32"/>
  <c r="D147" i="32"/>
  <c r="E147" i="32"/>
  <c r="F147" i="32"/>
  <c r="G147" i="32"/>
  <c r="H147" i="32"/>
  <c r="I147" i="32"/>
  <c r="J147" i="32"/>
  <c r="K147" i="32"/>
  <c r="L147" i="32"/>
  <c r="M147" i="32"/>
  <c r="A148" i="32"/>
  <c r="C148" i="32"/>
  <c r="D148" i="32"/>
  <c r="E148" i="32"/>
  <c r="F148" i="32"/>
  <c r="G148" i="32"/>
  <c r="H148" i="32"/>
  <c r="I148" i="32"/>
  <c r="J148" i="32"/>
  <c r="K148" i="32"/>
  <c r="L148" i="32"/>
  <c r="M148" i="32"/>
  <c r="A149" i="32"/>
  <c r="C149" i="32"/>
  <c r="D149" i="32"/>
  <c r="E149" i="32"/>
  <c r="F149" i="32"/>
  <c r="G149" i="32"/>
  <c r="H149" i="32"/>
  <c r="I149" i="32"/>
  <c r="J149" i="32"/>
  <c r="K149" i="32"/>
  <c r="L149" i="32"/>
  <c r="M149" i="32"/>
  <c r="A150" i="32"/>
  <c r="C150" i="32"/>
  <c r="D150" i="32"/>
  <c r="E150" i="32"/>
  <c r="F150" i="32"/>
  <c r="G150" i="32"/>
  <c r="H150" i="32"/>
  <c r="I150" i="32"/>
  <c r="J150" i="32"/>
  <c r="K150" i="32"/>
  <c r="L150" i="32"/>
  <c r="M150" i="32"/>
  <c r="A151" i="32"/>
  <c r="C151" i="32"/>
  <c r="D151" i="32"/>
  <c r="E151" i="32"/>
  <c r="F151" i="32"/>
  <c r="G151" i="32"/>
  <c r="H151" i="32"/>
  <c r="I151" i="32"/>
  <c r="J151" i="32"/>
  <c r="K151" i="32"/>
  <c r="L151" i="32"/>
  <c r="M151" i="32"/>
  <c r="A152" i="32"/>
  <c r="C152" i="32"/>
  <c r="D152" i="32"/>
  <c r="E152" i="32"/>
  <c r="F152" i="32"/>
  <c r="G152" i="32"/>
  <c r="H152" i="32"/>
  <c r="I152" i="32"/>
  <c r="J152" i="32"/>
  <c r="K152" i="32"/>
  <c r="L152" i="32"/>
  <c r="M152" i="32"/>
  <c r="A153" i="32"/>
  <c r="C153" i="32"/>
  <c r="D153" i="32"/>
  <c r="E153" i="32"/>
  <c r="F153" i="32"/>
  <c r="G153" i="32"/>
  <c r="H153" i="32"/>
  <c r="I153" i="32"/>
  <c r="J153" i="32"/>
  <c r="K153" i="32"/>
  <c r="L153" i="32"/>
  <c r="M153" i="32"/>
  <c r="A154" i="32"/>
  <c r="C154" i="32"/>
  <c r="D154" i="32"/>
  <c r="E154" i="32"/>
  <c r="F154" i="32"/>
  <c r="G154" i="32"/>
  <c r="H154" i="32"/>
  <c r="I154" i="32"/>
  <c r="J154" i="32"/>
  <c r="K154" i="32"/>
  <c r="L154" i="32"/>
  <c r="M154" i="32"/>
  <c r="A155" i="32"/>
  <c r="C155" i="32"/>
  <c r="D155" i="32"/>
  <c r="E155" i="32"/>
  <c r="F155" i="32"/>
  <c r="G155" i="32"/>
  <c r="H155" i="32"/>
  <c r="I155" i="32"/>
  <c r="J155" i="32"/>
  <c r="K155" i="32"/>
  <c r="L155" i="32"/>
  <c r="M155" i="32"/>
  <c r="A156" i="32"/>
  <c r="C156" i="32"/>
  <c r="D156" i="32"/>
  <c r="E156" i="32"/>
  <c r="F156" i="32"/>
  <c r="G156" i="32"/>
  <c r="H156" i="32"/>
  <c r="I156" i="32"/>
  <c r="J156" i="32"/>
  <c r="K156" i="32"/>
  <c r="L156" i="32"/>
  <c r="M156" i="32"/>
  <c r="A157" i="32"/>
  <c r="C157" i="32"/>
  <c r="D157" i="32"/>
  <c r="E157" i="32"/>
  <c r="F157" i="32"/>
  <c r="G157" i="32"/>
  <c r="H157" i="32"/>
  <c r="I157" i="32"/>
  <c r="J157" i="32"/>
  <c r="K157" i="32"/>
  <c r="L157" i="32"/>
  <c r="M157" i="32"/>
  <c r="A158" i="32"/>
  <c r="C158" i="32"/>
  <c r="D158" i="32"/>
  <c r="E158" i="32"/>
  <c r="F158" i="32"/>
  <c r="G158" i="32"/>
  <c r="H158" i="32"/>
  <c r="I158" i="32"/>
  <c r="J158" i="32"/>
  <c r="K158" i="32"/>
  <c r="L158" i="32"/>
  <c r="M158" i="32"/>
  <c r="A159" i="32"/>
  <c r="C159" i="32"/>
  <c r="D159" i="32"/>
  <c r="E159" i="32"/>
  <c r="F159" i="32"/>
  <c r="G159" i="32"/>
  <c r="H159" i="32"/>
  <c r="I159" i="32"/>
  <c r="J159" i="32"/>
  <c r="K159" i="32"/>
  <c r="L159" i="32"/>
  <c r="M159" i="32"/>
  <c r="A160" i="32"/>
  <c r="C160" i="32"/>
  <c r="D160" i="32"/>
  <c r="E160" i="32"/>
  <c r="F160" i="32"/>
  <c r="G160" i="32"/>
  <c r="H160" i="32"/>
  <c r="I160" i="32"/>
  <c r="J160" i="32"/>
  <c r="K160" i="32"/>
  <c r="L160" i="32"/>
  <c r="M160" i="32"/>
  <c r="A161" i="32"/>
  <c r="C161" i="32"/>
  <c r="D161" i="32"/>
  <c r="E161" i="32"/>
  <c r="F161" i="32"/>
  <c r="G161" i="32"/>
  <c r="H161" i="32"/>
  <c r="I161" i="32"/>
  <c r="J161" i="32"/>
  <c r="K161" i="32"/>
  <c r="L161" i="32"/>
  <c r="M161" i="32"/>
  <c r="A162" i="32"/>
  <c r="C162" i="32"/>
  <c r="D162" i="32"/>
  <c r="E162" i="32"/>
  <c r="F162" i="32"/>
  <c r="G162" i="32"/>
  <c r="H162" i="32"/>
  <c r="I162" i="32"/>
  <c r="J162" i="32"/>
  <c r="K162" i="32"/>
  <c r="L162" i="32"/>
  <c r="M162" i="32"/>
  <c r="A163" i="32"/>
  <c r="C163" i="32"/>
  <c r="D163" i="32"/>
  <c r="E163" i="32"/>
  <c r="F163" i="32"/>
  <c r="G163" i="32"/>
  <c r="H163" i="32"/>
  <c r="I163" i="32"/>
  <c r="J163" i="32"/>
  <c r="K163" i="32"/>
  <c r="L163" i="32"/>
  <c r="M163" i="32"/>
  <c r="A164" i="32"/>
  <c r="C164" i="32"/>
  <c r="D164" i="32"/>
  <c r="E164" i="32"/>
  <c r="F164" i="32"/>
  <c r="G164" i="32"/>
  <c r="H164" i="32"/>
  <c r="I164" i="32"/>
  <c r="J164" i="32"/>
  <c r="K164" i="32"/>
  <c r="L164" i="32"/>
  <c r="M164" i="32"/>
  <c r="A165" i="32"/>
  <c r="C165" i="32"/>
  <c r="D165" i="32"/>
  <c r="E165" i="32"/>
  <c r="F165" i="32"/>
  <c r="G165" i="32"/>
  <c r="H165" i="32"/>
  <c r="I165" i="32"/>
  <c r="J165" i="32"/>
  <c r="K165" i="32"/>
  <c r="L165" i="32"/>
  <c r="M165" i="32"/>
  <c r="A166" i="32"/>
  <c r="C166" i="32"/>
  <c r="D166" i="32"/>
  <c r="E166" i="32"/>
  <c r="F166" i="32"/>
  <c r="G166" i="32"/>
  <c r="H166" i="32"/>
  <c r="I166" i="32"/>
  <c r="J166" i="32"/>
  <c r="K166" i="32"/>
  <c r="L166" i="32"/>
  <c r="M166" i="32"/>
  <c r="A167" i="32"/>
  <c r="C167" i="32"/>
  <c r="D167" i="32"/>
  <c r="E167" i="32"/>
  <c r="F167" i="32"/>
  <c r="G167" i="32"/>
  <c r="H167" i="32"/>
  <c r="I167" i="32"/>
  <c r="J167" i="32"/>
  <c r="K167" i="32"/>
  <c r="L167" i="32"/>
  <c r="M167" i="32"/>
  <c r="A168" i="32"/>
  <c r="C168" i="32"/>
  <c r="D168" i="32"/>
  <c r="E168" i="32"/>
  <c r="F168" i="32"/>
  <c r="G168" i="32"/>
  <c r="H168" i="32"/>
  <c r="I168" i="32"/>
  <c r="J168" i="32"/>
  <c r="K168" i="32"/>
  <c r="L168" i="32"/>
  <c r="M168" i="32"/>
  <c r="A169" i="32"/>
  <c r="C169" i="32"/>
  <c r="D169" i="32"/>
  <c r="E169" i="32"/>
  <c r="F169" i="32"/>
  <c r="G169" i="32"/>
  <c r="H169" i="32"/>
  <c r="I169" i="32"/>
  <c r="J169" i="32"/>
  <c r="K169" i="32"/>
  <c r="L169" i="32"/>
  <c r="M169" i="32"/>
  <c r="A170" i="32"/>
  <c r="C170" i="32"/>
  <c r="D170" i="32"/>
  <c r="E170" i="32"/>
  <c r="F170" i="32"/>
  <c r="G170" i="32"/>
  <c r="H170" i="32"/>
  <c r="I170" i="32"/>
  <c r="J170" i="32"/>
  <c r="K170" i="32"/>
  <c r="L170" i="32"/>
  <c r="M170" i="32"/>
  <c r="A171" i="32"/>
  <c r="C171" i="32"/>
  <c r="D171" i="32"/>
  <c r="E171" i="32"/>
  <c r="F171" i="32"/>
  <c r="G171" i="32"/>
  <c r="H171" i="32"/>
  <c r="I171" i="32"/>
  <c r="J171" i="32"/>
  <c r="K171" i="32"/>
  <c r="L171" i="32"/>
  <c r="M171" i="32"/>
  <c r="A172" i="32"/>
  <c r="C172" i="32"/>
  <c r="D172" i="32"/>
  <c r="E172" i="32"/>
  <c r="F172" i="32"/>
  <c r="G172" i="32"/>
  <c r="H172" i="32"/>
  <c r="I172" i="32"/>
  <c r="J172" i="32"/>
  <c r="K172" i="32"/>
  <c r="L172" i="32"/>
  <c r="M172" i="32"/>
  <c r="A173" i="32"/>
  <c r="C173" i="32"/>
  <c r="D173" i="32"/>
  <c r="E173" i="32"/>
  <c r="F173" i="32"/>
  <c r="G173" i="32"/>
  <c r="H173" i="32"/>
  <c r="I173" i="32"/>
  <c r="J173" i="32"/>
  <c r="K173" i="32"/>
  <c r="L173" i="32"/>
  <c r="M173" i="32"/>
  <c r="A174" i="32"/>
  <c r="C174" i="32"/>
  <c r="D174" i="32"/>
  <c r="E174" i="32"/>
  <c r="F174" i="32"/>
  <c r="G174" i="32"/>
  <c r="H174" i="32"/>
  <c r="I174" i="32"/>
  <c r="J174" i="32"/>
  <c r="K174" i="32"/>
  <c r="L174" i="32"/>
  <c r="M174" i="32"/>
  <c r="A175" i="32"/>
  <c r="C175" i="32"/>
  <c r="D175" i="32"/>
  <c r="E175" i="32"/>
  <c r="F175" i="32"/>
  <c r="G175" i="32"/>
  <c r="H175" i="32"/>
  <c r="I175" i="32"/>
  <c r="J175" i="32"/>
  <c r="K175" i="32"/>
  <c r="L175" i="32"/>
  <c r="M175" i="32"/>
  <c r="A176" i="32"/>
  <c r="C176" i="32"/>
  <c r="D176" i="32"/>
  <c r="E176" i="32"/>
  <c r="F176" i="32"/>
  <c r="G176" i="32"/>
  <c r="H176" i="32"/>
  <c r="I176" i="32"/>
  <c r="J176" i="32"/>
  <c r="K176" i="32"/>
  <c r="L176" i="32"/>
  <c r="M176" i="32"/>
  <c r="A177" i="32"/>
  <c r="C177" i="32"/>
  <c r="D177" i="32"/>
  <c r="E177" i="32"/>
  <c r="F177" i="32"/>
  <c r="G177" i="32"/>
  <c r="H177" i="32"/>
  <c r="I177" i="32"/>
  <c r="J177" i="32"/>
  <c r="K177" i="32"/>
  <c r="L177" i="32"/>
  <c r="M177" i="32"/>
  <c r="A178" i="32"/>
  <c r="C178" i="32"/>
  <c r="D178" i="32"/>
  <c r="E178" i="32"/>
  <c r="F178" i="32"/>
  <c r="G178" i="32"/>
  <c r="H178" i="32"/>
  <c r="I178" i="32"/>
  <c r="J178" i="32"/>
  <c r="K178" i="32"/>
  <c r="L178" i="32"/>
  <c r="M178" i="32"/>
  <c r="A179" i="32"/>
  <c r="C179" i="32"/>
  <c r="D179" i="32"/>
  <c r="E179" i="32"/>
  <c r="F179" i="32"/>
  <c r="G179" i="32"/>
  <c r="H179" i="32"/>
  <c r="I179" i="32"/>
  <c r="J179" i="32"/>
  <c r="K179" i="32"/>
  <c r="L179" i="32"/>
  <c r="M179" i="32"/>
  <c r="A180" i="32"/>
  <c r="C180" i="32"/>
  <c r="D180" i="32"/>
  <c r="E180" i="32"/>
  <c r="F180" i="32"/>
  <c r="G180" i="32"/>
  <c r="H180" i="32"/>
  <c r="I180" i="32"/>
  <c r="J180" i="32"/>
  <c r="K180" i="32"/>
  <c r="L180" i="32"/>
  <c r="M180" i="32"/>
  <c r="A181" i="32"/>
  <c r="C181" i="32"/>
  <c r="D181" i="32"/>
  <c r="E181" i="32"/>
  <c r="F181" i="32"/>
  <c r="G181" i="32"/>
  <c r="H181" i="32"/>
  <c r="I181" i="32"/>
  <c r="J181" i="32"/>
  <c r="K181" i="32"/>
  <c r="L181" i="32"/>
  <c r="M181" i="32"/>
  <c r="A182" i="32"/>
  <c r="C182" i="32"/>
  <c r="D182" i="32"/>
  <c r="E182" i="32"/>
  <c r="F182" i="32"/>
  <c r="G182" i="32"/>
  <c r="H182" i="32"/>
  <c r="I182" i="32"/>
  <c r="J182" i="32"/>
  <c r="K182" i="32"/>
  <c r="L182" i="32"/>
  <c r="M182" i="32"/>
  <c r="A183" i="32"/>
  <c r="C183" i="32"/>
  <c r="D183" i="32"/>
  <c r="E183" i="32"/>
  <c r="F183" i="32"/>
  <c r="G183" i="32"/>
  <c r="H183" i="32"/>
  <c r="I183" i="32"/>
  <c r="J183" i="32"/>
  <c r="K183" i="32"/>
  <c r="L183" i="32"/>
  <c r="M183" i="32"/>
  <c r="A184" i="32"/>
  <c r="C184" i="32"/>
  <c r="D184" i="32"/>
  <c r="E184" i="32"/>
  <c r="F184" i="32"/>
  <c r="G184" i="32"/>
  <c r="H184" i="32"/>
  <c r="I184" i="32"/>
  <c r="J184" i="32"/>
  <c r="K184" i="32"/>
  <c r="L184" i="32"/>
  <c r="M184" i="32"/>
  <c r="A185" i="32"/>
  <c r="C185" i="32"/>
  <c r="D185" i="32"/>
  <c r="E185" i="32"/>
  <c r="F185" i="32"/>
  <c r="G185" i="32"/>
  <c r="H185" i="32"/>
  <c r="I185" i="32"/>
  <c r="J185" i="32"/>
  <c r="K185" i="32"/>
  <c r="L185" i="32"/>
  <c r="M185" i="32"/>
  <c r="A186" i="32"/>
  <c r="C186" i="32"/>
  <c r="D186" i="32"/>
  <c r="E186" i="32"/>
  <c r="F186" i="32"/>
  <c r="G186" i="32"/>
  <c r="H186" i="32"/>
  <c r="I186" i="32"/>
  <c r="J186" i="32"/>
  <c r="K186" i="32"/>
  <c r="L186" i="32"/>
  <c r="M186" i="32"/>
  <c r="A187" i="32"/>
  <c r="C187" i="32"/>
  <c r="D187" i="32"/>
  <c r="E187" i="32"/>
  <c r="F187" i="32"/>
  <c r="G187" i="32"/>
  <c r="H187" i="32"/>
  <c r="I187" i="32"/>
  <c r="J187" i="32"/>
  <c r="K187" i="32"/>
  <c r="L187" i="32"/>
  <c r="M187" i="32"/>
  <c r="A188" i="32"/>
  <c r="C188" i="32"/>
  <c r="D188" i="32"/>
  <c r="E188" i="32"/>
  <c r="F188" i="32"/>
  <c r="G188" i="32"/>
  <c r="H188" i="32"/>
  <c r="I188" i="32"/>
  <c r="J188" i="32"/>
  <c r="K188" i="32"/>
  <c r="L188" i="32"/>
  <c r="M188" i="32"/>
  <c r="A189" i="32"/>
  <c r="C189" i="32"/>
  <c r="D189" i="32"/>
  <c r="E189" i="32"/>
  <c r="F189" i="32"/>
  <c r="G189" i="32"/>
  <c r="H189" i="32"/>
  <c r="I189" i="32"/>
  <c r="J189" i="32"/>
  <c r="K189" i="32"/>
  <c r="L189" i="32"/>
  <c r="M189" i="32"/>
  <c r="A190" i="32"/>
  <c r="C190" i="32"/>
  <c r="D190" i="32"/>
  <c r="E190" i="32"/>
  <c r="F190" i="32"/>
  <c r="G190" i="32"/>
  <c r="H190" i="32"/>
  <c r="I190" i="32"/>
  <c r="J190" i="32"/>
  <c r="K190" i="32"/>
  <c r="L190" i="32"/>
  <c r="M190" i="32"/>
  <c r="A191" i="32"/>
  <c r="C191" i="32"/>
  <c r="D191" i="32"/>
  <c r="E191" i="32"/>
  <c r="F191" i="32"/>
  <c r="G191" i="32"/>
  <c r="H191" i="32"/>
  <c r="I191" i="32"/>
  <c r="J191" i="32"/>
  <c r="K191" i="32"/>
  <c r="L191" i="32"/>
  <c r="M191" i="32"/>
  <c r="A192" i="32"/>
  <c r="C192" i="32"/>
  <c r="D192" i="32"/>
  <c r="E192" i="32"/>
  <c r="F192" i="32"/>
  <c r="G192" i="32"/>
  <c r="H192" i="32"/>
  <c r="I192" i="32"/>
  <c r="J192" i="32"/>
  <c r="K192" i="32"/>
  <c r="L192" i="32"/>
  <c r="M192" i="32"/>
  <c r="A193" i="32"/>
  <c r="C193" i="32"/>
  <c r="D193" i="32"/>
  <c r="E193" i="32"/>
  <c r="F193" i="32"/>
  <c r="G193" i="32"/>
  <c r="H193" i="32"/>
  <c r="I193" i="32"/>
  <c r="J193" i="32"/>
  <c r="K193" i="32"/>
  <c r="L193" i="32"/>
  <c r="M193" i="32"/>
  <c r="A194" i="32"/>
  <c r="C194" i="32"/>
  <c r="D194" i="32"/>
  <c r="E194" i="32"/>
  <c r="F194" i="32"/>
  <c r="G194" i="32"/>
  <c r="H194" i="32"/>
  <c r="I194" i="32"/>
  <c r="J194" i="32"/>
  <c r="K194" i="32"/>
  <c r="L194" i="32"/>
  <c r="M194" i="32"/>
  <c r="A195" i="32"/>
  <c r="C195" i="32"/>
  <c r="D195" i="32"/>
  <c r="E195" i="32"/>
  <c r="F195" i="32"/>
  <c r="G195" i="32"/>
  <c r="H195" i="32"/>
  <c r="I195" i="32"/>
  <c r="J195" i="32"/>
  <c r="K195" i="32"/>
  <c r="L195" i="32"/>
  <c r="M195" i="32"/>
  <c r="A196" i="32"/>
  <c r="C196" i="32"/>
  <c r="D196" i="32"/>
  <c r="E196" i="32"/>
  <c r="F196" i="32"/>
  <c r="G196" i="32"/>
  <c r="H196" i="32"/>
  <c r="I196" i="32"/>
  <c r="J196" i="32"/>
  <c r="K196" i="32"/>
  <c r="L196" i="32"/>
  <c r="M196" i="32"/>
  <c r="A197" i="32"/>
  <c r="C197" i="32"/>
  <c r="D197" i="32"/>
  <c r="E197" i="32"/>
  <c r="F197" i="32"/>
  <c r="G197" i="32"/>
  <c r="H197" i="32"/>
  <c r="I197" i="32"/>
  <c r="J197" i="32"/>
  <c r="K197" i="32"/>
  <c r="L197" i="32"/>
  <c r="M197" i="32"/>
  <c r="A198" i="32"/>
  <c r="C198" i="32"/>
  <c r="D198" i="32"/>
  <c r="E198" i="32"/>
  <c r="F198" i="32"/>
  <c r="G198" i="32"/>
  <c r="H198" i="32"/>
  <c r="I198" i="32"/>
  <c r="J198" i="32"/>
  <c r="K198" i="32"/>
  <c r="L198" i="32"/>
  <c r="M198" i="32"/>
  <c r="A199" i="32"/>
  <c r="C199" i="32"/>
  <c r="D199" i="32"/>
  <c r="E199" i="32"/>
  <c r="F199" i="32"/>
  <c r="G199" i="32"/>
  <c r="H199" i="32"/>
  <c r="I199" i="32"/>
  <c r="J199" i="32"/>
  <c r="K199" i="32"/>
  <c r="L199" i="32"/>
  <c r="M199" i="32"/>
  <c r="A200" i="32"/>
  <c r="C200" i="32"/>
  <c r="D200" i="32"/>
  <c r="E200" i="32"/>
  <c r="F200" i="32"/>
  <c r="G200" i="32"/>
  <c r="H200" i="32"/>
  <c r="I200" i="32"/>
  <c r="J200" i="32"/>
  <c r="K200" i="32"/>
  <c r="L200" i="32"/>
  <c r="M200" i="32"/>
  <c r="A201" i="32"/>
  <c r="C201" i="32"/>
  <c r="D201" i="32"/>
  <c r="E201" i="32"/>
  <c r="F201" i="32"/>
  <c r="G201" i="32"/>
  <c r="H201" i="32"/>
  <c r="I201" i="32"/>
  <c r="J201" i="32"/>
  <c r="K201" i="32"/>
  <c r="L201" i="32"/>
  <c r="M201" i="32"/>
  <c r="A202" i="32"/>
  <c r="C202" i="32"/>
  <c r="D202" i="32"/>
  <c r="E202" i="32"/>
  <c r="F202" i="32"/>
  <c r="G202" i="32"/>
  <c r="H202" i="32"/>
  <c r="I202" i="32"/>
  <c r="J202" i="32"/>
  <c r="K202" i="32"/>
  <c r="L202" i="32"/>
  <c r="M202" i="32"/>
  <c r="A203" i="32"/>
  <c r="C203" i="32"/>
  <c r="D203" i="32"/>
  <c r="E203" i="32"/>
  <c r="F203" i="32"/>
  <c r="G203" i="32"/>
  <c r="H203" i="32"/>
  <c r="I203" i="32"/>
  <c r="J203" i="32"/>
  <c r="K203" i="32"/>
  <c r="L203" i="32"/>
  <c r="M203" i="32"/>
  <c r="A204" i="32"/>
  <c r="C204" i="32"/>
  <c r="D204" i="32"/>
  <c r="E204" i="32"/>
  <c r="F204" i="32"/>
  <c r="G204" i="32"/>
  <c r="H204" i="32"/>
  <c r="I204" i="32"/>
  <c r="J204" i="32"/>
  <c r="K204" i="32"/>
  <c r="L204" i="32"/>
  <c r="M204" i="32"/>
  <c r="A205" i="32"/>
  <c r="C205" i="32"/>
  <c r="D205" i="32"/>
  <c r="E205" i="32"/>
  <c r="F205" i="32"/>
  <c r="G205" i="32"/>
  <c r="H205" i="32"/>
  <c r="I205" i="32"/>
  <c r="J205" i="32"/>
  <c r="K205" i="32"/>
  <c r="L205" i="32"/>
  <c r="M205" i="32"/>
  <c r="A206" i="32"/>
  <c r="C206" i="32"/>
  <c r="D206" i="32"/>
  <c r="E206" i="32"/>
  <c r="F206" i="32"/>
  <c r="G206" i="32"/>
  <c r="H206" i="32"/>
  <c r="I206" i="32"/>
  <c r="J206" i="32"/>
  <c r="K206" i="32"/>
  <c r="L206" i="32"/>
  <c r="M206" i="32"/>
  <c r="A207" i="32"/>
  <c r="C207" i="32"/>
  <c r="D207" i="32"/>
  <c r="E207" i="32"/>
  <c r="F207" i="32"/>
  <c r="G207" i="32"/>
  <c r="H207" i="32"/>
  <c r="I207" i="32"/>
  <c r="J207" i="32"/>
  <c r="K207" i="32"/>
  <c r="L207" i="32"/>
  <c r="M207" i="32"/>
  <c r="A208" i="32"/>
  <c r="C208" i="32"/>
  <c r="D208" i="32"/>
  <c r="E208" i="32"/>
  <c r="F208" i="32"/>
  <c r="G208" i="32"/>
  <c r="H208" i="32"/>
  <c r="I208" i="32"/>
  <c r="J208" i="32"/>
  <c r="K208" i="32"/>
  <c r="L208" i="32"/>
  <c r="M208" i="32"/>
  <c r="A209" i="32"/>
  <c r="C209" i="32"/>
  <c r="D209" i="32"/>
  <c r="E209" i="32"/>
  <c r="F209" i="32"/>
  <c r="G209" i="32"/>
  <c r="H209" i="32"/>
  <c r="I209" i="32"/>
  <c r="J209" i="32"/>
  <c r="K209" i="32"/>
  <c r="L209" i="32"/>
  <c r="M209" i="32"/>
  <c r="A210" i="32"/>
  <c r="C210" i="32"/>
  <c r="D210" i="32"/>
  <c r="E210" i="32"/>
  <c r="F210" i="32"/>
  <c r="G210" i="32"/>
  <c r="H210" i="32"/>
  <c r="I210" i="32"/>
  <c r="J210" i="32"/>
  <c r="K210" i="32"/>
  <c r="L210" i="32"/>
  <c r="M210" i="32"/>
  <c r="A211" i="32"/>
  <c r="C211" i="32"/>
  <c r="D211" i="32"/>
  <c r="E211" i="32"/>
  <c r="F211" i="32"/>
  <c r="G211" i="32"/>
  <c r="H211" i="32"/>
  <c r="I211" i="32"/>
  <c r="J211" i="32"/>
  <c r="K211" i="32"/>
  <c r="L211" i="32"/>
  <c r="M211" i="32"/>
  <c r="A212" i="32"/>
  <c r="C212" i="32"/>
  <c r="D212" i="32"/>
  <c r="E212" i="32"/>
  <c r="F212" i="32"/>
  <c r="G212" i="32"/>
  <c r="H212" i="32"/>
  <c r="I212" i="32"/>
  <c r="J212" i="32"/>
  <c r="K212" i="32"/>
  <c r="L212" i="32"/>
  <c r="M212" i="32"/>
  <c r="A213" i="32"/>
  <c r="C213" i="32"/>
  <c r="D213" i="32"/>
  <c r="E213" i="32"/>
  <c r="F213" i="32"/>
  <c r="G213" i="32"/>
  <c r="H213" i="32"/>
  <c r="I213" i="32"/>
  <c r="J213" i="32"/>
  <c r="K213" i="32"/>
  <c r="L213" i="32"/>
  <c r="M213" i="32"/>
  <c r="A214" i="32"/>
  <c r="C214" i="32"/>
  <c r="D214" i="32"/>
  <c r="E214" i="32"/>
  <c r="F214" i="32"/>
  <c r="G214" i="32"/>
  <c r="H214" i="32"/>
  <c r="I214" i="32"/>
  <c r="J214" i="32"/>
  <c r="K214" i="32"/>
  <c r="L214" i="32"/>
  <c r="M214" i="32"/>
  <c r="A215" i="32"/>
  <c r="C215" i="32"/>
  <c r="D215" i="32"/>
  <c r="E215" i="32"/>
  <c r="F215" i="32"/>
  <c r="G215" i="32"/>
  <c r="H215" i="32"/>
  <c r="I215" i="32"/>
  <c r="J215" i="32"/>
  <c r="K215" i="32"/>
  <c r="L215" i="32"/>
  <c r="M215" i="32"/>
  <c r="A216" i="32"/>
  <c r="C216" i="32"/>
  <c r="D216" i="32"/>
  <c r="E216" i="32"/>
  <c r="F216" i="32"/>
  <c r="G216" i="32"/>
  <c r="H216" i="32"/>
  <c r="I216" i="32"/>
  <c r="J216" i="32"/>
  <c r="K216" i="32"/>
  <c r="L216" i="32"/>
  <c r="M216" i="32"/>
  <c r="A217" i="32"/>
  <c r="C217" i="32"/>
  <c r="D217" i="32"/>
  <c r="E217" i="32"/>
  <c r="F217" i="32"/>
  <c r="G217" i="32"/>
  <c r="H217" i="32"/>
  <c r="I217" i="32"/>
  <c r="J217" i="32"/>
  <c r="K217" i="32"/>
  <c r="L217" i="32"/>
  <c r="M217" i="32"/>
  <c r="A218" i="32"/>
  <c r="C218" i="32"/>
  <c r="D218" i="32"/>
  <c r="E218" i="32"/>
  <c r="F218" i="32"/>
  <c r="G218" i="32"/>
  <c r="H218" i="32"/>
  <c r="I218" i="32"/>
  <c r="J218" i="32"/>
  <c r="K218" i="32"/>
  <c r="L218" i="32"/>
  <c r="M218" i="32"/>
  <c r="A219" i="32"/>
  <c r="C219" i="32"/>
  <c r="D219" i="32"/>
  <c r="E219" i="32"/>
  <c r="F219" i="32"/>
  <c r="G219" i="32"/>
  <c r="H219" i="32"/>
  <c r="I219" i="32"/>
  <c r="J219" i="32"/>
  <c r="K219" i="32"/>
  <c r="L219" i="32"/>
  <c r="M219" i="32"/>
  <c r="A220" i="32"/>
  <c r="C220" i="32"/>
  <c r="D220" i="32"/>
  <c r="E220" i="32"/>
  <c r="F220" i="32"/>
  <c r="G220" i="32"/>
  <c r="H220" i="32"/>
  <c r="I220" i="32"/>
  <c r="J220" i="32"/>
  <c r="K220" i="32"/>
  <c r="L220" i="32"/>
  <c r="M220" i="32"/>
  <c r="A221" i="32"/>
  <c r="C221" i="32"/>
  <c r="D221" i="32"/>
  <c r="E221" i="32"/>
  <c r="F221" i="32"/>
  <c r="G221" i="32"/>
  <c r="H221" i="32"/>
  <c r="I221" i="32"/>
  <c r="J221" i="32"/>
  <c r="K221" i="32"/>
  <c r="L221" i="32"/>
  <c r="M221" i="32"/>
  <c r="A222" i="32"/>
  <c r="C222" i="32"/>
  <c r="D222" i="32"/>
  <c r="E222" i="32"/>
  <c r="F222" i="32"/>
  <c r="G222" i="32"/>
  <c r="H222" i="32"/>
  <c r="I222" i="32"/>
  <c r="J222" i="32"/>
  <c r="K222" i="32"/>
  <c r="L222" i="32"/>
  <c r="M222" i="32"/>
  <c r="A223" i="32"/>
  <c r="C223" i="32"/>
  <c r="D223" i="32"/>
  <c r="E223" i="32"/>
  <c r="F223" i="32"/>
  <c r="G223" i="32"/>
  <c r="H223" i="32"/>
  <c r="I223" i="32"/>
  <c r="J223" i="32"/>
  <c r="K223" i="32"/>
  <c r="L223" i="32"/>
  <c r="M223" i="32"/>
  <c r="A224" i="32"/>
  <c r="C224" i="32"/>
  <c r="D224" i="32"/>
  <c r="E224" i="32"/>
  <c r="F224" i="32"/>
  <c r="G224" i="32"/>
  <c r="H224" i="32"/>
  <c r="I224" i="32"/>
  <c r="J224" i="32"/>
  <c r="K224" i="32"/>
  <c r="L224" i="32"/>
  <c r="M224" i="32"/>
  <c r="A225" i="32"/>
  <c r="C225" i="32"/>
  <c r="D225" i="32"/>
  <c r="E225" i="32"/>
  <c r="F225" i="32"/>
  <c r="G225" i="32"/>
  <c r="H225" i="32"/>
  <c r="I225" i="32"/>
  <c r="J225" i="32"/>
  <c r="K225" i="32"/>
  <c r="L225" i="32"/>
  <c r="M225" i="32"/>
  <c r="A226" i="32"/>
  <c r="C226" i="32"/>
  <c r="D226" i="32"/>
  <c r="E226" i="32"/>
  <c r="F226" i="32"/>
  <c r="G226" i="32"/>
  <c r="H226" i="32"/>
  <c r="I226" i="32"/>
  <c r="J226" i="32"/>
  <c r="K226" i="32"/>
  <c r="L226" i="32"/>
  <c r="M226" i="32"/>
  <c r="A227" i="32"/>
  <c r="C227" i="32"/>
  <c r="D227" i="32"/>
  <c r="E227" i="32"/>
  <c r="F227" i="32"/>
  <c r="G227" i="32"/>
  <c r="H227" i="32"/>
  <c r="I227" i="32"/>
  <c r="J227" i="32"/>
  <c r="K227" i="32"/>
  <c r="L227" i="32"/>
  <c r="M227" i="32"/>
  <c r="A228" i="32"/>
  <c r="C228" i="32"/>
  <c r="D228" i="32"/>
  <c r="E228" i="32"/>
  <c r="F228" i="32"/>
  <c r="G228" i="32"/>
  <c r="H228" i="32"/>
  <c r="I228" i="32"/>
  <c r="J228" i="32"/>
  <c r="K228" i="32"/>
  <c r="L228" i="32"/>
  <c r="M228" i="32"/>
  <c r="A229" i="32"/>
  <c r="C229" i="32"/>
  <c r="D229" i="32"/>
  <c r="E229" i="32"/>
  <c r="F229" i="32"/>
  <c r="G229" i="32"/>
  <c r="H229" i="32"/>
  <c r="I229" i="32"/>
  <c r="J229" i="32"/>
  <c r="K229" i="32"/>
  <c r="L229" i="32"/>
  <c r="M229" i="32"/>
  <c r="A230" i="32"/>
  <c r="C230" i="32"/>
  <c r="D230" i="32"/>
  <c r="E230" i="32"/>
  <c r="F230" i="32"/>
  <c r="G230" i="32"/>
  <c r="H230" i="32"/>
  <c r="I230" i="32"/>
  <c r="J230" i="32"/>
  <c r="K230" i="32"/>
  <c r="L230" i="32"/>
  <c r="M230" i="32"/>
  <c r="A231" i="32"/>
  <c r="C231" i="32"/>
  <c r="D231" i="32"/>
  <c r="E231" i="32"/>
  <c r="F231" i="32"/>
  <c r="G231" i="32"/>
  <c r="H231" i="32"/>
  <c r="I231" i="32"/>
  <c r="J231" i="32"/>
  <c r="K231" i="32"/>
  <c r="L231" i="32"/>
  <c r="M231" i="32"/>
  <c r="A232" i="32"/>
  <c r="C232" i="32"/>
  <c r="D232" i="32"/>
  <c r="E232" i="32"/>
  <c r="F232" i="32"/>
  <c r="G232" i="32"/>
  <c r="H232" i="32"/>
  <c r="I232" i="32"/>
  <c r="J232" i="32"/>
  <c r="K232" i="32"/>
  <c r="L232" i="32"/>
  <c r="M232" i="32"/>
  <c r="A233" i="32"/>
  <c r="C233" i="32"/>
  <c r="D233" i="32"/>
  <c r="E233" i="32"/>
  <c r="F233" i="32"/>
  <c r="G233" i="32"/>
  <c r="H233" i="32"/>
  <c r="I233" i="32"/>
  <c r="J233" i="32"/>
  <c r="K233" i="32"/>
  <c r="L233" i="32"/>
  <c r="M233" i="32"/>
  <c r="A234" i="32"/>
  <c r="C234" i="32"/>
  <c r="D234" i="32"/>
  <c r="E234" i="32"/>
  <c r="F234" i="32"/>
  <c r="G234" i="32"/>
  <c r="H234" i="32"/>
  <c r="I234" i="32"/>
  <c r="J234" i="32"/>
  <c r="K234" i="32"/>
  <c r="L234" i="32"/>
  <c r="M234" i="32"/>
  <c r="A235" i="32"/>
  <c r="C235" i="32"/>
  <c r="D235" i="32"/>
  <c r="E235" i="32"/>
  <c r="F235" i="32"/>
  <c r="G235" i="32"/>
  <c r="H235" i="32"/>
  <c r="I235" i="32"/>
  <c r="J235" i="32"/>
  <c r="K235" i="32"/>
  <c r="L235" i="32"/>
  <c r="M235" i="32"/>
  <c r="A236" i="32"/>
  <c r="C236" i="32"/>
  <c r="D236" i="32"/>
  <c r="E236" i="32"/>
  <c r="F236" i="32"/>
  <c r="G236" i="32"/>
  <c r="H236" i="32"/>
  <c r="I236" i="32"/>
  <c r="J236" i="32"/>
  <c r="K236" i="32"/>
  <c r="L236" i="32"/>
  <c r="M236" i="32"/>
  <c r="A237" i="32"/>
  <c r="C237" i="32"/>
  <c r="D237" i="32"/>
  <c r="E237" i="32"/>
  <c r="F237" i="32"/>
  <c r="G237" i="32"/>
  <c r="H237" i="32"/>
  <c r="I237" i="32"/>
  <c r="J237" i="32"/>
  <c r="K237" i="32"/>
  <c r="L237" i="32"/>
  <c r="M237" i="32"/>
  <c r="A238" i="32"/>
  <c r="C238" i="32"/>
  <c r="D238" i="32"/>
  <c r="E238" i="32"/>
  <c r="F238" i="32"/>
  <c r="G238" i="32"/>
  <c r="H238" i="32"/>
  <c r="I238" i="32"/>
  <c r="J238" i="32"/>
  <c r="K238" i="32"/>
  <c r="L238" i="32"/>
  <c r="M238" i="32"/>
  <c r="A239" i="32"/>
  <c r="C239" i="32"/>
  <c r="D239" i="32"/>
  <c r="E239" i="32"/>
  <c r="F239" i="32"/>
  <c r="G239" i="32"/>
  <c r="H239" i="32"/>
  <c r="I239" i="32"/>
  <c r="J239" i="32"/>
  <c r="K239" i="32"/>
  <c r="L239" i="32"/>
  <c r="M239" i="32"/>
  <c r="A240" i="32"/>
  <c r="C240" i="32"/>
  <c r="D240" i="32"/>
  <c r="E240" i="32"/>
  <c r="F240" i="32"/>
  <c r="G240" i="32"/>
  <c r="H240" i="32"/>
  <c r="I240" i="32"/>
  <c r="J240" i="32"/>
  <c r="K240" i="32"/>
  <c r="L240" i="32"/>
  <c r="M240" i="32"/>
  <c r="A241" i="32"/>
  <c r="C241" i="32"/>
  <c r="D241" i="32"/>
  <c r="E241" i="32"/>
  <c r="F241" i="32"/>
  <c r="G241" i="32"/>
  <c r="H241" i="32"/>
  <c r="I241" i="32"/>
  <c r="J241" i="32"/>
  <c r="K241" i="32"/>
  <c r="L241" i="32"/>
  <c r="M241" i="32"/>
  <c r="A242" i="32"/>
  <c r="C242" i="32"/>
  <c r="D242" i="32"/>
  <c r="E242" i="32"/>
  <c r="F242" i="32"/>
  <c r="G242" i="32"/>
  <c r="H242" i="32"/>
  <c r="I242" i="32"/>
  <c r="J242" i="32"/>
  <c r="K242" i="32"/>
  <c r="L242" i="32"/>
  <c r="M242" i="32"/>
  <c r="A243" i="32"/>
  <c r="C243" i="32"/>
  <c r="D243" i="32"/>
  <c r="E243" i="32"/>
  <c r="F243" i="32"/>
  <c r="G243" i="32"/>
  <c r="H243" i="32"/>
  <c r="I243" i="32"/>
  <c r="J243" i="32"/>
  <c r="K243" i="32"/>
  <c r="L243" i="32"/>
  <c r="M243" i="32"/>
  <c r="A244" i="32"/>
  <c r="C244" i="32"/>
  <c r="D244" i="32"/>
  <c r="E244" i="32"/>
  <c r="F244" i="32"/>
  <c r="G244" i="32"/>
  <c r="H244" i="32"/>
  <c r="I244" i="32"/>
  <c r="J244" i="32"/>
  <c r="K244" i="32"/>
  <c r="L244" i="32"/>
  <c r="M244" i="32"/>
  <c r="A245" i="32"/>
  <c r="C245" i="32"/>
  <c r="D245" i="32"/>
  <c r="E245" i="32"/>
  <c r="F245" i="32"/>
  <c r="G245" i="32"/>
  <c r="H245" i="32"/>
  <c r="I245" i="32"/>
  <c r="J245" i="32"/>
  <c r="K245" i="32"/>
  <c r="L245" i="32"/>
  <c r="M245" i="32"/>
  <c r="A246" i="32"/>
  <c r="M247" i="32"/>
  <c r="B249" i="32"/>
  <c r="C249" i="32"/>
  <c r="D249" i="32"/>
  <c r="E249" i="32"/>
  <c r="F249" i="32"/>
  <c r="G249" i="32"/>
  <c r="H249" i="32"/>
  <c r="I249" i="32"/>
  <c r="J249" i="32"/>
  <c r="K249" i="32"/>
  <c r="L249" i="32"/>
  <c r="M249" i="32"/>
  <c r="A1" i="11"/>
  <c r="A2" i="11"/>
  <c r="A3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D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D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A44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D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B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B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B73" i="11"/>
  <c r="AB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B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B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C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1" i="31"/>
  <c r="A2" i="31"/>
  <c r="A3" i="31"/>
  <c r="H9" i="31"/>
  <c r="J9" i="31"/>
  <c r="K9" i="31"/>
  <c r="H10" i="31"/>
  <c r="J10" i="31"/>
  <c r="K10" i="31"/>
  <c r="H11" i="31"/>
  <c r="J11" i="31"/>
  <c r="K11" i="31"/>
  <c r="H12" i="31"/>
  <c r="J12" i="31"/>
  <c r="K12" i="31"/>
  <c r="H13" i="31"/>
  <c r="J13" i="31"/>
  <c r="K13" i="31"/>
  <c r="K14" i="31"/>
  <c r="H17" i="31"/>
  <c r="J17" i="31"/>
  <c r="K17" i="31"/>
  <c r="H18" i="31"/>
  <c r="J18" i="31"/>
  <c r="K18" i="31"/>
  <c r="C19" i="31"/>
  <c r="D19" i="31"/>
  <c r="H19" i="31"/>
  <c r="J19" i="31"/>
  <c r="K19" i="31"/>
  <c r="C20" i="31"/>
  <c r="D20" i="31"/>
  <c r="K20" i="31"/>
  <c r="C21" i="31"/>
  <c r="D21" i="31"/>
  <c r="H24" i="31"/>
  <c r="J24" i="31"/>
  <c r="K24" i="31"/>
  <c r="H25" i="31"/>
  <c r="J25" i="31"/>
  <c r="K25" i="31"/>
  <c r="K26" i="31"/>
  <c r="H28" i="31"/>
  <c r="J28" i="31"/>
  <c r="K28" i="31"/>
  <c r="H29" i="31"/>
  <c r="J29" i="31"/>
  <c r="K29" i="31"/>
  <c r="K30" i="31"/>
  <c r="H32" i="31"/>
  <c r="J32" i="31"/>
  <c r="K32" i="31"/>
  <c r="H33" i="31"/>
  <c r="J33" i="31"/>
  <c r="K33" i="31"/>
  <c r="K34" i="31"/>
  <c r="H36" i="31"/>
  <c r="J36" i="31"/>
  <c r="K36" i="31"/>
  <c r="H37" i="31"/>
  <c r="J37" i="31"/>
  <c r="K37" i="31"/>
  <c r="K38" i="31"/>
  <c r="K39" i="31"/>
  <c r="K41" i="31"/>
  <c r="D48" i="31"/>
  <c r="D52" i="31"/>
  <c r="D53" i="31"/>
  <c r="B54" i="31"/>
  <c r="D54" i="31"/>
  <c r="D59" i="31"/>
  <c r="D60" i="31"/>
</calcChain>
</file>

<file path=xl/comments1.xml><?xml version="1.0" encoding="utf-8"?>
<comments xmlns="http://schemas.openxmlformats.org/spreadsheetml/2006/main">
  <authors>
    <author>Robert Sammon</author>
  </authors>
  <commentList>
    <comment ref="R18" authorId="0" shapeId="0">
      <text>
        <r>
          <rPr>
            <b/>
            <sz val="8"/>
            <color indexed="81"/>
            <rFont val="Tahoma"/>
          </rPr>
          <t>Robert Sammon:</t>
        </r>
        <r>
          <rPr>
            <sz val="8"/>
            <color indexed="81"/>
            <rFont val="Tahoma"/>
          </rPr>
          <t xml:space="preserve">
Increase Parson's per Jeremy Dawson on 2/16/2000.
</t>
        </r>
      </text>
    </comment>
  </commentList>
</comments>
</file>

<file path=xl/comments2.xml><?xml version="1.0" encoding="utf-8"?>
<comments xmlns="http://schemas.openxmlformats.org/spreadsheetml/2006/main">
  <authors>
    <author>D Carneiro</author>
  </authors>
  <commentList>
    <comment ref="D67" authorId="0" shapeId="0">
      <text>
        <r>
          <rPr>
            <b/>
            <sz val="8"/>
            <color indexed="81"/>
            <rFont val="Tahoma"/>
          </rPr>
          <t>D Carneiro:</t>
        </r>
        <r>
          <rPr>
            <sz val="8"/>
            <color indexed="81"/>
            <rFont val="Tahoma"/>
          </rPr>
          <t xml:space="preserve">
Does not include servicing of Sub Debt which is being treated as additional equity contributions from partners.</t>
        </r>
      </text>
    </comment>
  </commentList>
</comments>
</file>

<file path=xl/comments3.xml><?xml version="1.0" encoding="utf-8"?>
<comments xmlns="http://schemas.openxmlformats.org/spreadsheetml/2006/main">
  <authors>
    <author>kkindal</author>
  </authors>
  <commentList>
    <comment ref="K51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Trace starts here.</t>
        </r>
      </text>
    </comment>
  </commentList>
</comments>
</file>

<file path=xl/comments4.xml><?xml version="1.0" encoding="utf-8"?>
<comments xmlns="http://schemas.openxmlformats.org/spreadsheetml/2006/main">
  <authors>
    <author>EI</author>
  </authors>
  <commentList>
    <comment ref="I28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Updated by 09/07/99 regulatory model.</t>
        </r>
      </text>
    </comment>
    <comment ref="I2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Updated by 09/07/99 regulatory model.</t>
        </r>
      </text>
    </comment>
  </commentList>
</comments>
</file>

<file path=xl/comments5.xml><?xml version="1.0" encoding="utf-8"?>
<comments xmlns="http://schemas.openxmlformats.org/spreadsheetml/2006/main">
  <authors>
    <author>kkindal</author>
  </authors>
  <commentList>
    <comment ref="G22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Links to the TBS model.</t>
        </r>
      </text>
    </comment>
  </commentList>
</comments>
</file>

<file path=xl/sharedStrings.xml><?xml version="1.0" encoding="utf-8"?>
<sst xmlns="http://schemas.openxmlformats.org/spreadsheetml/2006/main" count="2048" uniqueCount="1184">
  <si>
    <t>Interest Coverage (EBIT/Interest)</t>
  </si>
  <si>
    <t>Debt Service Coverage (EBITDA/Debt Service)</t>
  </si>
  <si>
    <t>RATIO ANALYSIS</t>
  </si>
  <si>
    <t>Cash Flow Date</t>
  </si>
  <si>
    <t>Valutation Date</t>
  </si>
  <si>
    <t>Valuation Date</t>
  </si>
  <si>
    <t>Equity Outflows</t>
  </si>
  <si>
    <t>Fees</t>
  </si>
  <si>
    <t>Ongoing Cash Flows</t>
  </si>
  <si>
    <t>Total Cash Flows</t>
  </si>
  <si>
    <t>Capital Price</t>
  </si>
  <si>
    <t>RAROC</t>
  </si>
  <si>
    <t>Enron's Stake</t>
  </si>
  <si>
    <t>Shell's Stake</t>
  </si>
  <si>
    <t>Transredes Stake</t>
  </si>
  <si>
    <t>Table Plug</t>
  </si>
  <si>
    <t>Cuiaba III Start Date</t>
  </si>
  <si>
    <t>Cuiaba Start Date</t>
  </si>
  <si>
    <t>EBDIT NPV</t>
  </si>
  <si>
    <t>Interest Rate on Loan</t>
  </si>
  <si>
    <t>Construction overrun</t>
  </si>
  <si>
    <t>Volume Shift</t>
  </si>
  <si>
    <t>Balance sheet Test</t>
  </si>
  <si>
    <t>ENE NPV14</t>
  </si>
  <si>
    <t>EBDIT NPV14</t>
  </si>
  <si>
    <t>Cuiaba Phase III Start Date</t>
  </si>
  <si>
    <t>Cuiaba Phase II Start Date</t>
  </si>
  <si>
    <t>Sensitivities (Graphs to the right)</t>
  </si>
  <si>
    <t>Construction Overrun</t>
  </si>
  <si>
    <t>Comp Analysis</t>
  </si>
  <si>
    <t>TGS</t>
  </si>
  <si>
    <t>1999A</t>
  </si>
  <si>
    <t>1999E</t>
  </si>
  <si>
    <t>Northern Border</t>
  </si>
  <si>
    <t>Buckeye</t>
  </si>
  <si>
    <t>Lakehead</t>
  </si>
  <si>
    <t>Net Fixed Asset Turnover</t>
  </si>
  <si>
    <t>Operating CF / Income</t>
  </si>
  <si>
    <t>Interest Coverage</t>
  </si>
  <si>
    <t xml:space="preserve"> Average</t>
  </si>
  <si>
    <t>Project Ownership (Pre-Dilution)</t>
  </si>
  <si>
    <t>Project Ownership (Post-Dilution)</t>
  </si>
  <si>
    <t>base  total change orders=&gt;</t>
  </si>
  <si>
    <t>Assume Dilution</t>
  </si>
  <si>
    <t>Dilution Date</t>
  </si>
  <si>
    <t>Pre-Dilution Equity</t>
  </si>
  <si>
    <t>Fee for Lender's Put Option</t>
  </si>
  <si>
    <t xml:space="preserve">ENRON </t>
  </si>
  <si>
    <t>GUARANTEE FEE</t>
  </si>
  <si>
    <r>
      <t>Less: OPIC Agency Fee +</t>
    </r>
    <r>
      <rPr>
        <b/>
        <sz val="10"/>
        <color indexed="14"/>
        <rFont val="arial"/>
        <family val="2"/>
      </rPr>
      <t xml:space="preserve"> Loan Guarantee Fee</t>
    </r>
  </si>
  <si>
    <t>Assumptions</t>
  </si>
  <si>
    <t>Construction Taxes</t>
  </si>
  <si>
    <t>Cash Flow</t>
  </si>
  <si>
    <t>Enron Book Income</t>
  </si>
  <si>
    <t>Drawdown Schedule</t>
  </si>
  <si>
    <t>Interest During Construction</t>
  </si>
  <si>
    <t>Depreciation</t>
  </si>
  <si>
    <t>Reference Sheets</t>
  </si>
  <si>
    <t>REFERENCE SHEET - 1</t>
  </si>
  <si>
    <t>Person(s)</t>
  </si>
  <si>
    <t>Responsible</t>
  </si>
  <si>
    <t>Assumption Category</t>
  </si>
  <si>
    <t>Assumption Description</t>
  </si>
  <si>
    <t>Current Assumption</t>
  </si>
  <si>
    <t>Assumption Reference</t>
  </si>
  <si>
    <t>Reference</t>
  </si>
  <si>
    <t>Comments</t>
  </si>
  <si>
    <t>J. Bestard</t>
  </si>
  <si>
    <t>Years</t>
  </si>
  <si>
    <t>S. Friedlander</t>
  </si>
  <si>
    <t>Base Year</t>
  </si>
  <si>
    <t>Escalation Factor</t>
  </si>
  <si>
    <t>Bridge Loan</t>
  </si>
  <si>
    <t>Commitment Fee</t>
  </si>
  <si>
    <t>Amount</t>
  </si>
  <si>
    <t>Interest Rate</t>
  </si>
  <si>
    <t>REFERENCE SHEET - 2</t>
  </si>
  <si>
    <t>Current</t>
  </si>
  <si>
    <t xml:space="preserve">Responsible </t>
  </si>
  <si>
    <t>Assumption</t>
  </si>
  <si>
    <t>B. Rosen</t>
  </si>
  <si>
    <t>Basis</t>
  </si>
  <si>
    <t>Calculation</t>
  </si>
  <si>
    <t xml:space="preserve">   Total</t>
  </si>
  <si>
    <t>REFERENCE SHEET - 3</t>
  </si>
  <si>
    <t>K. Pierce</t>
  </si>
  <si>
    <t>D. Vincent</t>
  </si>
  <si>
    <t>REFERENCE SHEET - 4</t>
  </si>
  <si>
    <t>Per Dulaney Ccmail 6/18/97</t>
  </si>
  <si>
    <t>Enron IRR</t>
  </si>
  <si>
    <t>ASSUMPTIONS</t>
  </si>
  <si>
    <t>ENRON INTERNATIONAL</t>
  </si>
  <si>
    <t xml:space="preserve">                                                                                       </t>
  </si>
  <si>
    <t xml:space="preserve"> </t>
  </si>
  <si>
    <t>Project Structure:</t>
  </si>
  <si>
    <t>Limitada</t>
  </si>
  <si>
    <t>Values</t>
  </si>
  <si>
    <t>Inputs</t>
  </si>
  <si>
    <t>Difference</t>
  </si>
  <si>
    <t>Operating Taxes</t>
  </si>
  <si>
    <t>Project Type</t>
  </si>
  <si>
    <t>BOO</t>
  </si>
  <si>
    <t>Size of Pipe</t>
  </si>
  <si>
    <t>Project Operations</t>
  </si>
  <si>
    <t>Month</t>
  </si>
  <si>
    <t>Year</t>
  </si>
  <si>
    <t>Loop Factor</t>
  </si>
  <si>
    <t>GAC</t>
  </si>
  <si>
    <t>Escalation</t>
  </si>
  <si>
    <t>US Taxes</t>
  </si>
  <si>
    <t>Depreciation Assumptions</t>
  </si>
  <si>
    <t>Basis ($000)</t>
  </si>
  <si>
    <t>Life (Yrs)</t>
  </si>
  <si>
    <t>Method</t>
  </si>
  <si>
    <t>Other O&amp;M Expenses</t>
  </si>
  <si>
    <t>S/L</t>
  </si>
  <si>
    <t>Gas Loss</t>
  </si>
  <si>
    <t>GAAP</t>
  </si>
  <si>
    <t>Capital Budget Expenses</t>
  </si>
  <si>
    <t>Average</t>
  </si>
  <si>
    <t>Enron</t>
  </si>
  <si>
    <t>Shell</t>
  </si>
  <si>
    <t>Transredes</t>
  </si>
  <si>
    <t>Legal Reserve</t>
  </si>
  <si>
    <t>Disc Rate</t>
  </si>
  <si>
    <t>IRR</t>
  </si>
  <si>
    <t>NPV</t>
  </si>
  <si>
    <t>Trapped Cash</t>
  </si>
  <si>
    <t>Debt Reserve</t>
  </si>
  <si>
    <t>Target IRR</t>
  </si>
  <si>
    <t>L/C Fee p.a.</t>
  </si>
  <si>
    <t>Net Operating Loss</t>
  </si>
  <si>
    <t>DS Coverage Ratios</t>
  </si>
  <si>
    <t>Pre-Tax</t>
  </si>
  <si>
    <t>After-Tax</t>
  </si>
  <si>
    <t>TOTAL PARTNERS</t>
  </si>
  <si>
    <t>Plus:  Political Risk Insurance</t>
  </si>
  <si>
    <t>Plus: Bridge Loan Amount</t>
  </si>
  <si>
    <t>Less: Bridge Loan Repayment</t>
  </si>
  <si>
    <t>VAT</t>
  </si>
  <si>
    <t>1 Kcal =</t>
  </si>
  <si>
    <t>MMBTU</t>
  </si>
  <si>
    <t>Less: Indemnity Fee</t>
  </si>
  <si>
    <t>Less: Development Fee</t>
  </si>
  <si>
    <t>Sub-total Partner Level Adjustments</t>
  </si>
  <si>
    <t>CONSTRUCTION TAXES</t>
  </si>
  <si>
    <t>Tax Rate</t>
  </si>
  <si>
    <t>% Onshore</t>
  </si>
  <si>
    <t>Tax Amount</t>
  </si>
  <si>
    <t>Linefill</t>
  </si>
  <si>
    <t>Current Year</t>
  </si>
  <si>
    <t>Calendar Year</t>
  </si>
  <si>
    <t>Totals</t>
  </si>
  <si>
    <t xml:space="preserve">Total O&amp;M </t>
  </si>
  <si>
    <t>Other Income/(Expenses)</t>
  </si>
  <si>
    <t>Earnings Before Depr, Int &amp; Taxes (EBDIT)</t>
  </si>
  <si>
    <t>Earnings Before Int &amp; Taxes (EBIT)</t>
  </si>
  <si>
    <t>Earnings Before Taxes (EBT)</t>
  </si>
  <si>
    <t>PROJECT BOOK INCOME</t>
  </si>
  <si>
    <t>NET A-T CASH FLOW DISTRIBUTED</t>
  </si>
  <si>
    <t>Contract Year</t>
  </si>
  <si>
    <t>Current Year Earnings</t>
  </si>
  <si>
    <t>Current Year Trapped Cash</t>
  </si>
  <si>
    <t>Less: Legal Reserve</t>
  </si>
  <si>
    <t>Beginning Balance</t>
  </si>
  <si>
    <t>Less: Loan Repayment</t>
  </si>
  <si>
    <t>Unescalated Capital Budget Expenses</t>
  </si>
  <si>
    <t>Potential Legal Reserve Requirement</t>
  </si>
  <si>
    <t>Capped @</t>
  </si>
  <si>
    <t>Expense Accrual Account</t>
  </si>
  <si>
    <t>Plus: Expense Accrual</t>
  </si>
  <si>
    <t>Less: Cash Expense</t>
  </si>
  <si>
    <t>Ending Balance</t>
  </si>
  <si>
    <t>VAT Reimbursement Calculation</t>
  </si>
  <si>
    <t>VAT On Services</t>
  </si>
  <si>
    <t>VAT Beginning Balance</t>
  </si>
  <si>
    <t>Equity Injection</t>
  </si>
  <si>
    <t>Total Cash Flow</t>
  </si>
  <si>
    <t>20 Year Running NPV</t>
  </si>
  <si>
    <t>20 Year Running IRR</t>
  </si>
  <si>
    <t>Discounted Payback Year</t>
  </si>
  <si>
    <t>Plus: Indemnity Fee</t>
  </si>
  <si>
    <t>(1)</t>
  </si>
  <si>
    <t>Plus: Development Fee</t>
  </si>
  <si>
    <t>Enron Discounted Payback Year</t>
  </si>
  <si>
    <t>Less: Political Risk Insurance - Bridge Loan</t>
  </si>
  <si>
    <t>Less: Interest Expense</t>
  </si>
  <si>
    <t>Less: US GAAP Depreciation</t>
  </si>
  <si>
    <t>Less: In Country Tax Expense</t>
  </si>
  <si>
    <t>(3)</t>
  </si>
  <si>
    <t>Plus: Indemnity Fee Recognized Currently</t>
  </si>
  <si>
    <t>Less: Indemnity Fee Capitalized and Amortized</t>
  </si>
  <si>
    <t>Total</t>
  </si>
  <si>
    <t>Current Month</t>
  </si>
  <si>
    <t>Calendar Month</t>
  </si>
  <si>
    <t>Project Cost</t>
  </si>
  <si>
    <t>Construction Balance</t>
  </si>
  <si>
    <t>Construction Drawdown</t>
  </si>
  <si>
    <t>Equity Balance</t>
  </si>
  <si>
    <t>Total Interest During Construction</t>
  </si>
  <si>
    <t xml:space="preserve">Totals  </t>
  </si>
  <si>
    <t xml:space="preserve">   Interest</t>
  </si>
  <si>
    <t xml:space="preserve">   Principal</t>
  </si>
  <si>
    <t>PRINCIPAL</t>
  </si>
  <si>
    <t>REPAYMENT</t>
  </si>
  <si>
    <t>Payments</t>
  </si>
  <si>
    <t>Period</t>
  </si>
  <si>
    <t>Begin Bal</t>
  </si>
  <si>
    <t>Interest</t>
  </si>
  <si>
    <t>Principal</t>
  </si>
  <si>
    <t>End Bal</t>
  </si>
  <si>
    <t>TOTALS</t>
  </si>
  <si>
    <t>Net Corporate Income Tax Payable</t>
  </si>
  <si>
    <t>Gross Revenue</t>
  </si>
  <si>
    <t>SIRESE Rate</t>
  </si>
  <si>
    <t>Total SIRESE Fee</t>
  </si>
  <si>
    <t>Transactions Tax  Rate</t>
  </si>
  <si>
    <t xml:space="preserve">Transactions Tax </t>
  </si>
  <si>
    <t>Estimated Current Period Transactions Tax</t>
  </si>
  <si>
    <t>BOOK TAXES</t>
  </si>
  <si>
    <t>Deferred Tax Asset/Liability</t>
  </si>
  <si>
    <t>Total Commitment Fee</t>
  </si>
  <si>
    <t>Tax</t>
  </si>
  <si>
    <t>Book</t>
  </si>
  <si>
    <t>Total Project Cost</t>
  </si>
  <si>
    <t>Less: Line Fill</t>
  </si>
  <si>
    <t>Total Depreciable Basis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</si>
  <si>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</si>
  <si>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</si>
  <si>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</si>
  <si>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</si>
  <si>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</si>
  <si>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</si>
  <si>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Less: Current Depreciation</t>
  </si>
  <si>
    <t>Ending Tax Basis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</si>
  <si>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</si>
  <si>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</si>
  <si>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</si>
  <si>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</si>
  <si>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</si>
  <si>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Current Gaap Depreciation</t>
  </si>
  <si>
    <t>BALANCE SHEET</t>
  </si>
  <si>
    <t>Opening</t>
  </si>
  <si>
    <t>Balance</t>
  </si>
  <si>
    <t>Inventory - Linefill</t>
  </si>
  <si>
    <t>Deferred Tax Asset</t>
  </si>
  <si>
    <t>Total Assets</t>
  </si>
  <si>
    <t>Deferred Tax Liability</t>
  </si>
  <si>
    <t>Capital Stock</t>
  </si>
  <si>
    <t>Balance Check:</t>
  </si>
  <si>
    <t>INCOME STATEMENT</t>
  </si>
  <si>
    <t>STATEMENT OF CASH FLOWS</t>
  </si>
  <si>
    <t>Page #</t>
  </si>
  <si>
    <t>*** DRAFT COPY ***</t>
  </si>
  <si>
    <t>Table Of Contents</t>
  </si>
  <si>
    <t>Pipeline Length - Bolivia</t>
  </si>
  <si>
    <t>Kilometers</t>
  </si>
  <si>
    <t>Inches</t>
  </si>
  <si>
    <t>Pipeline Data</t>
  </si>
  <si>
    <t>Term Of Contract (Yrs)</t>
  </si>
  <si>
    <t>NTP To Financial Close  (Mos)</t>
  </si>
  <si>
    <t>$ / MMBTU</t>
  </si>
  <si>
    <t>(Years 5 &amp; 15)</t>
  </si>
  <si>
    <t>(Years 3 , 6 , 9, 12 , 15 &amp; 18)</t>
  </si>
  <si>
    <t>Of Net Income</t>
  </si>
  <si>
    <t>Of Original Equity Equal To</t>
  </si>
  <si>
    <t>Months Of Debt Service Required</t>
  </si>
  <si>
    <t xml:space="preserve">Of Taxable Income </t>
  </si>
  <si>
    <t>Kcal</t>
  </si>
  <si>
    <t>Conversion Of MCM To MMBTU</t>
  </si>
  <si>
    <t>Bolivia Taxes</t>
  </si>
  <si>
    <t>Units Used</t>
  </si>
  <si>
    <t>Of Taxable Income</t>
  </si>
  <si>
    <t>On Services Abroad</t>
  </si>
  <si>
    <t>A-T Target</t>
  </si>
  <si>
    <t>Senior Debt</t>
  </si>
  <si>
    <t>Cashflow %</t>
  </si>
  <si>
    <t>Equity %</t>
  </si>
  <si>
    <t>Receive VAT certificates annually (based on calc'd amount) to be sold to 3rd parties.</t>
  </si>
  <si>
    <t>Assume we are a 0% rated company (no VAT received on revenues).</t>
  </si>
  <si>
    <t>Operations Mobilization</t>
  </si>
  <si>
    <t>Development Costs</t>
  </si>
  <si>
    <t>Development Fee</t>
  </si>
  <si>
    <t xml:space="preserve">Interest During Construction "IDC" </t>
  </si>
  <si>
    <t>Plus: Withholding Tax On Dividends</t>
  </si>
  <si>
    <t>Less: Withholding Tax On Indemnity Fee</t>
  </si>
  <si>
    <t>Plus: Interest Expense On Trapped Cash Loans</t>
  </si>
  <si>
    <t>Reconciled Project NPV</t>
  </si>
  <si>
    <t xml:space="preserve">Tranche 3: </t>
  </si>
  <si>
    <t>Tranche 4:</t>
  </si>
  <si>
    <t>Equity</t>
  </si>
  <si>
    <t>Total Investment</t>
  </si>
  <si>
    <t>Tranche 5:</t>
  </si>
  <si>
    <t>Weighted Average Rate / Spread</t>
  </si>
  <si>
    <t>Weighted Average Commitment Fee</t>
  </si>
  <si>
    <t>Maximum Life Of Financing (Years)</t>
  </si>
  <si>
    <t>Model Convergence</t>
  </si>
  <si>
    <t>Project Costs</t>
  </si>
  <si>
    <t>IDC</t>
  </si>
  <si>
    <t xml:space="preserve">Project Management </t>
  </si>
  <si>
    <t>Escalation Factor - Fixed Transportation</t>
  </si>
  <si>
    <t>Escalation Factor - Operating Expenses</t>
  </si>
  <si>
    <t>Operation &amp; Maintenance</t>
  </si>
  <si>
    <t>SIRESE Tax Amount</t>
  </si>
  <si>
    <t>Transaction Tax Amount</t>
  </si>
  <si>
    <t>Total Operating Expenses Including Taxes</t>
  </si>
  <si>
    <t>WH Tax On Off Shore Service (1's) - Grossed Up</t>
  </si>
  <si>
    <t>Reserve During Term Of Debt</t>
  </si>
  <si>
    <t>Plus: Interest Income - Partner / Shareholder Loans</t>
  </si>
  <si>
    <t>Total Other Income / (Expenses)</t>
  </si>
  <si>
    <t>Less: Book Depreciation Expense</t>
  </si>
  <si>
    <t>Less: IDC To Be Expensed</t>
  </si>
  <si>
    <t>Less: Book Provision For Income Taxes</t>
  </si>
  <si>
    <t>Less: Cash Taxes</t>
  </si>
  <si>
    <t>Plus: Book Depreciation</t>
  </si>
  <si>
    <t>Plus: IDC To Be Expensed</t>
  </si>
  <si>
    <t>Plus: Book Provision For Income Taxes</t>
  </si>
  <si>
    <t>Trapped Cash Loaned To Partners</t>
  </si>
  <si>
    <t>Recovery Of Prior Year Trapped Cash Loans</t>
  </si>
  <si>
    <t>Pre-Tax Debt Coverage Ratio</t>
  </si>
  <si>
    <t>After-Tax Debt Coverage Ratio</t>
  </si>
  <si>
    <t>NET A-T CASH FLOW BEFORE TRAPPED CASH</t>
  </si>
  <si>
    <t>Shareholder Loan Repayment - Trapped Cash</t>
  </si>
  <si>
    <t>Months Of Operation</t>
  </si>
  <si>
    <t>Net Income Per Books</t>
  </si>
  <si>
    <t>Relief Of Prior Years Trapped Cash</t>
  </si>
  <si>
    <t>Partner / Shareholder Loans</t>
  </si>
  <si>
    <t>Plus: Prior Year Trapped Cash - Loaned To Partners</t>
  </si>
  <si>
    <t>Interest Income - Partner / Shareholder Loans</t>
  </si>
  <si>
    <t>Interest Expense - Partner / Shareholder Loans</t>
  </si>
  <si>
    <t>Actual Legal Reserve Requirement</t>
  </si>
  <si>
    <t>Distribution Of Reserves</t>
  </si>
  <si>
    <t>Reserve For Equipment Rental (Reserve During Term Of Debt Only)</t>
  </si>
  <si>
    <t>Base Equipment Rental Costs - Unescalated</t>
  </si>
  <si>
    <t>Additional Equipment Rental Costs - Unescalated</t>
  </si>
  <si>
    <t>Total Equipment Rental Costs - Unescalated</t>
  </si>
  <si>
    <t>Total Equipment Rental Costs - Escalated</t>
  </si>
  <si>
    <t>Accrual To Cash Adjustment</t>
  </si>
  <si>
    <t>Equipment Reserve Account</t>
  </si>
  <si>
    <t>Times: VAT Rate</t>
  </si>
  <si>
    <t>Grossed Up</t>
  </si>
  <si>
    <t>Total VAT On Construction</t>
  </si>
  <si>
    <t>VAT Imputed On Construction</t>
  </si>
  <si>
    <t>VAT Taxes On Materials</t>
  </si>
  <si>
    <t>VAT Remitted To Gov't For Certificates</t>
  </si>
  <si>
    <t>Amount Of VAT To Be Recovered</t>
  </si>
  <si>
    <t>Plus: Trapped / (Recovered) Cash</t>
  </si>
  <si>
    <t>Bridge Loan Amount</t>
  </si>
  <si>
    <t>Bridge Loan Repayment</t>
  </si>
  <si>
    <t>US Tax (Cost) / Benefit (2)'s Above</t>
  </si>
  <si>
    <t>Less: Withholding Tax - Dividends</t>
  </si>
  <si>
    <t>Plus: Trapped Cash Loans</t>
  </si>
  <si>
    <t>Less: Tax (Cost) / Benefit On (1)'s Above</t>
  </si>
  <si>
    <t>Less: Interest Expense On Trapped Cash Loans</t>
  </si>
  <si>
    <t>(2)</t>
  </si>
  <si>
    <t>Project Earnings Before Depr, Int, &amp; Taxes</t>
  </si>
  <si>
    <t>Times: Enron's Ownership Percentage</t>
  </si>
  <si>
    <t>Less: Political Risk Ins - Enron Equity Capitalized &amp; Amort</t>
  </si>
  <si>
    <t>Less: Political Risk Ins - Enron Equity Expensed Currently</t>
  </si>
  <si>
    <t>Project Book Income Restated To GAAP</t>
  </si>
  <si>
    <t>Times: In Counry Tax Rate (Effective Tax Rate)</t>
  </si>
  <si>
    <t>Project Book Income Restated To US GAAP After Tax</t>
  </si>
  <si>
    <t>Plus: Development Fee Recognized Currently</t>
  </si>
  <si>
    <t>Plus: Development Fee Capitalized &amp; Amortized</t>
  </si>
  <si>
    <t>IDC - Cumulative</t>
  </si>
  <si>
    <t>Cumulative Principal Payments</t>
  </si>
  <si>
    <t xml:space="preserve">   6 Months Of Debt Service</t>
  </si>
  <si>
    <t>Effective Corporate Tax Rate</t>
  </si>
  <si>
    <t>Book  Income After NOL</t>
  </si>
  <si>
    <t>Book Provision For Income Tax</t>
  </si>
  <si>
    <t>Plus: Current Year Cash Taxes</t>
  </si>
  <si>
    <t>Less: Current Year Book Taxes</t>
  </si>
  <si>
    <t>Ending Deferred Tax Asset / (Liability)</t>
  </si>
  <si>
    <t>Beginning Deferred Tax Asset / (Liability)</t>
  </si>
  <si>
    <t>Commitment Fee Calculation</t>
  </si>
  <si>
    <t>Beginning Commitment Amount</t>
  </si>
  <si>
    <t>Current Period Amount Committed</t>
  </si>
  <si>
    <t>Current Period Amount Drawndown</t>
  </si>
  <si>
    <t>Ending Commitment Amount</t>
  </si>
  <si>
    <t xml:space="preserve">   Total Commitment Fee</t>
  </si>
  <si>
    <t>Less: Working Capital</t>
  </si>
  <si>
    <t>Life</t>
  </si>
  <si>
    <t>Deprec</t>
  </si>
  <si>
    <t>Plus: New Additions</t>
  </si>
  <si>
    <t>Beginning GAAP Basis</t>
  </si>
  <si>
    <t>Ending GAAP Basis</t>
  </si>
  <si>
    <t>Total Current GAAP Depreciation</t>
  </si>
  <si>
    <t>Accumulated GAAP Depreciation</t>
  </si>
  <si>
    <t>Assets</t>
  </si>
  <si>
    <t>Cash &amp; Cash Equivalents</t>
  </si>
  <si>
    <t>Accounts Receivable - VAT To Be Sold</t>
  </si>
  <si>
    <t>Notes Receivable - Trapped Cash Loans</t>
  </si>
  <si>
    <t>Property, Plant &amp; Equipment</t>
  </si>
  <si>
    <t>Property, Plant &amp; Equipment (Net)</t>
  </si>
  <si>
    <t>Liabilities</t>
  </si>
  <si>
    <t>Total Liabilities</t>
  </si>
  <si>
    <t>Stockholder's Equity</t>
  </si>
  <si>
    <t>Total Stockholder's Equity</t>
  </si>
  <si>
    <t>Total Liabilities &amp; Stockholder's Equity</t>
  </si>
  <si>
    <t>Cost (Less Sale Of VAT)</t>
  </si>
  <si>
    <t>Sales Revenues</t>
  </si>
  <si>
    <t>Income Before Income Taxes</t>
  </si>
  <si>
    <t>Less: Provision For Income Taxes (Income &amp; Surtax)</t>
  </si>
  <si>
    <t>Net Income</t>
  </si>
  <si>
    <t>Cash Flows From Operating Activities</t>
  </si>
  <si>
    <t>Cash Received From Customers</t>
  </si>
  <si>
    <t>Cash Paid To Suppliers &amp; Employees</t>
  </si>
  <si>
    <t>Income Taxes Paid</t>
  </si>
  <si>
    <t>Net Cash Provided By Operating Activities</t>
  </si>
  <si>
    <t>Cash Flows From Financing Activities</t>
  </si>
  <si>
    <t>Interest Income - Loans To Shareholders</t>
  </si>
  <si>
    <t>Capital Contributions</t>
  </si>
  <si>
    <t>Construction In Progress</t>
  </si>
  <si>
    <t>Dividends Paid</t>
  </si>
  <si>
    <t>Net Cash Provided By Financing Activities</t>
  </si>
  <si>
    <t>Net Increase In Cash &amp; Cash Equivalents</t>
  </si>
  <si>
    <t>Cash &amp; Cash Equivalents (BOY)</t>
  </si>
  <si>
    <t>Cash &amp; Cash Equivalents (EOY)</t>
  </si>
  <si>
    <t>IDC To Be Expensed</t>
  </si>
  <si>
    <t>Purchase Of Initial Line Fill</t>
  </si>
  <si>
    <t>VAT Recoverable On Project Costs</t>
  </si>
  <si>
    <t>Less: Political Risk Insurance</t>
  </si>
  <si>
    <t>Less: Interest Expense - TC Loans</t>
  </si>
  <si>
    <t>Loopfactor</t>
  </si>
  <si>
    <t xml:space="preserve">   Total Commitment Fee Drawdown</t>
  </si>
  <si>
    <t xml:space="preserve">   Total Drawdown Before IDC</t>
  </si>
  <si>
    <t>Monthly Drawdown Amount</t>
  </si>
  <si>
    <t>Cumulative Drawdown Amount</t>
  </si>
  <si>
    <t>Monthly Drawdown %</t>
  </si>
  <si>
    <t>Cumulative Drawdown Percent</t>
  </si>
  <si>
    <t>Date Of</t>
  </si>
  <si>
    <t>For Assumption</t>
  </si>
  <si>
    <t>Escalation On Fixed Capacity Payment</t>
  </si>
  <si>
    <t>Salaries &amp; Benefits</t>
  </si>
  <si>
    <t>Upfront Fee</t>
  </si>
  <si>
    <t>K. Pierce - Memo</t>
  </si>
  <si>
    <t>S. Friedlander - Verbal</t>
  </si>
  <si>
    <t>RAROC / RADR</t>
  </si>
  <si>
    <t>% Of Net Income</t>
  </si>
  <si>
    <t>Conversion Of MCM To Kcal</t>
  </si>
  <si>
    <t>Kcal / MCM</t>
  </si>
  <si>
    <t xml:space="preserve">  Cumulative % Complete (Excl IDC &amp; W/H Tax)</t>
  </si>
  <si>
    <t xml:space="preserve">  All-In Cumulative % Complete</t>
  </si>
  <si>
    <t>Trapped Cash / Partner Loans / Capital Budget</t>
  </si>
  <si>
    <t>11</t>
  </si>
  <si>
    <t>12</t>
  </si>
  <si>
    <t>13</t>
  </si>
  <si>
    <t>Debt Amortization</t>
  </si>
  <si>
    <t>Minimum</t>
  </si>
  <si>
    <t>Enron Returns</t>
  </si>
  <si>
    <t>10</t>
  </si>
  <si>
    <t>3rd Party Legal Fees</t>
  </si>
  <si>
    <t xml:space="preserve">Months Of Operation </t>
  </si>
  <si>
    <t>Less: Tax Cost / (Benefit) On (1)'s Above</t>
  </si>
  <si>
    <t>Less: W/H Tax On Interest Expense</t>
  </si>
  <si>
    <t>Less: Tax Depreciation</t>
  </si>
  <si>
    <t>Taxable Income Before NOL Carryforward</t>
  </si>
  <si>
    <t>Taxable Income</t>
  </si>
  <si>
    <t>CASH TAXES</t>
  </si>
  <si>
    <t>OPERATING TAXES</t>
  </si>
  <si>
    <t>Current Year Debt Service</t>
  </si>
  <si>
    <t>(EBDIT / Current Year Debt Service)</t>
  </si>
  <si>
    <t>(EBDIT-AT / Current Year Debt Service)</t>
  </si>
  <si>
    <t>Earnings Before Depr, Int &amp; Taxes (EBDIT) - Less Cash Taxes</t>
  </si>
  <si>
    <t>Less: Accumulated Depreciation</t>
  </si>
  <si>
    <t>2</t>
  </si>
  <si>
    <t>3</t>
  </si>
  <si>
    <t>4</t>
  </si>
  <si>
    <t>9</t>
  </si>
  <si>
    <t>Avg</t>
  </si>
  <si>
    <t>N. Khan</t>
  </si>
  <si>
    <t>Escalate @ CPI</t>
  </si>
  <si>
    <t>Conversion Tables</t>
  </si>
  <si>
    <t>CPI</t>
  </si>
  <si>
    <t>GasBol - TGS Transport Contract</t>
  </si>
  <si>
    <t>Need Documentation</t>
  </si>
  <si>
    <t>Beginning Trapped Cash</t>
  </si>
  <si>
    <t>Ending Trapped Cash</t>
  </si>
  <si>
    <t>Tranche 1: MLA - OPIC</t>
  </si>
  <si>
    <t>a</t>
  </si>
  <si>
    <t>b</t>
  </si>
  <si>
    <t>Times: Enron's Ownership %</t>
  </si>
  <si>
    <t>Max Of (a &amp; b) &gt; 0</t>
  </si>
  <si>
    <t>Political Risk Rate</t>
  </si>
  <si>
    <t>Total Stockholder's Equity Balance (BOY)</t>
  </si>
  <si>
    <t>Enron's Equity Balance (BOY)</t>
  </si>
  <si>
    <t>Total Stockholder's Equity Balance (EOY)</t>
  </si>
  <si>
    <t>Enron's Equity Balance (EOY)</t>
  </si>
  <si>
    <t>Min Of (a &amp; b) &gt; 0</t>
  </si>
  <si>
    <t>c</t>
  </si>
  <si>
    <t>d</t>
  </si>
  <si>
    <r>
      <t xml:space="preserve">Enron @ Risk Equity </t>
    </r>
    <r>
      <rPr>
        <i/>
        <sz val="9"/>
        <rFont val="Arial"/>
        <family val="2"/>
      </rPr>
      <t>[ (c x 2) + d ] / 3</t>
    </r>
  </si>
  <si>
    <t>Political Risk Calculation - Equity @ Risk</t>
  </si>
  <si>
    <t>Political Risk Calculation - Bridge Loan</t>
  </si>
  <si>
    <t>Enron Bridge Loan Balance (BOY)</t>
  </si>
  <si>
    <t>Enron Bridge Loan Balance (EOY)</t>
  </si>
  <si>
    <t>Monthly IDC To Be Expensed</t>
  </si>
  <si>
    <t>Cumulative IDC To Be Expensed</t>
  </si>
  <si>
    <t>Start Date (Phase II - Power Plant)</t>
  </si>
  <si>
    <t>Start Date (Phase III - Power Plant)</t>
  </si>
  <si>
    <t>W/H Tax - Cumulative</t>
  </si>
  <si>
    <t>Political Risk Insurance</t>
  </si>
  <si>
    <t>Partner Level Only</t>
  </si>
  <si>
    <t>Book Earnings Method</t>
  </si>
  <si>
    <t>B. Blesie</t>
  </si>
  <si>
    <t>Brad Blesie - Verbal</t>
  </si>
  <si>
    <r>
      <t xml:space="preserve">Political Risk Insurance - Enron Bridge Loan </t>
    </r>
    <r>
      <rPr>
        <i/>
        <sz val="9"/>
        <rFont val="Arial"/>
        <family val="2"/>
      </rPr>
      <t>(Cash Payment)</t>
    </r>
  </si>
  <si>
    <r>
      <t xml:space="preserve">Political Risk Insurance - Enron's @Risk Equity </t>
    </r>
    <r>
      <rPr>
        <i/>
        <sz val="9"/>
        <rFont val="Arial"/>
        <family val="2"/>
      </rPr>
      <t>(Cash Payment)</t>
    </r>
  </si>
  <si>
    <t>Enron Earnings From Project Income</t>
  </si>
  <si>
    <t>Subtotal - Enron Earnings From Project Income</t>
  </si>
  <si>
    <t>Enron Earnings From Other Income / (Expense)</t>
  </si>
  <si>
    <t>Enron Earnings From Bridge Loans</t>
  </si>
  <si>
    <t>Subtotal - Enron Earnings From Other Income / (Expense)</t>
  </si>
  <si>
    <t>Subtotal - Enron Earnings From Bridge Loans</t>
  </si>
  <si>
    <t>Project IRR (w/o TC)</t>
  </si>
  <si>
    <t>Project Returns</t>
  </si>
  <si>
    <r>
      <t xml:space="preserve">Enron Avg Book Income (Years 1-5) </t>
    </r>
    <r>
      <rPr>
        <b/>
        <i/>
        <sz val="9"/>
        <rFont val="Arial"/>
        <family val="2"/>
      </rPr>
      <t>- Comm Ops</t>
    </r>
  </si>
  <si>
    <r>
      <t xml:space="preserve">Enron Avg Book Income (Project Life) </t>
    </r>
    <r>
      <rPr>
        <b/>
        <i/>
        <sz val="9"/>
        <rFont val="Arial"/>
        <family val="2"/>
      </rPr>
      <t>- Comm Ops</t>
    </r>
  </si>
  <si>
    <t>Enron Equity Payback Year On Book Income</t>
  </si>
  <si>
    <t>Plus: Interest Income - Bridge Loan</t>
  </si>
  <si>
    <t>Less: Bridge Loan Interest Income</t>
  </si>
  <si>
    <t>Less:  Tax Cost / (Benefit) On (2)'s Above</t>
  </si>
  <si>
    <t>PRICING CURVES</t>
  </si>
  <si>
    <t>Total 3rd Party Dev / Financing Costs</t>
  </si>
  <si>
    <t>Total Development Costs / Fees</t>
  </si>
  <si>
    <t>Total Other Costs</t>
  </si>
  <si>
    <t>Total Contingency</t>
  </si>
  <si>
    <t>Total Project Costs</t>
  </si>
  <si>
    <t>Total Project Costs ($/MCM/Day)</t>
  </si>
  <si>
    <t>Project</t>
  </si>
  <si>
    <t>(Excl IDC &amp; W/H)</t>
  </si>
  <si>
    <t>Escalation Rate:</t>
  </si>
  <si>
    <t>Recon</t>
  </si>
  <si>
    <t>Less: US Tax Cost / (Benefit) On (1)'s Above</t>
  </si>
  <si>
    <t>Less: US Tax (Cost) / Benefit On (2)'s Above</t>
  </si>
  <si>
    <t>Enron Combined Book Income</t>
  </si>
  <si>
    <t>ENE Cost Of Funds Charge Calculation (COF)</t>
  </si>
  <si>
    <t>Cumulative Equity Used</t>
  </si>
  <si>
    <t>Less: Cumulative A-T Cashflow</t>
  </si>
  <si>
    <t>Outstanding Equity Subject To Cost Of Funds Charge</t>
  </si>
  <si>
    <t>Times: Enron Cost Of Funds Rate</t>
  </si>
  <si>
    <t>ENE Cost Of Funds Charge / (Benefit)</t>
  </si>
  <si>
    <t>Memo: Cumulative ENE Cost Of Funds Charge / (Benefit)</t>
  </si>
  <si>
    <t>Enron Book Income Prior To Cost Of Funds Charge</t>
  </si>
  <si>
    <t>Less: US Tax (Cost) / Benefit On (3)'s Above</t>
  </si>
  <si>
    <t>Less: ENE Cost Of Funds Charge - Expensed Currently</t>
  </si>
  <si>
    <t>Less: ENE Cost Of Funds Charge - Capitalized &amp; Amortized</t>
  </si>
  <si>
    <t>Enron Book Income Including Cost Of Funds Charge</t>
  </si>
  <si>
    <t>Memo: Cumulative Book Income (Prior To Cost Of Funds Charge)</t>
  </si>
  <si>
    <t>Memo: Cumulative Book Income (Including Cost Of Funds Charge)</t>
  </si>
  <si>
    <t>5</t>
  </si>
  <si>
    <t>6</t>
  </si>
  <si>
    <t>7</t>
  </si>
  <si>
    <t>8</t>
  </si>
  <si>
    <t>w/o COF</t>
  </si>
  <si>
    <t>w/ COF</t>
  </si>
  <si>
    <t>Project &amp; Partner Returns</t>
  </si>
  <si>
    <t>First Debt Service Payment</t>
  </si>
  <si>
    <t>Political Risk / DSCR Calculations</t>
  </si>
  <si>
    <t>Total VAT On Services</t>
  </si>
  <si>
    <t>Total VAT On Materials</t>
  </si>
  <si>
    <t>Debt Service Coverage Ratio Calculation</t>
  </si>
  <si>
    <t>Cash &amp; Book Taxes</t>
  </si>
  <si>
    <t>Project Financial Statements</t>
  </si>
  <si>
    <t>Tranche 2: KFW (Uncovered Loan)</t>
  </si>
  <si>
    <t>GAS ORIENTE BOLIVIANO S.A. (GASBOL)</t>
  </si>
  <si>
    <t xml:space="preserve">Fixed Transportation Capacity </t>
  </si>
  <si>
    <t>Dividends</t>
  </si>
  <si>
    <t>Total Depreciation &amp; Interest</t>
  </si>
  <si>
    <t>Other Income / (Expenses)</t>
  </si>
  <si>
    <t>Earnings Before Depr, Int, &amp; Taxes (EBDIT)</t>
  </si>
  <si>
    <t>Operations &amp; Maintenance</t>
  </si>
  <si>
    <t>Sale Of VAT (Construction)</t>
  </si>
  <si>
    <t>Shareholder Loans</t>
  </si>
  <si>
    <t>Option Paid By TBS To GasBol To Expand Pipeline</t>
  </si>
  <si>
    <t>Option Amount</t>
  </si>
  <si>
    <t>Fixed</t>
  </si>
  <si>
    <t>Facilities From 102,990 To 182,540 MMBTU/Day</t>
  </si>
  <si>
    <t>Year Of Option Payment</t>
  </si>
  <si>
    <t>Plus: Transport Option Payment From TBS</t>
  </si>
  <si>
    <t>Calc'd On Taxes Sheet</t>
  </si>
  <si>
    <t>Gross Revenues (Billed To TBS)</t>
  </si>
  <si>
    <t>Equipment Rental</t>
  </si>
  <si>
    <r>
      <t xml:space="preserve">Capital Budget Expenses </t>
    </r>
    <r>
      <rPr>
        <i/>
        <sz val="9"/>
        <rFont val="Arial"/>
        <family val="2"/>
      </rPr>
      <t>(See Trapped Cash Sheet)</t>
    </r>
  </si>
  <si>
    <t>Operating Insurance</t>
  </si>
  <si>
    <t>Technical Services Fee</t>
  </si>
  <si>
    <t>Less: Technical Services Fee</t>
  </si>
  <si>
    <t>Plus: Technical Services Fee</t>
  </si>
  <si>
    <t>Plus: Bridge Loan Political Risk Insurance</t>
  </si>
  <si>
    <t>Unreconciled Difference</t>
  </si>
  <si>
    <t>Term (Yrs)</t>
  </si>
  <si>
    <t>Grace Periods</t>
  </si>
  <si>
    <t>Current Year Dividends</t>
  </si>
  <si>
    <t>Current Year Capital Stock Issued</t>
  </si>
  <si>
    <t>Total W/H Tax - Interest</t>
  </si>
  <si>
    <t>On Gross Receipts</t>
  </si>
  <si>
    <r>
      <t xml:space="preserve">Transaction Tax </t>
    </r>
    <r>
      <rPr>
        <i/>
        <sz val="9"/>
        <rFont val="Arial"/>
        <family val="2"/>
      </rPr>
      <t>(Payable If &gt; Corporate Taxes)</t>
    </r>
  </si>
  <si>
    <r>
      <t xml:space="preserve">NOL </t>
    </r>
    <r>
      <rPr>
        <i/>
        <sz val="8"/>
        <rFont val="Arial"/>
        <family val="2"/>
      </rPr>
      <t>(Unlimited Carryforward, No Carryback) - Capped @</t>
    </r>
  </si>
  <si>
    <t>Not Applicable - Non-Land Owner</t>
  </si>
  <si>
    <t>Real Estate Tax</t>
  </si>
  <si>
    <t>Value Added Tax - Sales</t>
  </si>
  <si>
    <t>Withholding Tax - Dividends (Non-Residents)</t>
  </si>
  <si>
    <t>Withholding Tax - Interest (Non-MLA's)</t>
  </si>
  <si>
    <t>On Interest Paid To Non MLA's</t>
  </si>
  <si>
    <t>On Dividend Payments</t>
  </si>
  <si>
    <t>Value Added Tax - Goods / Services</t>
  </si>
  <si>
    <t>Import Duties</t>
  </si>
  <si>
    <t>Customs Duties</t>
  </si>
  <si>
    <t>On CIF Value</t>
  </si>
  <si>
    <t>Customs Agency Fees</t>
  </si>
  <si>
    <t>On CIF Value, Subject To VAT</t>
  </si>
  <si>
    <t>GAC (Non-Brazilian Imports)</t>
  </si>
  <si>
    <t>GAC (Brazilian Imports)</t>
  </si>
  <si>
    <t>Withholding Tax - Services (Non-Residents)</t>
  </si>
  <si>
    <t>Inspection / Verification Fees</t>
  </si>
  <si>
    <t>Customs Warehouse (AADAA) Fees</t>
  </si>
  <si>
    <t>Other Fees</t>
  </si>
  <si>
    <t>On Gross Invoice Amount</t>
  </si>
  <si>
    <t>B. Rosen - Memo</t>
  </si>
  <si>
    <t>Tax Position</t>
  </si>
  <si>
    <t>Federal Income Tax</t>
  </si>
  <si>
    <t>Prior Year NOL</t>
  </si>
  <si>
    <t>Beginning NOL Balance</t>
  </si>
  <si>
    <t>Ending NOL Balance</t>
  </si>
  <si>
    <t>NOL Carryforward Calculation</t>
  </si>
  <si>
    <t>SIRESE Fee</t>
  </si>
  <si>
    <t>Transactions Tax (Minimum Tax If &gt; Corporate Tax)</t>
  </si>
  <si>
    <t>Prior Year Corporate Income Tax</t>
  </si>
  <si>
    <t>Transaction Tax Paid (Amount Over Corporate Tax)</t>
  </si>
  <si>
    <t>Tax Basis</t>
  </si>
  <si>
    <t>Subtotal</t>
  </si>
  <si>
    <r>
      <t xml:space="preserve">Construction </t>
    </r>
    <r>
      <rPr>
        <i/>
        <sz val="9"/>
        <rFont val="Arial"/>
        <family val="2"/>
      </rPr>
      <t>(Included In Contract)</t>
    </r>
  </si>
  <si>
    <t>Pipe Only</t>
  </si>
  <si>
    <t>Total Customs / Duties</t>
  </si>
  <si>
    <t>Customs / Duties</t>
  </si>
  <si>
    <r>
      <t xml:space="preserve">Customs / Duties </t>
    </r>
    <r>
      <rPr>
        <i/>
        <sz val="9"/>
        <rFont val="Arial"/>
        <family val="2"/>
      </rPr>
      <t>(See Below)</t>
    </r>
  </si>
  <si>
    <t>TURNKEY COMPONENTS</t>
  </si>
  <si>
    <t>Turnkey Components &amp; Construction Taxes</t>
  </si>
  <si>
    <t>Tax Depreciation</t>
  </si>
  <si>
    <t>Book Depreciation</t>
  </si>
  <si>
    <t>GAAP Depreciation</t>
  </si>
  <si>
    <t>REFERENCE SHEET - 5</t>
  </si>
  <si>
    <t>Conversion Of  Kcal To MMBTU</t>
  </si>
  <si>
    <t>Months</t>
  </si>
  <si>
    <t>Days</t>
  </si>
  <si>
    <t>Loss On Sale Of Certificate</t>
  </si>
  <si>
    <t>Target DSCR</t>
  </si>
  <si>
    <t>Pre-Tax DSCR</t>
  </si>
  <si>
    <t>After-Tax DSCR</t>
  </si>
  <si>
    <t>Division Of Project Fees</t>
  </si>
  <si>
    <t>Enron IRR w/ Bridge Loan</t>
  </si>
  <si>
    <t>Total Cash Flow w/ Bridge Loan</t>
  </si>
  <si>
    <t>Enron Discounted Payback Year w/ Bridge Loan</t>
  </si>
  <si>
    <t>Cashflow Before Bridge Loan</t>
  </si>
  <si>
    <t>Not Applicable - 0% Rated</t>
  </si>
  <si>
    <t>Net A-T Cash Flow After Trapped Cash - Dividends</t>
  </si>
  <si>
    <t>Less: Withholding Tax - Indemnity Fee</t>
  </si>
  <si>
    <t>Corporate Tax</t>
  </si>
  <si>
    <t>Date Of Financial Close</t>
  </si>
  <si>
    <t>Financial Closing</t>
  </si>
  <si>
    <t>J. Bestard - Verbal</t>
  </si>
  <si>
    <t xml:space="preserve">Construction Insurance </t>
  </si>
  <si>
    <t>D. Vincent - Memo</t>
  </si>
  <si>
    <t>Paragraph 11 (Draft Contract)</t>
  </si>
  <si>
    <t>Item #1, 2</t>
  </si>
  <si>
    <t>Item #4</t>
  </si>
  <si>
    <t>Item #6</t>
  </si>
  <si>
    <t>Item #11</t>
  </si>
  <si>
    <t>Item #10</t>
  </si>
  <si>
    <t>Item #30, 31</t>
  </si>
  <si>
    <t>Item #30, 33</t>
  </si>
  <si>
    <t>Item #30, 34</t>
  </si>
  <si>
    <t>Item #13-18</t>
  </si>
  <si>
    <t>Item #19-29</t>
  </si>
  <si>
    <t>Item #29</t>
  </si>
  <si>
    <t>Premium $351K, Taxes $112K</t>
  </si>
  <si>
    <t>Premium $997K, Taxes $317K</t>
  </si>
  <si>
    <t>Administrative Expenses - General</t>
  </si>
  <si>
    <t>Administrative Expenses - Transredes</t>
  </si>
  <si>
    <t>Engineering</t>
  </si>
  <si>
    <t>SCADA</t>
  </si>
  <si>
    <t>Pipeline Materials</t>
  </si>
  <si>
    <t>Non-Pipe Materials</t>
  </si>
  <si>
    <t>Construction</t>
  </si>
  <si>
    <t>Pre-NTP Engineering</t>
  </si>
  <si>
    <t>Construction Management</t>
  </si>
  <si>
    <t>Warranty Management</t>
  </si>
  <si>
    <t>Turnkey</t>
  </si>
  <si>
    <t>Orig - Taxes</t>
  </si>
  <si>
    <t>New Taxes</t>
  </si>
  <si>
    <t>Indemnity Fee</t>
  </si>
  <si>
    <t xml:space="preserve">   Subtotal Before Taxes</t>
  </si>
  <si>
    <t>Total Construction Taxes</t>
  </si>
  <si>
    <t>Total Turnkey Amount</t>
  </si>
  <si>
    <t>Non-Pipe Material</t>
  </si>
  <si>
    <t>Less: VAT On Services</t>
  </si>
  <si>
    <t>Less: VAT On Materials</t>
  </si>
  <si>
    <t>Less: Imputed VAT On Construction</t>
  </si>
  <si>
    <t>VAT On Materials</t>
  </si>
  <si>
    <t>Escalated</t>
  </si>
  <si>
    <t>Monthly</t>
  </si>
  <si>
    <t>Annual</t>
  </si>
  <si>
    <t>Per</t>
  </si>
  <si>
    <t>Date</t>
  </si>
  <si>
    <t>US $000</t>
  </si>
  <si>
    <t>Total GasBol Transport Revenues</t>
  </si>
  <si>
    <t>TBS Transportation Revenues</t>
  </si>
  <si>
    <t>End Of Operations - Cuiaba I</t>
  </si>
  <si>
    <t>CPI Annual</t>
  </si>
  <si>
    <t>Appedix I - Transportation Revenues</t>
  </si>
  <si>
    <t>Implied VAT On Revenues</t>
  </si>
  <si>
    <t>Plus: Loss Due To Sale Of VAT Certificates</t>
  </si>
  <si>
    <t>Less: Loss On Sale Of VAT Certificates</t>
  </si>
  <si>
    <t>Total Implied VAT</t>
  </si>
  <si>
    <t>Less: Calculated Loss On Sale</t>
  </si>
  <si>
    <t>VAT Recovered Through Certificate Sales</t>
  </si>
  <si>
    <t>Plus: Sale Of VAT (Net Of Losses)</t>
  </si>
  <si>
    <t>VAT Incurred (Construction)</t>
  </si>
  <si>
    <t>Plus: Current Year VAT Incurred</t>
  </si>
  <si>
    <t>W/H Tax - IDC</t>
  </si>
  <si>
    <t>Plus: Interest During Construction</t>
  </si>
  <si>
    <t>Plus: W/H Tax - IDC</t>
  </si>
  <si>
    <t>Senior Debt Proceeds</t>
  </si>
  <si>
    <t>Total IDC</t>
  </si>
  <si>
    <t>Senior Debt - Proceeds</t>
  </si>
  <si>
    <t>Senior Debt - Principal Repayment</t>
  </si>
  <si>
    <t>Bridge Loan - Proceeds</t>
  </si>
  <si>
    <t>Bridge Loan - Repayment</t>
  </si>
  <si>
    <t>Cumulative Bridge Loan Issuance</t>
  </si>
  <si>
    <t>Cumulative Bridge Loan IDC</t>
  </si>
  <si>
    <t>Cumulative Bridge Loan W/H Tax - IDC</t>
  </si>
  <si>
    <t>Total Cumulative Bridge Loan</t>
  </si>
  <si>
    <t>Amort</t>
  </si>
  <si>
    <t>Percent</t>
  </si>
  <si>
    <t>Loan Amortization (1=S/L, 2=MTG, 3=Custom)</t>
  </si>
  <si>
    <t>Senior</t>
  </si>
  <si>
    <t>TBS &amp; Gasbol</t>
  </si>
  <si>
    <t>Greater Of</t>
  </si>
  <si>
    <t>Change In Index</t>
  </si>
  <si>
    <t>Or</t>
  </si>
  <si>
    <t>Date Of 1st Change</t>
  </si>
  <si>
    <t>Brazil</t>
  </si>
  <si>
    <t>US</t>
  </si>
  <si>
    <t>Platt's</t>
  </si>
  <si>
    <t>R$ / $</t>
  </si>
  <si>
    <t>CPI Less</t>
  </si>
  <si>
    <t>PPI</t>
  </si>
  <si>
    <t>WTI</t>
  </si>
  <si>
    <t>FX</t>
  </si>
  <si>
    <t>Plus: Maintenance Accrual To Cash Adjustment</t>
  </si>
  <si>
    <t>INCOME STATEMENT - CASH FLOW ($000)</t>
  </si>
  <si>
    <t>Revenues</t>
  </si>
  <si>
    <t>Expenses</t>
  </si>
  <si>
    <t>Payment From TBS (Gas Expansion Option)</t>
  </si>
  <si>
    <t>Term (Years) - Post Closing</t>
  </si>
  <si>
    <t>Grace (Periods) - Post Closing</t>
  </si>
  <si>
    <t># Of Debt Service Pmts</t>
  </si>
  <si>
    <t>Grace - Post Phase III</t>
  </si>
  <si>
    <t>Term (Years)</t>
  </si>
  <si>
    <t># Of Payments</t>
  </si>
  <si>
    <t>Custom Amortization</t>
  </si>
  <si>
    <t>Tranche 1</t>
  </si>
  <si>
    <t>Tranche 2</t>
  </si>
  <si>
    <t>Tranche 3</t>
  </si>
  <si>
    <t>Tranche 4</t>
  </si>
  <si>
    <t>Tranche 5</t>
  </si>
  <si>
    <t>Tranche 6</t>
  </si>
  <si>
    <t>Average Life Of Loan</t>
  </si>
  <si>
    <t>Average Life Of Loan (Years)</t>
  </si>
  <si>
    <t>EPC Turnkey Contract</t>
  </si>
  <si>
    <t>Times: Corporate Income Tax Rate</t>
  </si>
  <si>
    <t>EPE/SCC - EPC Contract</t>
  </si>
  <si>
    <t>Exhibit C-1</t>
  </si>
  <si>
    <t>Exhibit C-2 Section II, Paragraph C</t>
  </si>
  <si>
    <t>Interest Rate / Spread</t>
  </si>
  <si>
    <t>Weighted Average Upfront Fee</t>
  </si>
  <si>
    <t>No Development Fee On Project</t>
  </si>
  <si>
    <t>To Be Updated At Compensation</t>
  </si>
  <si>
    <t>Financing Plan</t>
  </si>
  <si>
    <t>Awaiting Final Termsheets</t>
  </si>
  <si>
    <t>Shareholder Agreement</t>
  </si>
  <si>
    <t>Standard Assumption</t>
  </si>
  <si>
    <t>Term Of Contract</t>
  </si>
  <si>
    <t>Project Information Memorandum</t>
  </si>
  <si>
    <t>Per Conversations With OPIC</t>
  </si>
  <si>
    <t>Enron Cost OF Funds</t>
  </si>
  <si>
    <t>C. Estrems</t>
  </si>
  <si>
    <t>Per Jeff Sommers' Memo</t>
  </si>
  <si>
    <t>GasMat / SCC Contract</t>
  </si>
  <si>
    <t>Table C-2</t>
  </si>
  <si>
    <t>Six Months From Start Of Phase III</t>
  </si>
  <si>
    <t>Total Convergence Variance</t>
  </si>
  <si>
    <t>Shareholder Construction Loan</t>
  </si>
  <si>
    <t>Enron Cost Of Funds</t>
  </si>
  <si>
    <t>After Initial Equity &amp; Before Permanent Financing</t>
  </si>
  <si>
    <t>Shareholder Constr Loan</t>
  </si>
  <si>
    <t>W/H Tax - IDC (Shareholder Construction Loan)</t>
  </si>
  <si>
    <t>Shareholder Loan Repayment</t>
  </si>
  <si>
    <t>IGP-DI</t>
  </si>
  <si>
    <t>Transport Charges</t>
  </si>
  <si>
    <t>Capacity Charge</t>
  </si>
  <si>
    <t>Start Date</t>
  </si>
  <si>
    <t>Firm Service TOP</t>
  </si>
  <si>
    <t>MAXDTQ</t>
  </si>
  <si>
    <t>Outage</t>
  </si>
  <si>
    <t>TOP%</t>
  </si>
  <si>
    <t>Transported</t>
  </si>
  <si>
    <t>Monthly Vol</t>
  </si>
  <si>
    <t>@ GasBol</t>
  </si>
  <si>
    <t>Links From TBS Model</t>
  </si>
  <si>
    <t>Capacity</t>
  </si>
  <si>
    <t>Charge</t>
  </si>
  <si>
    <t>Unesc</t>
  </si>
  <si>
    <t>Payment</t>
  </si>
  <si>
    <t>Variable</t>
  </si>
  <si>
    <t>Variable Charge</t>
  </si>
  <si>
    <t>TOP Vol</t>
  </si>
  <si>
    <t>Greater Of CPI Or 1.005</t>
  </si>
  <si>
    <t>TGS-GasBol Contract</t>
  </si>
  <si>
    <t>Transportation Revenues</t>
  </si>
  <si>
    <t>Transportation Payments</t>
  </si>
  <si>
    <t>Opening Paragraph</t>
  </si>
  <si>
    <t>Section 3.1 (1st Amend Side Agreement)</t>
  </si>
  <si>
    <t>Section 4.1 (1st Amend Side Agreement)</t>
  </si>
  <si>
    <r>
      <t xml:space="preserve">NOL Applied In Current Year </t>
    </r>
    <r>
      <rPr>
        <sz val="9"/>
        <rFont val="Arial"/>
        <family val="2"/>
      </rPr>
      <t>(See Below)</t>
    </r>
  </si>
  <si>
    <r>
      <t xml:space="preserve">Taxable Income </t>
    </r>
    <r>
      <rPr>
        <sz val="9"/>
        <rFont val="Arial"/>
        <family val="2"/>
      </rPr>
      <t>(Only If &gt; $0)</t>
    </r>
  </si>
  <si>
    <t>Total Turnkey Construction</t>
  </si>
  <si>
    <t>Total Other Construction</t>
  </si>
  <si>
    <t>Owner's Engineer (Parsons)</t>
  </si>
  <si>
    <t>Environmental &amp; Permitting</t>
  </si>
  <si>
    <t>R. Lammers</t>
  </si>
  <si>
    <t>Other Engineering Costs</t>
  </si>
  <si>
    <t>Land &amp; Rights Of Way</t>
  </si>
  <si>
    <t>Turnkey Drawdown (Accelerated)</t>
  </si>
  <si>
    <t>NTP On Pipeline</t>
  </si>
  <si>
    <t>Pipeline RFS</t>
  </si>
  <si>
    <t>Construction Months</t>
  </si>
  <si>
    <t>(1=Base Schedule, 2=Accelerated Schedule)</t>
  </si>
  <si>
    <t>IDC - Shareholder Construction Loan</t>
  </si>
  <si>
    <t>IDC - Senior Debt</t>
  </si>
  <si>
    <t>+W/H Taxes Of</t>
  </si>
  <si>
    <t>Financing Costs (Borrower)</t>
  </si>
  <si>
    <t>Pipeline Ready For Service (RFS)</t>
  </si>
  <si>
    <t>Start Of Development</t>
  </si>
  <si>
    <t>Pipeline Notice To Proceed (NTP)</t>
  </si>
  <si>
    <t>Months Of Development (Until Start Of Phase II)</t>
  </si>
  <si>
    <t>Turnkey Drawdown (Base Per SCC Contract)</t>
  </si>
  <si>
    <t>Total Operating Expenses</t>
  </si>
  <si>
    <t>E. Rengade - Memo</t>
  </si>
  <si>
    <t>E. Rengade</t>
  </si>
  <si>
    <t>Budget Review - 05/14/99</t>
  </si>
  <si>
    <t>Standard Calculation</t>
  </si>
  <si>
    <t>MMBTU / Kcal</t>
  </si>
  <si>
    <t>MCM / MMBTU</t>
  </si>
  <si>
    <t>Consulting Fees</t>
  </si>
  <si>
    <t>Budget Review - 05/18/99</t>
  </si>
  <si>
    <t>Indigenous People Programs</t>
  </si>
  <si>
    <t>Less: NGO Settlement Payments</t>
  </si>
  <si>
    <t>NGO Settlement Payments</t>
  </si>
  <si>
    <t>Escalation Factor - NGO Settlement</t>
  </si>
  <si>
    <t>369 KM PIPELINE SPUR FOR CUIABA POWER PLANT (BOLIVIA)</t>
  </si>
  <si>
    <t>DKB</t>
  </si>
  <si>
    <t>Chapter 6 Section 1.1</t>
  </si>
  <si>
    <t>Chapter 6 Section 1.0</t>
  </si>
  <si>
    <t>Months (Post Power Plant Phase III) Until 1st Debt Service</t>
  </si>
  <si>
    <t>Offset For</t>
  </si>
  <si>
    <t>"CF_Table"</t>
  </si>
  <si>
    <t>"VAT_Table"</t>
  </si>
  <si>
    <t>"Draw_Table"</t>
  </si>
  <si>
    <t>"Draw_Table2"</t>
  </si>
  <si>
    <t>"IDC_Table"</t>
  </si>
  <si>
    <t>&lt;=== Offset For "Fin_Table"</t>
  </si>
  <si>
    <t>"Tax_Table"</t>
  </si>
  <si>
    <t>"BS_Table"</t>
  </si>
  <si>
    <t>Bridge Financing Rate</t>
  </si>
  <si>
    <t>Permanent Financing Rate</t>
  </si>
  <si>
    <t>NGO Settlement Escalation</t>
  </si>
  <si>
    <t>Column "L" is the offset for the table "Dec_Change"</t>
  </si>
  <si>
    <t>BTU</t>
  </si>
  <si>
    <t xml:space="preserve">1 CM = </t>
  </si>
  <si>
    <t xml:space="preserve">1 MMCM = </t>
  </si>
  <si>
    <t>Item #15</t>
  </si>
  <si>
    <t>Share Purchase Agreement</t>
  </si>
  <si>
    <t>Dual Dates</t>
  </si>
  <si>
    <t>Balance Of Remaining Shares</t>
  </si>
  <si>
    <t>Enron/Shell Share Transfer - 1st Paragraph</t>
  </si>
  <si>
    <t>Enron/Transrd Share Transfer - 1st Paragraph</t>
  </si>
  <si>
    <t>Chapter 11 - Financial Analysis</t>
  </si>
  <si>
    <t>Shareholder Funding Agreement</t>
  </si>
  <si>
    <t>Schedule 1 - Paragraph 1</t>
  </si>
  <si>
    <t>Operating Expenses ($000)</t>
  </si>
  <si>
    <t>TBS Transport Option ($000)</t>
  </si>
  <si>
    <t>NGO Settlement ($000)</t>
  </si>
  <si>
    <t>Equity ($000)</t>
  </si>
  <si>
    <t>Project Costs ($000)</t>
  </si>
  <si>
    <t>Project &amp; Enron Economics ($000)</t>
  </si>
  <si>
    <t>Enron Book Income ($000)</t>
  </si>
  <si>
    <t>Capital Structure ($000)</t>
  </si>
  <si>
    <t>Project Financing ($000)</t>
  </si>
  <si>
    <t>PROJECT &amp; PARTNER RETURNS ($000)</t>
  </si>
  <si>
    <t>ENRON BOOK INCOME ($000)</t>
  </si>
  <si>
    <t>POLITICAL RISK CALCULATION ($000)</t>
  </si>
  <si>
    <t>TRAPPED CASH, PARTNER LOANS, CAPITAL BUDGET ($000)</t>
  </si>
  <si>
    <t>TURNKEY COMPONENTS &amp; CONSTRUCTION TAXES ($000)</t>
  </si>
  <si>
    <t>DRAWDOWN SCHEDULE ($000)</t>
  </si>
  <si>
    <t>INTEREST DURING CONSTRUCTION ($000)</t>
  </si>
  <si>
    <t>DEBT AMORTIZATION ($000)</t>
  </si>
  <si>
    <t>CASH / BOOK TAXES ($000)</t>
  </si>
  <si>
    <t>DEPRECIATION ($000)</t>
  </si>
  <si>
    <t>FINANCIAL STATEMENTS ($000)</t>
  </si>
  <si>
    <t>APPENDIX I - TRANSPORTATION REVENUES ($000)</t>
  </si>
  <si>
    <t>Cumul</t>
  </si>
  <si>
    <t>Change</t>
  </si>
  <si>
    <t>Total Pipeline Materials</t>
  </si>
  <si>
    <t>Less: Paid</t>
  </si>
  <si>
    <t>GasMat</t>
  </si>
  <si>
    <t>GasBol</t>
  </si>
  <si>
    <t>Through</t>
  </si>
  <si>
    <t>Equal Payments Over</t>
  </si>
  <si>
    <t>Pipeline Materials Schedule</t>
  </si>
  <si>
    <t>Pipeline In Service Date</t>
  </si>
  <si>
    <t># Of Remaining Turnkey Payments</t>
  </si>
  <si>
    <t>Total Turnkey Payments</t>
  </si>
  <si>
    <t>Less: Pipeline Materials</t>
  </si>
  <si>
    <t>Remaining Turnkey Balance</t>
  </si>
  <si>
    <t>Total Approved Change Orders</t>
  </si>
  <si>
    <t>Approved Change Orders</t>
  </si>
  <si>
    <t>Other Change Orders</t>
  </si>
  <si>
    <t>Pending Change Orders</t>
  </si>
  <si>
    <t>Monthly Progress Report</t>
  </si>
  <si>
    <t>T. Whipple</t>
  </si>
  <si>
    <t>Pipeline Cost Summary (Section E)</t>
  </si>
  <si>
    <t>EPC Contract Issues</t>
  </si>
  <si>
    <t>M. Schulz - Schedule</t>
  </si>
  <si>
    <t>M. Schulz</t>
  </si>
  <si>
    <t>Total Other Change Orders</t>
  </si>
  <si>
    <t>Total Pending Change Orders</t>
  </si>
  <si>
    <t>14-18</t>
  </si>
  <si>
    <t>Terminal Value</t>
  </si>
  <si>
    <t>Final Year EBITDA</t>
  </si>
  <si>
    <t>Months In Final Year Of Service</t>
  </si>
  <si>
    <t>Adjusted Final Year EBITDA</t>
  </si>
  <si>
    <t>EBITDA Multiple</t>
  </si>
  <si>
    <t>Include In Valuation</t>
  </si>
  <si>
    <t>Option Scenario</t>
  </si>
  <si>
    <t>Turnkey Tax Adjustment</t>
  </si>
  <si>
    <t>Plus: Terminal Value</t>
  </si>
  <si>
    <t>L. Powell - NTP Letter</t>
  </si>
  <si>
    <t>L. Powell</t>
  </si>
  <si>
    <t>N. Khan - Presentation</t>
  </si>
  <si>
    <t>SCC Contract Open Issues</t>
  </si>
  <si>
    <t>Power Purchase Contract</t>
  </si>
  <si>
    <t>Evaluation Period Same As EPE</t>
  </si>
  <si>
    <t>Deferral</t>
  </si>
  <si>
    <t>Distributions Limited To Retained Earnings</t>
  </si>
  <si>
    <t>Interest Income To Project On Trapped Cash Loans</t>
  </si>
  <si>
    <t>Interest Expense To Shareholders On Trapped Cash Loans</t>
  </si>
  <si>
    <t>Apply Capital Reductions Of Excess Cash (0=No, 1=Yes)</t>
  </si>
  <si>
    <t>Trapped Cash Loans To Partners (0=No, 1=Yes)</t>
  </si>
  <si>
    <t>Capital Reduction In Final Year To Liquidate Partner Loans</t>
  </si>
  <si>
    <t>Retained Earnings</t>
  </si>
  <si>
    <t>Plus: Current Year Earnings</t>
  </si>
  <si>
    <t>Subtotal Available For Dividends</t>
  </si>
  <si>
    <t>Less: Current Year Dividends</t>
  </si>
  <si>
    <t>Cash (Excluding Working Capital)</t>
  </si>
  <si>
    <t>Plus: Prior Year Partner Loans Repayment</t>
  </si>
  <si>
    <t>Plus: Current Year Cashflow</t>
  </si>
  <si>
    <t>Subtotal Cashflow Available For Distribution</t>
  </si>
  <si>
    <t>Less: Current Year Capital Reductions</t>
  </si>
  <si>
    <t>Less: Current Year Partner Loans</t>
  </si>
  <si>
    <t>Question #8</t>
  </si>
  <si>
    <t>Other Senior Debt Fees</t>
  </si>
  <si>
    <t>EPE Percent / Amount</t>
  </si>
  <si>
    <t>Final Year Of Payment</t>
  </si>
  <si>
    <t>Less: L/C Fee - Debt Reserve</t>
  </si>
  <si>
    <t>OPIC Agency Fee ($000)</t>
  </si>
  <si>
    <t>OPIC Agency Fee</t>
  </si>
  <si>
    <t>L/C Fee - Debt Service</t>
  </si>
  <si>
    <t>Includes GasBol / Transredes O&amp;M Agrmnt</t>
  </si>
  <si>
    <t>Amounts</t>
  </si>
  <si>
    <t>Per Settlement Schedule</t>
  </si>
  <si>
    <t>R. Lammers / E. Rengade</t>
  </si>
  <si>
    <t>Service To Be Provided By</t>
  </si>
  <si>
    <t>Dressner Bank</t>
  </si>
  <si>
    <t>Escalators</t>
  </si>
  <si>
    <t>Use 09/04/98 Curves used for Bank Models (0=No, 1=Yes)</t>
  </si>
  <si>
    <t>R. Lammers - Verbal</t>
  </si>
  <si>
    <t>Change to Nov.1999</t>
  </si>
  <si>
    <t>N. Khan/Alan Smithe</t>
  </si>
  <si>
    <t>Split 52/48 - GasBol/GasMat;  Update Change Orders</t>
  </si>
  <si>
    <t>A. Moreno - Memo</t>
  </si>
  <si>
    <t>A. Moreno</t>
  </si>
  <si>
    <t>Update for Force Majuer Claim</t>
  </si>
  <si>
    <t>Budget Review - 08/31/99</t>
  </si>
  <si>
    <t>GasBol %</t>
  </si>
  <si>
    <t>Total Amount</t>
  </si>
  <si>
    <t>Allocated $</t>
  </si>
  <si>
    <t>S. Friedlander - e:mail</t>
  </si>
  <si>
    <t>Onshore Payment Adjustment</t>
  </si>
  <si>
    <t>Consulting Fees Above $4,000 Cap</t>
  </si>
  <si>
    <t>Houston Overheads Not Included In Project Costs</t>
  </si>
  <si>
    <t>Historic Drawdown - For Comparison Only</t>
  </si>
  <si>
    <t>Actual Equity Contribution</t>
  </si>
  <si>
    <t>Cumulative Equity Contribution</t>
  </si>
  <si>
    <t>AMOUNTS IN US$</t>
  </si>
  <si>
    <t>Actuals</t>
  </si>
  <si>
    <t>Funding</t>
  </si>
  <si>
    <t>Equity Funding</t>
  </si>
  <si>
    <t>Construction Loans</t>
  </si>
  <si>
    <t>Interest Income (Cash In Bank)</t>
  </si>
  <si>
    <t xml:space="preserve">OPIC </t>
  </si>
  <si>
    <t>KFW</t>
  </si>
  <si>
    <t>Total Funding</t>
  </si>
  <si>
    <t>INFORMATION PROVIDED BY ASSET MANAGEMENT</t>
  </si>
  <si>
    <t>Disbursments</t>
  </si>
  <si>
    <t>EPC/Superior Onshore Payments</t>
  </si>
  <si>
    <t>Offshore Legal</t>
  </si>
  <si>
    <t>Imports Purchase</t>
  </si>
  <si>
    <t>Insurance</t>
  </si>
  <si>
    <t>Land &amp; Right Of Way</t>
  </si>
  <si>
    <t>Service Contractors</t>
  </si>
  <si>
    <t>Engineering Costs</t>
  </si>
  <si>
    <t>Environmental Costs</t>
  </si>
  <si>
    <t>IGPD</t>
  </si>
  <si>
    <t>Total Disbursments</t>
  </si>
  <si>
    <t>Other (includes development and mobilization)</t>
  </si>
  <si>
    <t xml:space="preserve">Working Capital </t>
  </si>
  <si>
    <t>new equity</t>
  </si>
  <si>
    <t>Income Statement (Local GAAP in US$)</t>
  </si>
  <si>
    <t>Actual</t>
  </si>
  <si>
    <t>Projected</t>
  </si>
  <si>
    <t>2000E</t>
  </si>
  <si>
    <t>2001E</t>
  </si>
  <si>
    <t>2002E</t>
  </si>
  <si>
    <t>2003E</t>
  </si>
  <si>
    <t>2004E</t>
  </si>
  <si>
    <t>Gross Revenues</t>
  </si>
  <si>
    <t>Growth</t>
  </si>
  <si>
    <t>COGS</t>
  </si>
  <si>
    <t>Gross Margin</t>
  </si>
  <si>
    <t>Operating Expenses</t>
  </si>
  <si>
    <t>S, G &amp; A</t>
  </si>
  <si>
    <t>Other Expenses</t>
  </si>
  <si>
    <t>Investment &amp; Other Income</t>
  </si>
  <si>
    <t>EBITDA</t>
  </si>
  <si>
    <t>Amortization</t>
  </si>
  <si>
    <t>EBIT</t>
  </si>
  <si>
    <t>3rd Party Interest Expense</t>
  </si>
  <si>
    <t>Inter-Company Interest Expense</t>
  </si>
  <si>
    <t>Earnings Before Taxes</t>
  </si>
  <si>
    <t>Taxes</t>
  </si>
  <si>
    <t xml:space="preserve">Net Income </t>
  </si>
  <si>
    <t>US GAAP Income Before Goodwill</t>
  </si>
  <si>
    <t>Total Goodwill Outside Operating Company</t>
  </si>
  <si>
    <t>Amortization of Goodwill (years)</t>
  </si>
  <si>
    <t>Statement of Cash Flows</t>
  </si>
  <si>
    <t>(-) Gain/(Loss) from Asset Sales</t>
  </si>
  <si>
    <t>(-) Environmental/Severance/Other</t>
  </si>
  <si>
    <t>Cash Flow from Operations</t>
  </si>
  <si>
    <t>Net Borrowings</t>
  </si>
  <si>
    <t>Equity Issued (Redeemed)</t>
  </si>
  <si>
    <t>Cash Flow from Financing</t>
  </si>
  <si>
    <t>Capital Expenditures</t>
  </si>
  <si>
    <t>Net Cash from Asset Sales</t>
  </si>
  <si>
    <t>Decommissioning</t>
  </si>
  <si>
    <t>Cash Flow from Investing</t>
  </si>
  <si>
    <t>Net Change in Cash</t>
  </si>
  <si>
    <t>Historical Balance Sheet</t>
  </si>
  <si>
    <t>Current Assets</t>
  </si>
  <si>
    <t>Accounts Receivable - 3rd Party</t>
  </si>
  <si>
    <t>Accounts Receivable - Inter-company</t>
  </si>
  <si>
    <t>Other</t>
  </si>
  <si>
    <t>Total Current Assets</t>
  </si>
  <si>
    <t>Property &amp; Investments</t>
  </si>
  <si>
    <t>Net PP&amp;E</t>
  </si>
  <si>
    <t>Notes Receivable - 3rd Party</t>
  </si>
  <si>
    <t>Notes Receivable - Inter-company</t>
  </si>
  <si>
    <t>Other Investments</t>
  </si>
  <si>
    <t>Total Property &amp; Investments</t>
  </si>
  <si>
    <t>Goodwill</t>
  </si>
  <si>
    <t>Current Liabilities</t>
  </si>
  <si>
    <t>Accounts Payable - 3rd Party</t>
  </si>
  <si>
    <t>Accounts Payable - Inter-company</t>
  </si>
  <si>
    <t>Short-term Debt</t>
  </si>
  <si>
    <t>Accrued Liabilities/Other</t>
  </si>
  <si>
    <t>Total Current Liabilities</t>
  </si>
  <si>
    <t>Other Liabilities</t>
  </si>
  <si>
    <t>Long-term Debt</t>
  </si>
  <si>
    <t>Deferrals</t>
  </si>
  <si>
    <t>Total Other Liabilities</t>
  </si>
  <si>
    <t>Preferred Stock</t>
  </si>
  <si>
    <t>Shareholders Equity</t>
  </si>
  <si>
    <t>Total Liabilities &amp; Shareholder's Equity</t>
  </si>
  <si>
    <t>Gross Receipts</t>
  </si>
  <si>
    <t>Cash Paid to Suppliers and Employees</t>
  </si>
  <si>
    <t>Other Operating Activities (Tax etc.)</t>
  </si>
  <si>
    <t>Leverage Option</t>
  </si>
  <si>
    <t>Valuation Assumption</t>
  </si>
  <si>
    <t>Assume Principal Repayment (Keep Original Level Of Leverage)</t>
  </si>
  <si>
    <t>P.C.O. - 001 Survey / Engr For Addit'l Length</t>
  </si>
  <si>
    <t>P.C.O. - 002 Survey / Engr For Reduced Length</t>
  </si>
  <si>
    <t>P.C.O. - 004 Reroute Near San Matias</t>
  </si>
  <si>
    <t>P.C.O. - 005 Reroute Near Indig. Peoples</t>
  </si>
  <si>
    <t>P.C.O. - 006 Eliminate Compressor Station</t>
  </si>
  <si>
    <t>P.C.O. - 007 Hydraulic Calcs For Pipeline Volumes</t>
  </si>
  <si>
    <t>P.C.O. - 008 Provide Master File Copies</t>
  </si>
  <si>
    <t>P.C.O. - 009 Produce Maps And Drawings</t>
  </si>
  <si>
    <t>P.C.O. - 010 Produce Master File Of ROW</t>
  </si>
  <si>
    <t>P.C.O. - 011 Meeting - La Paz 10/27/98</t>
  </si>
  <si>
    <t>P.C.O. - 012 Meeting - La Paz 9/10/98</t>
  </si>
  <si>
    <t>P.C.O. - 013 Meeting - La Paz 6/16/99</t>
  </si>
  <si>
    <t>P.C.O. - 014 Prepare Master File For Transredes</t>
  </si>
  <si>
    <t>P.C.O. - 015 Relocation Of Compressor Station From Protected Area</t>
  </si>
  <si>
    <t>P.C.O. - 017 Extended Overheads</t>
  </si>
  <si>
    <t>P.C.O. - 018 Additional Inspection Staff</t>
  </si>
  <si>
    <t>P.C.O. - 019 Contractor Standby Expenses</t>
  </si>
  <si>
    <t>P.C.O. - 020 Pipeline Acceleration Expenses</t>
  </si>
  <si>
    <t>P.C.O. - 022 IPE Reroute Survey</t>
  </si>
  <si>
    <t>P.C.O. - 023 Helicopter For Environmental Survey</t>
  </si>
  <si>
    <t>P.C.O. - 024 SCC Overheads (Restated Agreement)</t>
  </si>
  <si>
    <t>P.C.O. - 059 Credit Owner For Camp Accomodations</t>
  </si>
  <si>
    <t>P.C.O. - 003 Pipe Laydown And Storage Yard</t>
  </si>
  <si>
    <t xml:space="preserve">Other Change Orders </t>
  </si>
  <si>
    <t>Forecasted Settlement Of Change Orders</t>
  </si>
  <si>
    <t>Lump Sum Settlement Of Change Orders</t>
  </si>
  <si>
    <t>Subordinated Debt</t>
  </si>
  <si>
    <t>Subordinated Debt Proceeds</t>
  </si>
  <si>
    <t>IDC - Subordinated Debt</t>
  </si>
  <si>
    <t>Tranche 6: Subordinated Debt</t>
  </si>
  <si>
    <t>Cashflow Before Subordinated Debt</t>
  </si>
  <si>
    <t>Subordinated Debt Amount</t>
  </si>
  <si>
    <t>Subordinated Debt Repayment</t>
  </si>
  <si>
    <t>Plus: Interest Income - Subordinated Debt</t>
  </si>
  <si>
    <t>Less: Political Risk Insurance - Subordinated Debt</t>
  </si>
  <si>
    <t>Total Senior Debt</t>
  </si>
  <si>
    <t>Total Subordinated Debt</t>
  </si>
  <si>
    <t>Subdebt</t>
  </si>
  <si>
    <t>Less: Interest Expense - Senior Debt</t>
  </si>
  <si>
    <t>Less: Interest Expense - Subordinated Debt</t>
  </si>
  <si>
    <t>Less: Principal Payments - Subordinated Debt</t>
  </si>
  <si>
    <t>Less: Principal Payments - Senior Debt</t>
  </si>
  <si>
    <t>Total Cash Flow w/ Subordinated Debt</t>
  </si>
  <si>
    <t>Political Risk Calculation - Subordinated Debt</t>
  </si>
  <si>
    <t>Enron Subordinated Debt Balance (BOY)</t>
  </si>
  <si>
    <t>Enron Subordinated Debt Balance (EOY)</t>
  </si>
  <si>
    <r>
      <t xml:space="preserve">Political Risk Insurance - Subordinated Debt </t>
    </r>
    <r>
      <rPr>
        <i/>
        <sz val="9"/>
        <rFont val="Arial"/>
        <family val="2"/>
      </rPr>
      <t>(Cash Payment)</t>
    </r>
  </si>
  <si>
    <t>Enron IRR w/ Subordinated Debt</t>
  </si>
  <si>
    <t>NET A-T CASH FLOW BEFORE SUBORDINATED DEBT REPAYMENT</t>
  </si>
  <si>
    <t>Interest Paid - Senior Debt</t>
  </si>
  <si>
    <t>Interest Paid - Subordinated Debt</t>
  </si>
  <si>
    <t>Subordinated Debt - Proceeds</t>
  </si>
  <si>
    <t>Subordinated Debt - Principal Repayment</t>
  </si>
  <si>
    <t>Interest Expense - Senior Debt</t>
  </si>
  <si>
    <t>Interest Expense - Subordinated Debt</t>
  </si>
  <si>
    <t>Tax (Cost) / Benefit (2)'s Above</t>
  </si>
  <si>
    <t>Transredes IRR w/ Bridge Loan</t>
  </si>
  <si>
    <t>Transredes IRR w/ Subordinated Debt</t>
  </si>
  <si>
    <t>Approved Change Orders (04/04/2000 Monthly Progress Report)</t>
  </si>
  <si>
    <t>Financing Costs (Other)</t>
  </si>
  <si>
    <t>Funded By 1999 And 2000 Operating Cash</t>
  </si>
  <si>
    <t>Contingency - Change Orders</t>
  </si>
  <si>
    <t>Contingency - Other</t>
  </si>
  <si>
    <t>Less: WH Tax - Bridge Loan</t>
  </si>
  <si>
    <t>Less: WH Tax -Subordinated Debt</t>
  </si>
  <si>
    <t>Less: WH Tax - Subordinated Debt</t>
  </si>
  <si>
    <t>GASBOL COMMONSIZE</t>
  </si>
  <si>
    <t>Net Margin</t>
  </si>
  <si>
    <t>Return on Invested Capital</t>
  </si>
  <si>
    <t>ROA</t>
  </si>
  <si>
    <t>ROE</t>
  </si>
  <si>
    <t>EBITDA Margin</t>
  </si>
  <si>
    <t>EBT Margin</t>
  </si>
  <si>
    <t>Profitability</t>
  </si>
  <si>
    <t>Operating Profit Margin</t>
  </si>
  <si>
    <t>Net Profit Margin</t>
  </si>
  <si>
    <t>Operating CF to Income</t>
  </si>
  <si>
    <t>Asset Utilization</t>
  </si>
  <si>
    <t>Asset Turnover</t>
  </si>
  <si>
    <t>Cash Turnover</t>
  </si>
  <si>
    <t>n/a</t>
  </si>
  <si>
    <t>Liquidity</t>
  </si>
  <si>
    <t>Current Ratio</t>
  </si>
  <si>
    <t>n/m</t>
  </si>
  <si>
    <t>Quick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</si>
</sst>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;;;"/>
    <numFmt numFmtId="176" formatCode="_(&quot;$&quot;* #,##0_);_(&quot;$&quot;* \(#,##0\);_(&quot;$&quot;* &quot;-&quot;??_);_(@_)"/>
    <numFmt numFmtId="177" formatCode="&quot;$&quot;#,##0.0000_);\(&quot;$&quot;#,##0.0000\)"/>
    <numFmt numFmtId="179" formatCode="#,##0.0_);\(#,##0.0\)"/>
    <numFmt numFmtId="187" formatCode="_(* #,##0_);_(* \(#,##0\);_(* &quot;-&quot;??_);_(@_)"/>
    <numFmt numFmtId="189" formatCode="0.0000"/>
    <numFmt numFmtId="190" formatCode="0.000"/>
    <numFmt numFmtId="191" formatCode="#,##0.000_);\(#,##0.000\)"/>
    <numFmt numFmtId="192" formatCode="#,##0.0000_);\(#,##0.0000\)"/>
    <numFmt numFmtId="193" formatCode="0.0"/>
    <numFmt numFmtId="197" formatCode="_(* #,##0.0000_);_(* \(#,##0.0000\);_(* &quot;-&quot;??_);_(@_)"/>
    <numFmt numFmtId="204" formatCode="0.00_);[Red]\(0.00\)"/>
    <numFmt numFmtId="209" formatCode="#,##0.000_);[Red]\(#,##0.000\)"/>
    <numFmt numFmtId="210" formatCode="#,##0.0000_);[Red]\(#,##0.0000\)"/>
    <numFmt numFmtId="214" formatCode="0_);\(0\)"/>
    <numFmt numFmtId="217" formatCode="mm/dd/yy"/>
    <numFmt numFmtId="224" formatCode="#,##0.0000000000_);\(#,##0.0000000000\)"/>
    <numFmt numFmtId="252" formatCode="General_)"/>
    <numFmt numFmtId="253" formatCode="0_)"/>
    <numFmt numFmtId="256" formatCode="0.00_)"/>
    <numFmt numFmtId="283" formatCode="&quot;$&quot;#,##0;[Red]\-&quot;$&quot;#,##0"/>
    <numFmt numFmtId="285" formatCode="&quot;$&quot;#,##0.00;[Red]\-&quot;$&quot;#,##0.00"/>
    <numFmt numFmtId="286" formatCode="_-&quot;$&quot;* #,##0_-;\-&quot;$&quot;* #,##0_-;_-&quot;$&quot;* &quot;-&quot;_-;_-@_-"/>
    <numFmt numFmtId="287" formatCode="_-* #,##0_-;\-* #,##0_-;_-* &quot;-&quot;_-;_-@_-"/>
    <numFmt numFmtId="288" formatCode="_-&quot;$&quot;* #,##0.00_-;\-&quot;$&quot;* #,##0.00_-;_-&quot;$&quot;* &quot;-&quot;??_-;_-@_-"/>
    <numFmt numFmtId="289" formatCode="_-* #,##0.00_-;\-* #,##0.00_-;_-* &quot;-&quot;??_-;_-@_-"/>
    <numFmt numFmtId="322" formatCode="m\-d\-yy"/>
    <numFmt numFmtId="325" formatCode="0.000000000_)"/>
    <numFmt numFmtId="326" formatCode="0.0000000000_)"/>
    <numFmt numFmtId="327" formatCode="\X"/>
    <numFmt numFmtId="328" formatCode="0;[Red]0"/>
    <numFmt numFmtId="329" formatCode="00\-000"/>
    <numFmt numFmtId="330" formatCode="0000"/>
    <numFmt numFmtId="331" formatCode="#,###"/>
    <numFmt numFmtId="332" formatCode="#,###_)"/>
    <numFmt numFmtId="333" formatCode="00"/>
    <numFmt numFmtId="334" formatCode="#,###.##"/>
    <numFmt numFmtId="336" formatCode="00\-000_)"/>
    <numFmt numFmtId="337" formatCode="m/d"/>
    <numFmt numFmtId="338" formatCode="#.##%"/>
    <numFmt numFmtId="339" formatCode="#.#%"/>
    <numFmt numFmtId="340" formatCode="#.0%"/>
    <numFmt numFmtId="341" formatCode="#,###.0#"/>
    <numFmt numFmtId="342" formatCode="#,###.#"/>
    <numFmt numFmtId="343" formatCode="0000\ \-\ 0000"/>
    <numFmt numFmtId="344" formatCode="000"/>
    <numFmt numFmtId="346" formatCode="\10000000"/>
    <numFmt numFmtId="347" formatCode="mmm"/>
    <numFmt numFmtId="348" formatCode="&quot;£&quot;#,##0;\-&quot;£&quot;#,##0"/>
    <numFmt numFmtId="349" formatCode="&quot;£&quot;#,##0;[Red]\-&quot;£&quot;#,##0"/>
    <numFmt numFmtId="350" formatCode="&quot;£&quot;#,##0.00;\-&quot;£&quot;#,##0.00"/>
    <numFmt numFmtId="351" formatCode="&quot;£&quot;#,##0.00;[Red]\-&quot;£&quot;#,##0.00"/>
    <numFmt numFmtId="352" formatCode="_-&quot;£&quot;* #,##0_-;\-&quot;£&quot;* #,##0_-;_-&quot;£&quot;* &quot;-&quot;_-;_-@_-"/>
    <numFmt numFmtId="353" formatCode="_-&quot;£&quot;* #,##0.00_-;\-&quot;£&quot;* #,##0.00_-;_-&quot;£&quot;* &quot;-&quot;??_-;_-@_-"/>
    <numFmt numFmtId="354" formatCode="&quot;Yes&quot;;;&quot;No&quot;"/>
    <numFmt numFmtId="355" formatCode="&quot;Include&quot;;;&quot;Exclude&quot;"/>
    <numFmt numFmtId="356" formatCode="&quot;On&quot;;;&quot;Off&quot;"/>
    <numFmt numFmtId="357" formatCode="mmm\-yyyy"/>
  </numFmts>
  <fonts count="120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indexed="39"/>
      <name val="Arial"/>
      <family val="2"/>
    </font>
    <font>
      <u/>
      <sz val="10"/>
      <color indexed="39"/>
      <name val="arial"/>
      <family val="2"/>
    </font>
    <font>
      <u val="double"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u val="double"/>
      <sz val="10"/>
      <color indexed="8"/>
      <name val="Arial"/>
      <family val="2"/>
    </font>
    <font>
      <i/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i/>
      <sz val="12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1"/>
      <color indexed="3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color indexed="10"/>
      <name val="Arial"/>
      <family val="2"/>
    </font>
    <font>
      <b/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color indexed="12"/>
      <name val="Arial"/>
      <family val="2"/>
    </font>
    <font>
      <sz val="10"/>
      <name val="Times New Roman"/>
    </font>
    <font>
      <i/>
      <sz val="10"/>
      <color indexed="9"/>
      <name val="arial"/>
      <family val="2"/>
    </font>
    <font>
      <i/>
      <u/>
      <sz val="10"/>
      <name val="Arial"/>
      <family val="2"/>
    </font>
    <font>
      <i/>
      <sz val="10"/>
      <color indexed="12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0"/>
      <color indexed="12"/>
      <name val="Arial"/>
      <family val="2"/>
    </font>
    <font>
      <i/>
      <sz val="9"/>
      <color indexed="12"/>
      <name val="Arial"/>
      <family val="2"/>
    </font>
    <font>
      <i/>
      <sz val="8"/>
      <color indexed="12"/>
      <name val="arial"/>
      <family val="2"/>
    </font>
    <font>
      <i/>
      <sz val="8"/>
      <color indexed="9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b/>
      <sz val="9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7"/>
      <name val="Arial"/>
      <family val="2"/>
    </font>
    <font>
      <b/>
      <sz val="10"/>
      <color indexed="6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u/>
      <sz val="10"/>
      <color indexed="14"/>
      <name val="Arial"/>
      <family val="2"/>
    </font>
    <font>
      <b/>
      <sz val="10"/>
      <color indexed="9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  <font>
      <i/>
      <sz val="9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 style="thin">
        <color indexed="9"/>
      </top>
      <bottom/>
      <diagonal/>
    </border>
    <border>
      <left style="dashDot">
        <color indexed="23"/>
      </left>
      <right style="dashDot">
        <color indexed="23"/>
      </right>
      <top/>
      <bottom/>
      <diagonal/>
    </border>
    <border>
      <left/>
      <right style="dashDot">
        <color indexed="23"/>
      </right>
      <top style="thin">
        <color indexed="9"/>
      </top>
      <bottom/>
      <diagonal/>
    </border>
    <border>
      <left/>
      <right style="dashDot">
        <color indexed="23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9"/>
      </bottom>
      <diagonal/>
    </border>
    <border>
      <left/>
      <right/>
      <top style="thin">
        <color indexed="55"/>
      </top>
      <bottom style="thin">
        <color indexed="9"/>
      </bottom>
      <diagonal/>
    </border>
    <border>
      <left/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9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22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/>
      <bottom style="thin">
        <color indexed="22"/>
      </bottom>
      <diagonal/>
    </border>
    <border>
      <left/>
      <right style="dashDot">
        <color indexed="23"/>
      </right>
      <top/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9"/>
      </top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/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9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9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2" borderId="0"/>
    <xf numFmtId="0" fontId="46" fillId="0" borderId="0"/>
    <xf numFmtId="322" fontId="1" fillId="3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49" fillId="0" borderId="0">
      <protection locked="0"/>
    </xf>
    <xf numFmtId="333" fontId="41" fillId="0" borderId="0">
      <protection locked="0"/>
    </xf>
    <xf numFmtId="38" fontId="22" fillId="5" borderId="0" applyNumberFormat="0" applyBorder="0" applyAlignment="0" applyProtection="0"/>
    <xf numFmtId="0" fontId="60" fillId="0" borderId="0" applyNumberFormat="0" applyFill="0" applyBorder="0" applyAlignment="0" applyProtection="0"/>
    <xf numFmtId="352" fontId="41" fillId="0" borderId="0">
      <protection locked="0"/>
    </xf>
    <xf numFmtId="352" fontId="41" fillId="0" borderId="0">
      <protection locked="0"/>
    </xf>
    <xf numFmtId="0" fontId="3" fillId="0" borderId="2" applyNumberFormat="0" applyFill="0" applyAlignment="0" applyProtection="0"/>
    <xf numFmtId="10" fontId="22" fillId="6" borderId="3" applyNumberFormat="0" applyBorder="0" applyAlignment="0" applyProtection="0"/>
    <xf numFmtId="37" fontId="61" fillId="0" borderId="0"/>
    <xf numFmtId="256" fontId="62" fillId="0" borderId="0"/>
    <xf numFmtId="0" fontId="2" fillId="0" borderId="0"/>
    <xf numFmtId="0" fontId="2" fillId="2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52" fontId="41" fillId="0" borderId="5">
      <protection locked="0"/>
    </xf>
    <xf numFmtId="37" fontId="22" fillId="8" borderId="0" applyNumberFormat="0" applyBorder="0" applyAlignment="0" applyProtection="0"/>
    <xf numFmtId="37" fontId="67" fillId="0" borderId="0"/>
    <xf numFmtId="37" fontId="67" fillId="5" borderId="0" applyNumberFormat="0" applyBorder="0" applyAlignment="0" applyProtection="0"/>
    <xf numFmtId="3" fontId="97" fillId="0" borderId="2" applyProtection="0"/>
  </cellStyleXfs>
  <cellXfs count="1380">
    <xf numFmtId="0" fontId="0" fillId="2" borderId="0" xfId="0"/>
    <xf numFmtId="10" fontId="3" fillId="2" borderId="0" xfId="20" applyNumberFormat="1" applyFont="1" applyFill="1" applyBorder="1"/>
    <xf numFmtId="9" fontId="3" fillId="2" borderId="0" xfId="20" applyFont="1" applyFill="1" applyBorder="1"/>
    <xf numFmtId="0" fontId="5" fillId="2" borderId="6" xfId="0" applyFont="1" applyBorder="1"/>
    <xf numFmtId="0" fontId="5" fillId="2" borderId="0" xfId="0" applyFont="1" applyAlignment="1">
      <alignment horizontal="centerContinuous"/>
    </xf>
    <xf numFmtId="0" fontId="5" fillId="2" borderId="0" xfId="0" applyFont="1"/>
    <xf numFmtId="0" fontId="6" fillId="2" borderId="0" xfId="0" applyFont="1"/>
    <xf numFmtId="0" fontId="5" fillId="2" borderId="7" xfId="0" applyFont="1" applyBorder="1"/>
    <xf numFmtId="0" fontId="5" fillId="2" borderId="0" xfId="0" applyFont="1" applyBorder="1"/>
    <xf numFmtId="0" fontId="5" fillId="2" borderId="8" xfId="0" applyFont="1" applyBorder="1"/>
    <xf numFmtId="0" fontId="5" fillId="2" borderId="4" xfId="0" applyFont="1" applyBorder="1"/>
    <xf numFmtId="0" fontId="5" fillId="2" borderId="9" xfId="0" applyFont="1" applyBorder="1"/>
    <xf numFmtId="0" fontId="3" fillId="2" borderId="0" xfId="0" applyFont="1" applyBorder="1"/>
    <xf numFmtId="0" fontId="5" fillId="2" borderId="10" xfId="0" applyFont="1" applyBorder="1"/>
    <xf numFmtId="10" fontId="5" fillId="2" borderId="0" xfId="20" applyNumberFormat="1" applyFont="1" applyFill="1" applyBorder="1"/>
    <xf numFmtId="10" fontId="5" fillId="2" borderId="0" xfId="0" applyNumberFormat="1" applyFont="1" applyBorder="1" applyAlignment="1">
      <alignment horizontal="center"/>
    </xf>
    <xf numFmtId="38" fontId="5" fillId="2" borderId="0" xfId="0" applyNumberFormat="1" applyFont="1" applyBorder="1"/>
    <xf numFmtId="10" fontId="5" fillId="2" borderId="0" xfId="20" applyNumberFormat="1" applyFont="1" applyFill="1" applyBorder="1" applyAlignment="1">
      <alignment horizontal="center"/>
    </xf>
    <xf numFmtId="0" fontId="5" fillId="2" borderId="0" xfId="0" quotePrefix="1" applyFont="1" applyBorder="1" applyAlignment="1">
      <alignment horizontal="center"/>
    </xf>
    <xf numFmtId="0" fontId="8" fillId="2" borderId="0" xfId="0" applyFont="1" applyBorder="1"/>
    <xf numFmtId="0" fontId="9" fillId="2" borderId="0" xfId="0" applyFont="1" applyBorder="1" applyAlignment="1">
      <alignment horizontal="center"/>
    </xf>
    <xf numFmtId="10" fontId="5" fillId="2" borderId="0" xfId="0" applyNumberFormat="1" applyFont="1" applyBorder="1"/>
    <xf numFmtId="37" fontId="4" fillId="2" borderId="0" xfId="0" applyNumberFormat="1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0" borderId="4" xfId="0" applyFont="1" applyFill="1" applyBorder="1"/>
    <xf numFmtId="38" fontId="5" fillId="2" borderId="0" xfId="0" applyNumberFormat="1" applyFont="1"/>
    <xf numFmtId="37" fontId="5" fillId="2" borderId="0" xfId="0" applyNumberFormat="1" applyFont="1" applyBorder="1"/>
    <xf numFmtId="37" fontId="12" fillId="2" borderId="0" xfId="0" applyNumberFormat="1" applyFont="1" applyBorder="1"/>
    <xf numFmtId="37" fontId="5" fillId="2" borderId="0" xfId="0" applyNumberFormat="1" applyFont="1"/>
    <xf numFmtId="0" fontId="6" fillId="2" borderId="10" xfId="0" applyFont="1" applyBorder="1" applyAlignment="1">
      <alignment horizontal="center"/>
    </xf>
    <xf numFmtId="37" fontId="5" fillId="2" borderId="4" xfId="0" applyNumberFormat="1" applyFont="1" applyBorder="1"/>
    <xf numFmtId="0" fontId="6" fillId="2" borderId="0" xfId="0" applyFont="1" applyBorder="1"/>
    <xf numFmtId="0" fontId="6" fillId="2" borderId="7" xfId="0" applyFont="1" applyBorder="1"/>
    <xf numFmtId="0" fontId="7" fillId="2" borderId="0" xfId="0" applyFont="1" applyBorder="1" applyAlignment="1">
      <alignment horizontal="right"/>
    </xf>
    <xf numFmtId="10" fontId="4" fillId="0" borderId="0" xfId="20" applyNumberFormat="1" applyFont="1" applyBorder="1"/>
    <xf numFmtId="10" fontId="4" fillId="2" borderId="0" xfId="0" applyNumberFormat="1" applyFont="1" applyBorder="1"/>
    <xf numFmtId="10" fontId="4" fillId="2" borderId="0" xfId="20" applyNumberFormat="1" applyFont="1" applyFill="1" applyBorder="1"/>
    <xf numFmtId="37" fontId="6" fillId="2" borderId="0" xfId="0" applyNumberFormat="1" applyFont="1" applyBorder="1"/>
    <xf numFmtId="10" fontId="5" fillId="0" borderId="0" xfId="20" applyNumberFormat="1" applyFont="1" applyBorder="1"/>
    <xf numFmtId="0" fontId="6" fillId="2" borderId="4" xfId="0" applyFont="1" applyBorder="1"/>
    <xf numFmtId="3" fontId="6" fillId="2" borderId="0" xfId="0" applyNumberFormat="1" applyFont="1" applyBorder="1"/>
    <xf numFmtId="37" fontId="5" fillId="2" borderId="8" xfId="0" applyNumberFormat="1" applyFont="1" applyBorder="1"/>
    <xf numFmtId="0" fontId="5" fillId="2" borderId="0" xfId="0" applyFont="1" applyBorder="1" applyAlignment="1">
      <alignment horizontal="center"/>
    </xf>
    <xf numFmtId="0" fontId="5" fillId="2" borderId="8" xfId="0" applyFont="1" applyBorder="1" applyAlignment="1">
      <alignment horizontal="center"/>
    </xf>
    <xf numFmtId="0" fontId="4" fillId="2" borderId="0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0" fontId="14" fillId="2" borderId="0" xfId="0" applyFont="1"/>
    <xf numFmtId="37" fontId="6" fillId="0" borderId="0" xfId="0" applyNumberFormat="1" applyFont="1" applyFill="1" applyBorder="1"/>
    <xf numFmtId="37" fontId="8" fillId="0" borderId="0" xfId="0" applyNumberFormat="1" applyFont="1" applyFill="1" applyBorder="1"/>
    <xf numFmtId="0" fontId="6" fillId="2" borderId="11" xfId="0" applyFont="1" applyBorder="1" applyAlignment="1">
      <alignment horizontal="centerContinuous"/>
    </xf>
    <xf numFmtId="0" fontId="5" fillId="2" borderId="7" xfId="0" applyFont="1" applyBorder="1" applyAlignment="1">
      <alignment horizontal="centerContinuous"/>
    </xf>
    <xf numFmtId="0" fontId="5" fillId="2" borderId="12" xfId="0" applyFont="1" applyBorder="1" applyAlignment="1">
      <alignment horizontal="centerContinuous"/>
    </xf>
    <xf numFmtId="5" fontId="5" fillId="2" borderId="0" xfId="0" applyNumberFormat="1" applyFont="1" applyBorder="1"/>
    <xf numFmtId="6" fontId="5" fillId="2" borderId="0" xfId="0" applyNumberFormat="1" applyFont="1" applyBorder="1"/>
    <xf numFmtId="0" fontId="6" fillId="2" borderId="0" xfId="0" applyFont="1" applyBorder="1" applyAlignment="1">
      <alignment horizontal="center"/>
    </xf>
    <xf numFmtId="0" fontId="6" fillId="2" borderId="8" xfId="0" applyFont="1" applyBorder="1" applyAlignment="1">
      <alignment horizontal="center"/>
    </xf>
    <xf numFmtId="0" fontId="7" fillId="2" borderId="6" xfId="0" applyFont="1" applyBorder="1" applyAlignment="1">
      <alignment horizontal="center"/>
    </xf>
    <xf numFmtId="0" fontId="7" fillId="2" borderId="8" xfId="0" applyFont="1" applyBorder="1" applyAlignment="1">
      <alignment horizontal="center"/>
    </xf>
    <xf numFmtId="0" fontId="7" fillId="2" borderId="0" xfId="0" applyFont="1" applyBorder="1" applyAlignment="1">
      <alignment horizontal="center"/>
    </xf>
    <xf numFmtId="5" fontId="5" fillId="2" borderId="6" xfId="0" applyNumberFormat="1" applyFont="1" applyBorder="1"/>
    <xf numFmtId="5" fontId="5" fillId="2" borderId="8" xfId="0" applyNumberFormat="1" applyFont="1" applyBorder="1"/>
    <xf numFmtId="5" fontId="5" fillId="2" borderId="9" xfId="0" applyNumberFormat="1" applyFont="1" applyBorder="1"/>
    <xf numFmtId="5" fontId="15" fillId="2" borderId="4" xfId="0" applyNumberFormat="1" applyFont="1" applyBorder="1"/>
    <xf numFmtId="5" fontId="5" fillId="2" borderId="4" xfId="0" applyNumberFormat="1" applyFont="1" applyBorder="1"/>
    <xf numFmtId="5" fontId="5" fillId="2" borderId="13" xfId="0" applyNumberFormat="1" applyFont="1" applyBorder="1"/>
    <xf numFmtId="224" fontId="5" fillId="2" borderId="0" xfId="0" applyNumberFormat="1" applyFont="1"/>
    <xf numFmtId="37" fontId="8" fillId="2" borderId="0" xfId="0" applyNumberFormat="1" applyFont="1" applyBorder="1"/>
    <xf numFmtId="0" fontId="6" fillId="2" borderId="6" xfId="0" applyFont="1" applyBorder="1" applyAlignment="1">
      <alignment horizontal="center"/>
    </xf>
    <xf numFmtId="6" fontId="5" fillId="2" borderId="0" xfId="0" applyNumberFormat="1" applyFont="1"/>
    <xf numFmtId="0" fontId="16" fillId="2" borderId="0" xfId="0" applyFont="1" applyBorder="1"/>
    <xf numFmtId="0" fontId="4" fillId="2" borderId="0" xfId="0" applyFont="1"/>
    <xf numFmtId="167" fontId="5" fillId="2" borderId="0" xfId="0" applyNumberFormat="1" applyFont="1" applyBorder="1"/>
    <xf numFmtId="0" fontId="5" fillId="2" borderId="14" xfId="0" applyFont="1" applyBorder="1"/>
    <xf numFmtId="0" fontId="6" fillId="2" borderId="15" xfId="0" applyFont="1" applyBorder="1"/>
    <xf numFmtId="0" fontId="6" fillId="2" borderId="16" xfId="0" applyFont="1" applyBorder="1"/>
    <xf numFmtId="0" fontId="5" fillId="2" borderId="17" xfId="0" applyFont="1" applyBorder="1"/>
    <xf numFmtId="0" fontId="12" fillId="2" borderId="0" xfId="0" applyFont="1"/>
    <xf numFmtId="0" fontId="6" fillId="2" borderId="14" xfId="0" applyFont="1" applyBorder="1"/>
    <xf numFmtId="0" fontId="6" fillId="2" borderId="17" xfId="0" applyFont="1" applyBorder="1"/>
    <xf numFmtId="9" fontId="5" fillId="2" borderId="0" xfId="0" applyNumberFormat="1" applyFont="1" applyBorder="1"/>
    <xf numFmtId="0" fontId="5" fillId="2" borderId="6" xfId="0" applyFont="1" applyBorder="1" applyAlignment="1">
      <alignment horizontal="right"/>
    </xf>
    <xf numFmtId="0" fontId="5" fillId="2" borderId="0" xfId="0" applyFont="1" applyBorder="1" applyAlignment="1">
      <alignment horizontal="right"/>
    </xf>
    <xf numFmtId="10" fontId="6" fillId="2" borderId="0" xfId="0" applyNumberFormat="1" applyFont="1" applyBorder="1"/>
    <xf numFmtId="1" fontId="7" fillId="2" borderId="0" xfId="0" applyNumberFormat="1" applyFont="1" applyBorder="1"/>
    <xf numFmtId="0" fontId="8" fillId="2" borderId="0" xfId="0" quotePrefix="1" applyFont="1" applyBorder="1" applyAlignment="1">
      <alignment horizontal="center"/>
    </xf>
    <xf numFmtId="204" fontId="5" fillId="2" borderId="0" xfId="0" applyNumberFormat="1" applyFont="1" applyBorder="1"/>
    <xf numFmtId="204" fontId="5" fillId="2" borderId="0" xfId="0" applyNumberFormat="1" applyFont="1"/>
    <xf numFmtId="204" fontId="6" fillId="2" borderId="0" xfId="0" applyNumberFormat="1" applyFont="1" applyBorder="1"/>
    <xf numFmtId="204" fontId="6" fillId="2" borderId="0" xfId="0" applyNumberFormat="1" applyFont="1"/>
    <xf numFmtId="204" fontId="8" fillId="2" borderId="0" xfId="0" applyNumberFormat="1" applyFont="1" applyBorder="1"/>
    <xf numFmtId="9" fontId="3" fillId="2" borderId="0" xfId="0" applyNumberFormat="1" applyFont="1" applyBorder="1"/>
    <xf numFmtId="0" fontId="5" fillId="2" borderId="0" xfId="0" applyFont="1" applyBorder="1" applyAlignment="1">
      <alignment horizontal="centerContinuous"/>
    </xf>
    <xf numFmtId="6" fontId="5" fillId="2" borderId="8" xfId="0" applyNumberFormat="1" applyFont="1" applyBorder="1"/>
    <xf numFmtId="43" fontId="5" fillId="2" borderId="0" xfId="3" applyFont="1" applyFill="1"/>
    <xf numFmtId="0" fontId="6" fillId="2" borderId="0" xfId="0" applyFont="1" applyBorder="1" applyAlignment="1">
      <alignment horizontal="right"/>
    </xf>
    <xf numFmtId="10" fontId="10" fillId="2" borderId="0" xfId="0" applyNumberFormat="1" applyFont="1" applyBorder="1"/>
    <xf numFmtId="0" fontId="9" fillId="2" borderId="0" xfId="0" applyFont="1" applyBorder="1"/>
    <xf numFmtId="6" fontId="16" fillId="2" borderId="0" xfId="0" applyNumberFormat="1" applyFont="1" applyBorder="1"/>
    <xf numFmtId="16" fontId="10" fillId="2" borderId="0" xfId="0" applyNumberFormat="1" applyFont="1" applyBorder="1"/>
    <xf numFmtId="6" fontId="17" fillId="2" borderId="0" xfId="0" applyNumberFormat="1" applyFont="1" applyBorder="1"/>
    <xf numFmtId="6" fontId="21" fillId="0" borderId="0" xfId="0" applyNumberFormat="1" applyFont="1" applyFill="1" applyBorder="1"/>
    <xf numFmtId="6" fontId="21" fillId="2" borderId="0" xfId="0" applyNumberFormat="1" applyFont="1" applyBorder="1"/>
    <xf numFmtId="2" fontId="5" fillId="2" borderId="0" xfId="0" applyNumberFormat="1" applyFont="1" applyBorder="1" applyAlignment="1">
      <alignment horizontal="center"/>
    </xf>
    <xf numFmtId="0" fontId="5" fillId="2" borderId="8" xfId="0" applyFont="1" applyBorder="1" applyAlignment="1">
      <alignment horizontal="left"/>
    </xf>
    <xf numFmtId="6" fontId="6" fillId="2" borderId="8" xfId="0" applyNumberFormat="1" applyFont="1" applyBorder="1"/>
    <xf numFmtId="6" fontId="25" fillId="2" borderId="0" xfId="0" applyNumberFormat="1" applyFont="1" applyBorder="1"/>
    <xf numFmtId="6" fontId="26" fillId="2" borderId="0" xfId="0" applyNumberFormat="1" applyFont="1" applyBorder="1"/>
    <xf numFmtId="6" fontId="27" fillId="2" borderId="0" xfId="0" applyNumberFormat="1" applyFont="1" applyBorder="1"/>
    <xf numFmtId="0" fontId="6" fillId="2" borderId="6" xfId="0" applyFont="1" applyBorder="1" applyAlignment="1">
      <alignment horizontal="centerContinuous"/>
    </xf>
    <xf numFmtId="0" fontId="3" fillId="2" borderId="10" xfId="0" applyFont="1" applyBorder="1"/>
    <xf numFmtId="10" fontId="5" fillId="2" borderId="6" xfId="0" applyNumberFormat="1" applyFont="1" applyBorder="1"/>
    <xf numFmtId="10" fontId="5" fillId="0" borderId="4" xfId="20" applyNumberFormat="1" applyFont="1" applyBorder="1"/>
    <xf numFmtId="10" fontId="4" fillId="2" borderId="6" xfId="0" applyNumberFormat="1" applyFont="1" applyBorder="1"/>
    <xf numFmtId="0" fontId="6" fillId="2" borderId="10" xfId="0" applyFont="1" applyBorder="1"/>
    <xf numFmtId="0" fontId="6" fillId="2" borderId="8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right"/>
    </xf>
    <xf numFmtId="15" fontId="5" fillId="2" borderId="0" xfId="0" applyNumberFormat="1" applyFont="1" applyBorder="1"/>
    <xf numFmtId="14" fontId="5" fillId="2" borderId="0" xfId="0" applyNumberFormat="1" applyFont="1" applyBorder="1"/>
    <xf numFmtId="187" fontId="5" fillId="2" borderId="6" xfId="3" applyNumberFormat="1" applyFont="1" applyFill="1" applyBorder="1"/>
    <xf numFmtId="7" fontId="5" fillId="2" borderId="8" xfId="0" applyNumberFormat="1" applyFont="1" applyBorder="1"/>
    <xf numFmtId="10" fontId="5" fillId="0" borderId="6" xfId="20" applyNumberFormat="1" applyFont="1" applyBorder="1"/>
    <xf numFmtId="0" fontId="4" fillId="2" borderId="6" xfId="0" applyFont="1" applyBorder="1" applyAlignment="1">
      <alignment horizontal="center"/>
    </xf>
    <xf numFmtId="5" fontId="5" fillId="2" borderId="6" xfId="0" applyNumberFormat="1" applyFont="1" applyBorder="1" applyAlignment="1">
      <alignment horizontal="right"/>
    </xf>
    <xf numFmtId="5" fontId="5" fillId="2" borderId="8" xfId="0" applyNumberFormat="1" applyFont="1" applyBorder="1" applyAlignment="1">
      <alignment horizontal="right"/>
    </xf>
    <xf numFmtId="10" fontId="5" fillId="0" borderId="8" xfId="20" applyNumberFormat="1" applyFont="1" applyBorder="1" applyAlignment="1">
      <alignment horizontal="right"/>
    </xf>
    <xf numFmtId="8" fontId="5" fillId="2" borderId="8" xfId="0" applyNumberFormat="1" applyFont="1" applyBorder="1"/>
    <xf numFmtId="6" fontId="6" fillId="2" borderId="0" xfId="0" applyNumberFormat="1" applyFont="1" applyBorder="1"/>
    <xf numFmtId="1" fontId="5" fillId="2" borderId="0" xfId="0" applyNumberFormat="1" applyFont="1" applyBorder="1"/>
    <xf numFmtId="3" fontId="5" fillId="2" borderId="0" xfId="0" applyNumberFormat="1" applyFont="1" applyBorder="1"/>
    <xf numFmtId="0" fontId="0" fillId="2" borderId="0" xfId="0" applyBorder="1"/>
    <xf numFmtId="1" fontId="5" fillId="2" borderId="4" xfId="0" applyNumberFormat="1" applyFont="1" applyBorder="1"/>
    <xf numFmtId="0" fontId="8" fillId="2" borderId="0" xfId="0" applyFont="1" applyBorder="1" applyAlignment="1">
      <alignment horizontal="center"/>
    </xf>
    <xf numFmtId="1" fontId="6" fillId="2" borderId="0" xfId="0" applyNumberFormat="1" applyFont="1" applyBorder="1"/>
    <xf numFmtId="0" fontId="19" fillId="0" borderId="0" xfId="0" applyFont="1" applyFill="1" applyBorder="1"/>
    <xf numFmtId="0" fontId="31" fillId="0" borderId="0" xfId="0" applyFont="1" applyFill="1" applyBorder="1"/>
    <xf numFmtId="0" fontId="32" fillId="2" borderId="0" xfId="0" applyFont="1" applyAlignment="1">
      <alignment horizontal="centerContinuous"/>
    </xf>
    <xf numFmtId="0" fontId="32" fillId="2" borderId="0" xfId="0" applyFont="1" applyAlignment="1"/>
    <xf numFmtId="0" fontId="7" fillId="2" borderId="14" xfId="0" applyFont="1" applyBorder="1" applyAlignment="1">
      <alignment horizontal="right"/>
    </xf>
    <xf numFmtId="0" fontId="5" fillId="2" borderId="15" xfId="0" applyFont="1" applyBorder="1"/>
    <xf numFmtId="0" fontId="7" fillId="2" borderId="18" xfId="0" applyFont="1" applyBorder="1" applyAlignment="1">
      <alignment horizontal="right"/>
    </xf>
    <xf numFmtId="0" fontId="5" fillId="2" borderId="16" xfId="0" applyFont="1" applyBorder="1"/>
    <xf numFmtId="0" fontId="5" fillId="2" borderId="19" xfId="0" applyFont="1" applyBorder="1" applyAlignment="1"/>
    <xf numFmtId="0" fontId="8" fillId="2" borderId="18" xfId="0" applyFont="1" applyBorder="1" applyAlignment="1"/>
    <xf numFmtId="0" fontId="5" fillId="2" borderId="19" xfId="0" applyFont="1" applyBorder="1"/>
    <xf numFmtId="16" fontId="16" fillId="2" borderId="15" xfId="0" applyNumberFormat="1" applyFont="1" applyBorder="1"/>
    <xf numFmtId="0" fontId="7" fillId="2" borderId="15" xfId="0" applyFont="1" applyBorder="1"/>
    <xf numFmtId="0" fontId="8" fillId="2" borderId="17" xfId="0" applyFont="1" applyBorder="1"/>
    <xf numFmtId="0" fontId="5" fillId="2" borderId="14" xfId="0" applyFont="1" applyBorder="1" applyAlignment="1">
      <alignment horizontal="centerContinuous"/>
    </xf>
    <xf numFmtId="0" fontId="5" fillId="2" borderId="17" xfId="0" applyFont="1" applyBorder="1" applyAlignment="1"/>
    <xf numFmtId="0" fontId="5" fillId="2" borderId="18" xfId="0" applyFont="1" applyBorder="1"/>
    <xf numFmtId="0" fontId="5" fillId="2" borderId="20" xfId="0" applyFont="1" applyBorder="1"/>
    <xf numFmtId="0" fontId="5" fillId="2" borderId="0" xfId="0" applyFont="1" applyBorder="1" applyAlignment="1"/>
    <xf numFmtId="0" fontId="5" fillId="2" borderId="17" xfId="0" applyFont="1" applyBorder="1" applyAlignment="1">
      <alignment horizontal="center"/>
    </xf>
    <xf numFmtId="0" fontId="5" fillId="2" borderId="14" xfId="0" applyFont="1" applyBorder="1" applyAlignment="1">
      <alignment horizontal="right"/>
    </xf>
    <xf numFmtId="5" fontId="5" fillId="2" borderId="20" xfId="0" applyNumberFormat="1" applyFont="1" applyBorder="1" applyAlignment="1">
      <alignment horizontal="center"/>
    </xf>
    <xf numFmtId="5" fontId="5" fillId="2" borderId="0" xfId="0" applyNumberFormat="1" applyFont="1" applyBorder="1" applyAlignment="1"/>
    <xf numFmtId="214" fontId="7" fillId="2" borderId="0" xfId="0" applyNumberFormat="1" applyFont="1" applyBorder="1" applyAlignment="1"/>
    <xf numFmtId="0" fontId="34" fillId="2" borderId="0" xfId="0" applyFont="1"/>
    <xf numFmtId="0" fontId="6" fillId="2" borderId="14" xfId="0" applyFont="1" applyBorder="1" applyAlignment="1">
      <alignment horizontal="right"/>
    </xf>
    <xf numFmtId="0" fontId="7" fillId="2" borderId="14" xfId="0" applyFont="1" applyBorder="1" applyAlignment="1">
      <alignment horizontal="center"/>
    </xf>
    <xf numFmtId="0" fontId="7" fillId="2" borderId="19" xfId="0" applyFont="1" applyBorder="1" applyAlignment="1">
      <alignment horizontal="center"/>
    </xf>
    <xf numFmtId="0" fontId="5" fillId="2" borderId="18" xfId="0" applyFont="1" applyBorder="1" applyAlignment="1">
      <alignment horizontal="center"/>
    </xf>
    <xf numFmtId="0" fontId="5" fillId="0" borderId="15" xfId="0" applyFont="1" applyFill="1" applyBorder="1"/>
    <xf numFmtId="0" fontId="5" fillId="0" borderId="18" xfId="0" applyFont="1" applyFill="1" applyBorder="1" applyAlignment="1">
      <alignment horizontal="center"/>
    </xf>
    <xf numFmtId="0" fontId="5" fillId="2" borderId="20" xfId="0" applyFont="1" applyBorder="1" applyAlignment="1">
      <alignment horizontal="center"/>
    </xf>
    <xf numFmtId="10" fontId="5" fillId="2" borderId="0" xfId="0" applyNumberFormat="1" applyFont="1" applyBorder="1" applyAlignment="1">
      <alignment horizontal="right"/>
    </xf>
    <xf numFmtId="10" fontId="5" fillId="2" borderId="18" xfId="0" applyNumberFormat="1" applyFont="1" applyBorder="1" applyAlignment="1">
      <alignment horizontal="right"/>
    </xf>
    <xf numFmtId="10" fontId="5" fillId="2" borderId="17" xfId="0" applyNumberFormat="1" applyFont="1" applyBorder="1" applyAlignment="1">
      <alignment horizontal="right"/>
    </xf>
    <xf numFmtId="10" fontId="5" fillId="2" borderId="20" xfId="0" applyNumberFormat="1" applyFont="1" applyBorder="1" applyAlignment="1">
      <alignment horizontal="right"/>
    </xf>
    <xf numFmtId="0" fontId="5" fillId="2" borderId="19" xfId="0" applyFont="1" applyBorder="1" applyAlignment="1">
      <alignment horizontal="centerContinuous"/>
    </xf>
    <xf numFmtId="9" fontId="16" fillId="0" borderId="18" xfId="20" applyFont="1" applyBorder="1"/>
    <xf numFmtId="0" fontId="6" fillId="2" borderId="18" xfId="0" applyFont="1" applyBorder="1" applyAlignment="1">
      <alignment horizontal="center"/>
    </xf>
    <xf numFmtId="0" fontId="5" fillId="2" borderId="19" xfId="0" applyFont="1" applyBorder="1" applyAlignment="1">
      <alignment horizontal="center"/>
    </xf>
    <xf numFmtId="0" fontId="5" fillId="2" borderId="18" xfId="0" applyFont="1" applyBorder="1" applyAlignment="1"/>
    <xf numFmtId="2" fontId="5" fillId="2" borderId="17" xfId="0" applyNumberFormat="1" applyFont="1" applyBorder="1" applyAlignment="1">
      <alignment horizontal="center"/>
    </xf>
    <xf numFmtId="0" fontId="5" fillId="2" borderId="20" xfId="0" applyFont="1" applyBorder="1" applyAlignment="1"/>
    <xf numFmtId="0" fontId="6" fillId="0" borderId="15" xfId="0" applyFont="1" applyFill="1" applyBorder="1"/>
    <xf numFmtId="6" fontId="6" fillId="0" borderId="18" xfId="0" applyNumberFormat="1" applyFont="1" applyFill="1" applyBorder="1"/>
    <xf numFmtId="6" fontId="7" fillId="0" borderId="18" xfId="0" applyNumberFormat="1" applyFont="1" applyFill="1" applyBorder="1"/>
    <xf numFmtId="10" fontId="6" fillId="2" borderId="0" xfId="0" applyNumberFormat="1" applyFont="1" applyBorder="1" applyAlignment="1"/>
    <xf numFmtId="5" fontId="21" fillId="2" borderId="18" xfId="0" applyNumberFormat="1" applyFont="1" applyBorder="1" applyAlignment="1"/>
    <xf numFmtId="0" fontId="5" fillId="2" borderId="18" xfId="0" applyFont="1" applyBorder="1" applyAlignment="1">
      <alignment horizontal="right"/>
    </xf>
    <xf numFmtId="5" fontId="5" fillId="2" borderId="18" xfId="0" applyNumberFormat="1" applyFont="1" applyBorder="1"/>
    <xf numFmtId="5" fontId="4" fillId="2" borderId="18" xfId="0" applyNumberFormat="1" applyFont="1" applyBorder="1"/>
    <xf numFmtId="5" fontId="5" fillId="2" borderId="20" xfId="0" applyNumberFormat="1" applyFont="1" applyBorder="1"/>
    <xf numFmtId="0" fontId="5" fillId="2" borderId="21" xfId="0" applyFont="1" applyBorder="1"/>
    <xf numFmtId="9" fontId="3" fillId="2" borderId="0" xfId="0" applyNumberFormat="1" applyFont="1" applyBorder="1" applyAlignment="1"/>
    <xf numFmtId="0" fontId="5" fillId="2" borderId="0" xfId="0" applyNumberFormat="1" applyFont="1" applyBorder="1" applyAlignment="1"/>
    <xf numFmtId="0" fontId="22" fillId="2" borderId="22" xfId="0" applyFont="1" applyBorder="1"/>
    <xf numFmtId="179" fontId="5" fillId="2" borderId="18" xfId="0" applyNumberFormat="1" applyFont="1" applyBorder="1"/>
    <xf numFmtId="10" fontId="5" fillId="2" borderId="18" xfId="0" applyNumberFormat="1" applyFont="1" applyBorder="1"/>
    <xf numFmtId="10" fontId="5" fillId="2" borderId="0" xfId="0" applyNumberFormat="1" applyFont="1" applyBorder="1" applyAlignment="1"/>
    <xf numFmtId="0" fontId="5" fillId="2" borderId="23" xfId="0" applyFont="1" applyBorder="1"/>
    <xf numFmtId="10" fontId="5" fillId="2" borderId="23" xfId="0" applyNumberFormat="1" applyFont="1" applyBorder="1" applyAlignment="1"/>
    <xf numFmtId="0" fontId="30" fillId="2" borderId="21" xfId="0" applyFont="1" applyBorder="1"/>
    <xf numFmtId="0" fontId="5" fillId="2" borderId="21" xfId="0" applyFont="1" applyBorder="1" applyAlignment="1"/>
    <xf numFmtId="10" fontId="5" fillId="2" borderId="21" xfId="0" applyNumberFormat="1" applyFont="1" applyBorder="1"/>
    <xf numFmtId="0" fontId="5" fillId="2" borderId="24" xfId="0" applyFont="1" applyBorder="1"/>
    <xf numFmtId="0" fontId="5" fillId="2" borderId="25" xfId="0" applyFont="1" applyBorder="1"/>
    <xf numFmtId="37" fontId="5" fillId="2" borderId="18" xfId="0" applyNumberFormat="1" applyFont="1" applyBorder="1"/>
    <xf numFmtId="0" fontId="5" fillId="2" borderId="24" xfId="0" applyFont="1" applyBorder="1" applyAlignment="1"/>
    <xf numFmtId="10" fontId="5" fillId="2" borderId="22" xfId="0" applyNumberFormat="1" applyFont="1" applyBorder="1" applyAlignment="1">
      <alignment horizontal="right"/>
    </xf>
    <xf numFmtId="10" fontId="5" fillId="2" borderId="20" xfId="20" applyNumberFormat="1" applyFont="1" applyFill="1" applyBorder="1"/>
    <xf numFmtId="10" fontId="5" fillId="2" borderId="18" xfId="20" applyNumberFormat="1" applyFont="1" applyFill="1" applyBorder="1"/>
    <xf numFmtId="0" fontId="28" fillId="2" borderId="0" xfId="0" applyFont="1" applyBorder="1"/>
    <xf numFmtId="0" fontId="33" fillId="2" borderId="0" xfId="0" applyFont="1" applyBorder="1"/>
    <xf numFmtId="0" fontId="6" fillId="2" borderId="26" xfId="0" applyFont="1" applyBorder="1" applyAlignment="1">
      <alignment horizontal="centerContinuous"/>
    </xf>
    <xf numFmtId="0" fontId="5" fillId="2" borderId="27" xfId="0" applyFont="1" applyBorder="1" applyAlignment="1">
      <alignment horizontal="centerContinuous"/>
    </xf>
    <xf numFmtId="38" fontId="6" fillId="2" borderId="28" xfId="0" applyNumberFormat="1" applyFont="1" applyBorder="1" applyAlignment="1">
      <alignment horizontal="centerContinuous"/>
    </xf>
    <xf numFmtId="0" fontId="5" fillId="2" borderId="29" xfId="0" applyFont="1" applyBorder="1" applyAlignment="1">
      <alignment horizontal="centerContinuous"/>
    </xf>
    <xf numFmtId="0" fontId="6" fillId="9" borderId="30" xfId="0" applyFont="1" applyFill="1" applyBorder="1"/>
    <xf numFmtId="0" fontId="6" fillId="9" borderId="31" xfId="0" applyFont="1" applyFill="1" applyBorder="1"/>
    <xf numFmtId="37" fontId="5" fillId="2" borderId="18" xfId="0" applyNumberFormat="1" applyFont="1" applyBorder="1" applyAlignment="1">
      <alignment horizontal="right"/>
    </xf>
    <xf numFmtId="0" fontId="7" fillId="2" borderId="32" xfId="0" applyFont="1" applyBorder="1"/>
    <xf numFmtId="5" fontId="5" fillId="2" borderId="0" xfId="0" applyNumberFormat="1" applyFont="1" applyBorder="1" applyAlignment="1">
      <alignment horizontal="right"/>
    </xf>
    <xf numFmtId="5" fontId="4" fillId="2" borderId="0" xfId="0" applyNumberFormat="1" applyFont="1" applyBorder="1" applyAlignment="1">
      <alignment horizontal="right"/>
    </xf>
    <xf numFmtId="5" fontId="5" fillId="2" borderId="17" xfId="0" applyNumberFormat="1" applyFont="1" applyBorder="1" applyAlignment="1">
      <alignment horizontal="right"/>
    </xf>
    <xf numFmtId="5" fontId="16" fillId="2" borderId="0" xfId="0" applyNumberFormat="1" applyFont="1" applyBorder="1" applyAlignment="1">
      <alignment horizontal="center"/>
    </xf>
    <xf numFmtId="5" fontId="16" fillId="0" borderId="0" xfId="0" applyNumberFormat="1" applyFont="1" applyFill="1" applyBorder="1" applyAlignment="1">
      <alignment horizontal="center"/>
    </xf>
    <xf numFmtId="5" fontId="5" fillId="2" borderId="17" xfId="0" applyNumberFormat="1" applyFont="1" applyBorder="1" applyAlignment="1">
      <alignment horizontal="center"/>
    </xf>
    <xf numFmtId="5" fontId="5" fillId="0" borderId="18" xfId="0" applyNumberFormat="1" applyFont="1" applyFill="1" applyBorder="1"/>
    <xf numFmtId="5" fontId="4" fillId="0" borderId="18" xfId="0" applyNumberFormat="1" applyFont="1" applyFill="1" applyBorder="1"/>
    <xf numFmtId="5" fontId="6" fillId="0" borderId="18" xfId="0" applyNumberFormat="1" applyFont="1" applyFill="1" applyBorder="1"/>
    <xf numFmtId="5" fontId="5" fillId="2" borderId="33" xfId="0" applyNumberFormat="1" applyFont="1" applyBorder="1"/>
    <xf numFmtId="7" fontId="6" fillId="2" borderId="20" xfId="0" applyNumberFormat="1" applyFont="1" applyBorder="1"/>
    <xf numFmtId="5" fontId="4" fillId="2" borderId="0" xfId="0" applyNumberFormat="1" applyFont="1" applyBorder="1"/>
    <xf numFmtId="6" fontId="6" fillId="2" borderId="17" xfId="0" applyNumberFormat="1" applyFont="1" applyBorder="1"/>
    <xf numFmtId="37" fontId="5" fillId="2" borderId="0" xfId="0" applyNumberFormat="1" applyFont="1" applyBorder="1" applyAlignment="1">
      <alignment horizontal="center"/>
    </xf>
    <xf numFmtId="204" fontId="16" fillId="2" borderId="0" xfId="0" applyNumberFormat="1" applyFont="1" applyBorder="1"/>
    <xf numFmtId="204" fontId="21" fillId="0" borderId="0" xfId="0" applyNumberFormat="1" applyFont="1" applyFill="1" applyBorder="1"/>
    <xf numFmtId="204" fontId="21" fillId="2" borderId="0" xfId="0" applyNumberFormat="1" applyFont="1" applyBorder="1"/>
    <xf numFmtId="5" fontId="6" fillId="2" borderId="0" xfId="0" applyNumberFormat="1" applyFont="1" applyBorder="1"/>
    <xf numFmtId="5" fontId="5" fillId="2" borderId="0" xfId="3" applyNumberFormat="1" applyFont="1" applyFill="1" applyBorder="1"/>
    <xf numFmtId="5" fontId="4" fillId="2" borderId="0" xfId="3" applyNumberFormat="1" applyFont="1" applyFill="1" applyBorder="1"/>
    <xf numFmtId="5" fontId="6" fillId="2" borderId="0" xfId="3" applyNumberFormat="1" applyFont="1" applyFill="1" applyBorder="1"/>
    <xf numFmtId="5" fontId="21" fillId="0" borderId="0" xfId="3" applyNumberFormat="1" applyFont="1" applyFill="1" applyBorder="1"/>
    <xf numFmtId="5" fontId="5" fillId="2" borderId="0" xfId="3" quotePrefix="1" applyNumberFormat="1" applyFont="1" applyFill="1" applyBorder="1"/>
    <xf numFmtId="5" fontId="6" fillId="0" borderId="0" xfId="3" applyNumberFormat="1" applyFont="1" applyFill="1" applyBorder="1"/>
    <xf numFmtId="0" fontId="28" fillId="0" borderId="0" xfId="0" applyFont="1" applyFill="1" applyBorder="1"/>
    <xf numFmtId="0" fontId="5" fillId="0" borderId="0" xfId="0" applyFont="1" applyFill="1"/>
    <xf numFmtId="0" fontId="34" fillId="0" borderId="0" xfId="0" applyFont="1" applyFill="1"/>
    <xf numFmtId="0" fontId="14" fillId="0" borderId="0" xfId="0" applyFont="1" applyFill="1"/>
    <xf numFmtId="43" fontId="5" fillId="0" borderId="0" xfId="3" applyFont="1" applyFill="1"/>
    <xf numFmtId="0" fontId="33" fillId="0" borderId="0" xfId="0" applyFont="1" applyFill="1" applyBorder="1"/>
    <xf numFmtId="37" fontId="5" fillId="0" borderId="0" xfId="0" applyNumberFormat="1" applyFont="1" applyFill="1"/>
    <xf numFmtId="6" fontId="5" fillId="0" borderId="0" xfId="0" applyNumberFormat="1" applyFont="1" applyFill="1"/>
    <xf numFmtId="6" fontId="6" fillId="0" borderId="17" xfId="0" applyNumberFormat="1" applyFont="1" applyFill="1" applyBorder="1"/>
    <xf numFmtId="0" fontId="5" fillId="0" borderId="17" xfId="0" applyFont="1" applyFill="1" applyBorder="1"/>
    <xf numFmtId="1" fontId="6" fillId="0" borderId="17" xfId="0" applyNumberFormat="1" applyFont="1" applyFill="1" applyBorder="1"/>
    <xf numFmtId="6" fontId="6" fillId="0" borderId="0" xfId="0" applyNumberFormat="1" applyFont="1" applyFill="1" applyBorder="1"/>
    <xf numFmtId="1" fontId="7" fillId="0" borderId="0" xfId="0" applyNumberFormat="1" applyFont="1" applyFill="1" applyBorder="1"/>
    <xf numFmtId="37" fontId="20" fillId="0" borderId="0" xfId="0" applyNumberFormat="1" applyFont="1" applyFill="1" applyBorder="1" applyProtection="1"/>
    <xf numFmtId="38" fontId="3" fillId="0" borderId="0" xfId="0" applyNumberFormat="1" applyFont="1" applyFill="1" applyBorder="1"/>
    <xf numFmtId="38" fontId="5" fillId="0" borderId="0" xfId="0" applyNumberFormat="1" applyFont="1" applyFill="1" applyBorder="1"/>
    <xf numFmtId="0" fontId="6" fillId="0" borderId="0" xfId="0" applyFont="1" applyFill="1"/>
    <xf numFmtId="10" fontId="5" fillId="0" borderId="0" xfId="0" applyNumberFormat="1" applyFont="1" applyFill="1" applyBorder="1"/>
    <xf numFmtId="10" fontId="8" fillId="0" borderId="0" xfId="0" applyNumberFormat="1" applyFont="1" applyFill="1" applyBorder="1"/>
    <xf numFmtId="10" fontId="4" fillId="0" borderId="0" xfId="0" applyNumberFormat="1" applyFont="1" applyFill="1" applyBorder="1"/>
    <xf numFmtId="5" fontId="5" fillId="0" borderId="0" xfId="0" applyNumberFormat="1" applyFont="1" applyFill="1" applyBorder="1"/>
    <xf numFmtId="5" fontId="4" fillId="0" borderId="0" xfId="0" applyNumberFormat="1" applyFont="1" applyFill="1" applyBorder="1"/>
    <xf numFmtId="5" fontId="5" fillId="0" borderId="0" xfId="3" applyNumberFormat="1" applyFont="1" applyFill="1" applyBorder="1"/>
    <xf numFmtId="5" fontId="4" fillId="0" borderId="0" xfId="3" applyNumberFormat="1" applyFont="1" applyFill="1" applyBorder="1"/>
    <xf numFmtId="5" fontId="5" fillId="0" borderId="4" xfId="3" applyNumberFormat="1" applyFont="1" applyFill="1" applyBorder="1"/>
    <xf numFmtId="5" fontId="6" fillId="0" borderId="0" xfId="0" applyNumberFormat="1" applyFont="1" applyFill="1" applyBorder="1"/>
    <xf numFmtId="5" fontId="5" fillId="0" borderId="4" xfId="0" applyNumberFormat="1" applyFont="1" applyFill="1" applyBorder="1"/>
    <xf numFmtId="0" fontId="6" fillId="9" borderId="34" xfId="0" applyFont="1" applyFill="1" applyBorder="1"/>
    <xf numFmtId="0" fontId="30" fillId="0" borderId="4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5" fontId="3" fillId="0" borderId="0" xfId="0" applyNumberFormat="1" applyFont="1" applyFill="1" applyBorder="1"/>
    <xf numFmtId="0" fontId="5" fillId="9" borderId="35" xfId="0" applyFont="1" applyFill="1" applyBorder="1"/>
    <xf numFmtId="9" fontId="5" fillId="9" borderId="35" xfId="0" applyNumberFormat="1" applyFont="1" applyFill="1" applyBorder="1" applyAlignment="1">
      <alignment horizontal="center"/>
    </xf>
    <xf numFmtId="5" fontId="5" fillId="9" borderId="35" xfId="0" applyNumberFormat="1" applyFont="1" applyFill="1" applyBorder="1"/>
    <xf numFmtId="8" fontId="5" fillId="2" borderId="0" xfId="0" applyNumberFormat="1" applyFont="1" applyBorder="1"/>
    <xf numFmtId="5" fontId="16" fillId="2" borderId="0" xfId="0" applyNumberFormat="1" applyFont="1" applyBorder="1"/>
    <xf numFmtId="5" fontId="12" fillId="2" borderId="0" xfId="0" applyNumberFormat="1" applyFont="1" applyBorder="1"/>
    <xf numFmtId="0" fontId="5" fillId="9" borderId="0" xfId="0" applyFont="1" applyFill="1" applyBorder="1"/>
    <xf numFmtId="0" fontId="6" fillId="9" borderId="36" xfId="0" applyFont="1" applyFill="1" applyBorder="1"/>
    <xf numFmtId="5" fontId="8" fillId="2" borderId="0" xfId="0" applyNumberFormat="1" applyFont="1" applyBorder="1"/>
    <xf numFmtId="0" fontId="5" fillId="2" borderId="0" xfId="0" applyFont="1" applyAlignment="1"/>
    <xf numFmtId="49" fontId="5" fillId="2" borderId="0" xfId="0" applyNumberFormat="1" applyFont="1" applyBorder="1" applyAlignment="1">
      <alignment horizontal="center"/>
    </xf>
    <xf numFmtId="0" fontId="5" fillId="0" borderId="0" xfId="0" applyFont="1" applyFill="1" applyBorder="1" applyAlignment="1"/>
    <xf numFmtId="0" fontId="6" fillId="2" borderId="17" xfId="0" applyFont="1" applyBorder="1" applyAlignment="1"/>
    <xf numFmtId="0" fontId="7" fillId="2" borderId="0" xfId="0" applyFont="1" applyBorder="1" applyAlignment="1"/>
    <xf numFmtId="3" fontId="5" fillId="2" borderId="0" xfId="0" applyNumberFormat="1" applyFont="1" applyBorder="1" applyAlignment="1"/>
    <xf numFmtId="38" fontId="5" fillId="2" borderId="0" xfId="0" applyNumberFormat="1" applyFont="1" applyBorder="1" applyAlignment="1"/>
    <xf numFmtId="0" fontId="5" fillId="0" borderId="0" xfId="0" applyFont="1" applyFill="1" applyAlignment="1"/>
    <xf numFmtId="0" fontId="34" fillId="0" borderId="0" xfId="0" applyFont="1" applyFill="1" applyAlignment="1"/>
    <xf numFmtId="0" fontId="14" fillId="0" borderId="0" xfId="0" applyFont="1" applyFill="1" applyAlignment="1"/>
    <xf numFmtId="43" fontId="5" fillId="0" borderId="0" xfId="3" applyFont="1" applyFill="1" applyAlignment="1"/>
    <xf numFmtId="37" fontId="5" fillId="0" borderId="0" xfId="0" applyNumberFormat="1" applyFont="1" applyFill="1" applyAlignment="1"/>
    <xf numFmtId="6" fontId="5" fillId="0" borderId="0" xfId="0" applyNumberFormat="1" applyFont="1" applyFill="1" applyAlignment="1"/>
    <xf numFmtId="10" fontId="17" fillId="0" borderId="0" xfId="20" applyNumberFormat="1" applyFont="1" applyBorder="1" applyAlignment="1"/>
    <xf numFmtId="37" fontId="16" fillId="2" borderId="0" xfId="0" applyNumberFormat="1" applyFont="1" applyBorder="1" applyAlignment="1"/>
    <xf numFmtId="37" fontId="5" fillId="2" borderId="0" xfId="0" applyNumberFormat="1" applyFont="1" applyBorder="1" applyAlignment="1"/>
    <xf numFmtId="38" fontId="5" fillId="2" borderId="4" xfId="0" applyNumberFormat="1" applyFont="1" applyBorder="1" applyAlignment="1"/>
    <xf numFmtId="5" fontId="4" fillId="2" borderId="0" xfId="0" applyNumberFormat="1" applyFont="1" applyBorder="1" applyAlignment="1"/>
    <xf numFmtId="5" fontId="16" fillId="2" borderId="0" xfId="0" applyNumberFormat="1" applyFont="1" applyBorder="1" applyAlignment="1"/>
    <xf numFmtId="5" fontId="17" fillId="2" borderId="0" xfId="0" applyNumberFormat="1" applyFont="1" applyBorder="1" applyAlignment="1"/>
    <xf numFmtId="5" fontId="5" fillId="2" borderId="0" xfId="0" quotePrefix="1" applyNumberFormat="1" applyFont="1" applyBorder="1" applyAlignment="1"/>
    <xf numFmtId="37" fontId="37" fillId="2" borderId="0" xfId="0" applyNumberFormat="1" applyFont="1"/>
    <xf numFmtId="0" fontId="4" fillId="9" borderId="35" xfId="0" applyFont="1" applyFill="1" applyBorder="1" applyAlignment="1">
      <alignment horizontal="center"/>
    </xf>
    <xf numFmtId="5" fontId="5" fillId="9" borderId="0" xfId="0" applyNumberFormat="1" applyFont="1" applyFill="1" applyBorder="1"/>
    <xf numFmtId="37" fontId="5" fillId="9" borderId="0" xfId="0" applyNumberFormat="1" applyFont="1" applyFill="1" applyBorder="1"/>
    <xf numFmtId="0" fontId="38" fillId="2" borderId="0" xfId="0" applyFont="1" applyAlignment="1">
      <alignment horizontal="center"/>
    </xf>
    <xf numFmtId="0" fontId="7" fillId="2" borderId="17" xfId="0" applyFont="1" applyBorder="1"/>
    <xf numFmtId="17" fontId="36" fillId="2" borderId="17" xfId="0" applyNumberFormat="1" applyFont="1" applyBorder="1" applyAlignment="1">
      <alignment horizontal="right"/>
    </xf>
    <xf numFmtId="17" fontId="6" fillId="2" borderId="17" xfId="0" applyNumberFormat="1" applyFont="1" applyBorder="1" applyAlignment="1">
      <alignment horizontal="right"/>
    </xf>
    <xf numFmtId="0" fontId="5" fillId="2" borderId="13" xfId="0" applyFont="1" applyBorder="1" applyAlignment="1">
      <alignment horizontal="center"/>
    </xf>
    <xf numFmtId="0" fontId="30" fillId="0" borderId="0" xfId="0" applyFont="1" applyFill="1" applyBorder="1"/>
    <xf numFmtId="37" fontId="30" fillId="0" borderId="0" xfId="0" applyNumberFormat="1" applyFont="1" applyFill="1" applyBorder="1"/>
    <xf numFmtId="0" fontId="6" fillId="2" borderId="37" xfId="0" applyFont="1" applyBorder="1" applyAlignment="1">
      <alignment horizontal="centerContinuous"/>
    </xf>
    <xf numFmtId="0" fontId="5" fillId="2" borderId="38" xfId="0" applyFont="1" applyBorder="1" applyAlignment="1">
      <alignment horizontal="centerContinuous"/>
    </xf>
    <xf numFmtId="5" fontId="5" fillId="2" borderId="38" xfId="0" applyNumberFormat="1" applyFont="1" applyBorder="1"/>
    <xf numFmtId="5" fontId="5" fillId="2" borderId="39" xfId="0" applyNumberFormat="1" applyFont="1" applyBorder="1"/>
    <xf numFmtId="0" fontId="4" fillId="9" borderId="40" xfId="0" applyFont="1" applyFill="1" applyBorder="1" applyAlignment="1">
      <alignment horizontal="center"/>
    </xf>
    <xf numFmtId="5" fontId="5" fillId="9" borderId="41" xfId="0" applyNumberFormat="1" applyFont="1" applyFill="1" applyBorder="1"/>
    <xf numFmtId="5" fontId="4" fillId="9" borderId="41" xfId="0" applyNumberFormat="1" applyFont="1" applyFill="1" applyBorder="1"/>
    <xf numFmtId="0" fontId="4" fillId="9" borderId="42" xfId="0" applyFont="1" applyFill="1" applyBorder="1" applyAlignment="1">
      <alignment horizontal="center"/>
    </xf>
    <xf numFmtId="5" fontId="5" fillId="9" borderId="43" xfId="0" applyNumberFormat="1" applyFont="1" applyFill="1" applyBorder="1"/>
    <xf numFmtId="5" fontId="4" fillId="9" borderId="43" xfId="0" applyNumberFormat="1" applyFont="1" applyFill="1" applyBorder="1"/>
    <xf numFmtId="37" fontId="5" fillId="2" borderId="13" xfId="0" applyNumberFormat="1" applyFont="1" applyBorder="1"/>
    <xf numFmtId="0" fontId="7" fillId="2" borderId="6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centerContinuous"/>
    </xf>
    <xf numFmtId="0" fontId="5" fillId="2" borderId="8" xfId="0" applyFont="1" applyBorder="1" applyAlignment="1">
      <alignment horizontal="centerContinuous"/>
    </xf>
    <xf numFmtId="0" fontId="6" fillId="0" borderId="17" xfId="0" applyFont="1" applyFill="1" applyBorder="1"/>
    <xf numFmtId="5" fontId="10" fillId="2" borderId="0" xfId="0" applyNumberFormat="1" applyFont="1" applyBorder="1"/>
    <xf numFmtId="38" fontId="34" fillId="2" borderId="0" xfId="0" applyNumberFormat="1" applyFont="1"/>
    <xf numFmtId="204" fontId="6" fillId="0" borderId="0" xfId="0" applyNumberFormat="1" applyFont="1" applyFill="1" applyBorder="1"/>
    <xf numFmtId="17" fontId="5" fillId="2" borderId="6" xfId="0" applyNumberFormat="1" applyFont="1" applyBorder="1"/>
    <xf numFmtId="5" fontId="6" fillId="2" borderId="6" xfId="0" applyNumberFormat="1" applyFont="1" applyBorder="1"/>
    <xf numFmtId="5" fontId="4" fillId="2" borderId="6" xfId="0" applyNumberFormat="1" applyFont="1" applyBorder="1"/>
    <xf numFmtId="6" fontId="4" fillId="2" borderId="8" xfId="0" applyNumberFormat="1" applyFont="1" applyBorder="1"/>
    <xf numFmtId="6" fontId="5" fillId="2" borderId="6" xfId="0" applyNumberFormat="1" applyFont="1" applyBorder="1"/>
    <xf numFmtId="179" fontId="5" fillId="2" borderId="6" xfId="0" applyNumberFormat="1" applyFont="1" applyBorder="1"/>
    <xf numFmtId="10" fontId="5" fillId="2" borderId="6" xfId="0" applyNumberFormat="1" applyFont="1" applyBorder="1" applyAlignment="1">
      <alignment horizontal="center"/>
    </xf>
    <xf numFmtId="10" fontId="4" fillId="2" borderId="6" xfId="0" applyNumberFormat="1" applyFont="1" applyBorder="1" applyAlignment="1">
      <alignment horizontal="center"/>
    </xf>
    <xf numFmtId="10" fontId="5" fillId="2" borderId="8" xfId="0" applyNumberFormat="1" applyFont="1" applyBorder="1" applyAlignment="1">
      <alignment horizontal="center"/>
    </xf>
    <xf numFmtId="10" fontId="4" fillId="2" borderId="8" xfId="0" applyNumberFormat="1" applyFont="1" applyBorder="1" applyAlignment="1">
      <alignment horizontal="center"/>
    </xf>
    <xf numFmtId="0" fontId="5" fillId="2" borderId="16" xfId="0" applyFont="1" applyBorder="1" applyAlignment="1">
      <alignment horizontal="right"/>
    </xf>
    <xf numFmtId="214" fontId="7" fillId="2" borderId="18" xfId="0" applyNumberFormat="1" applyFont="1" applyBorder="1" applyAlignment="1"/>
    <xf numFmtId="5" fontId="5" fillId="2" borderId="18" xfId="0" applyNumberFormat="1" applyFont="1" applyBorder="1" applyAlignment="1"/>
    <xf numFmtId="5" fontId="5" fillId="2" borderId="20" xfId="0" applyNumberFormat="1" applyFont="1" applyBorder="1" applyAlignment="1"/>
    <xf numFmtId="0" fontId="5" fillId="2" borderId="0" xfId="0" applyNumberFormat="1" applyFont="1" applyAlignment="1"/>
    <xf numFmtId="0" fontId="6" fillId="2" borderId="17" xfId="0" applyNumberFormat="1" applyFont="1" applyBorder="1" applyAlignment="1"/>
    <xf numFmtId="17" fontId="6" fillId="2" borderId="17" xfId="0" applyNumberFormat="1" applyFont="1" applyBorder="1" applyAlignment="1"/>
    <xf numFmtId="0" fontId="5" fillId="0" borderId="0" xfId="0" applyNumberFormat="1" applyFont="1" applyFill="1" applyBorder="1" applyAlignment="1"/>
    <xf numFmtId="0" fontId="5" fillId="2" borderId="11" xfId="0" applyNumberFormat="1" applyFont="1" applyBorder="1" applyAlignment="1"/>
    <xf numFmtId="0" fontId="5" fillId="2" borderId="12" xfId="0" applyNumberFormat="1" applyFont="1" applyBorder="1" applyAlignment="1"/>
    <xf numFmtId="0" fontId="5" fillId="2" borderId="6" xfId="0" applyNumberFormat="1" applyFont="1" applyBorder="1" applyAlignment="1"/>
    <xf numFmtId="0" fontId="5" fillId="2" borderId="8" xfId="0" applyNumberFormat="1" applyFont="1" applyBorder="1" applyAlignment="1"/>
    <xf numFmtId="0" fontId="5" fillId="2" borderId="9" xfId="0" applyNumberFormat="1" applyFont="1" applyBorder="1" applyAlignment="1"/>
    <xf numFmtId="0" fontId="5" fillId="2" borderId="13" xfId="0" applyNumberFormat="1" applyFont="1" applyBorder="1" applyAlignment="1"/>
    <xf numFmtId="0" fontId="5" fillId="9" borderId="35" xfId="0" applyNumberFormat="1" applyFont="1" applyFill="1" applyBorder="1" applyAlignment="1"/>
    <xf numFmtId="0" fontId="5" fillId="9" borderId="0" xfId="0" applyNumberFormat="1" applyFont="1" applyFill="1" applyBorder="1" applyAlignment="1"/>
    <xf numFmtId="10" fontId="5" fillId="9" borderId="0" xfId="20" applyNumberFormat="1" applyFont="1" applyFill="1" applyBorder="1" applyAlignment="1"/>
    <xf numFmtId="0" fontId="38" fillId="2" borderId="0" xfId="0" applyFont="1" applyBorder="1" applyAlignment="1">
      <alignment horizontal="center"/>
    </xf>
    <xf numFmtId="0" fontId="5" fillId="2" borderId="15" xfId="0" applyFont="1" applyBorder="1" applyAlignment="1">
      <alignment horizontal="center"/>
    </xf>
    <xf numFmtId="0" fontId="5" fillId="2" borderId="16" xfId="0" applyFont="1" applyBorder="1" applyAlignment="1">
      <alignment horizontal="center"/>
    </xf>
    <xf numFmtId="0" fontId="6" fillId="0" borderId="17" xfId="0" applyNumberFormat="1" applyFont="1" applyFill="1" applyBorder="1" applyAlignment="1"/>
    <xf numFmtId="0" fontId="6" fillId="2" borderId="17" xfId="0" applyNumberFormat="1" applyFont="1" applyBorder="1"/>
    <xf numFmtId="0" fontId="5" fillId="2" borderId="0" xfId="0" applyNumberFormat="1" applyFont="1" applyBorder="1"/>
    <xf numFmtId="0" fontId="5" fillId="2" borderId="17" xfId="0" applyNumberFormat="1" applyFont="1" applyBorder="1" applyAlignment="1">
      <alignment horizontal="center"/>
    </xf>
    <xf numFmtId="39" fontId="5" fillId="2" borderId="0" xfId="0" applyNumberFormat="1" applyFont="1" applyBorder="1" applyAlignment="1">
      <alignment horizontal="right"/>
    </xf>
    <xf numFmtId="5" fontId="3" fillId="9" borderId="44" xfId="0" applyNumberFormat="1" applyFont="1" applyFill="1" applyBorder="1" applyAlignment="1"/>
    <xf numFmtId="5" fontId="3" fillId="9" borderId="45" xfId="0" applyNumberFormat="1" applyFont="1" applyFill="1" applyBorder="1" applyAlignment="1"/>
    <xf numFmtId="5" fontId="3" fillId="9" borderId="46" xfId="0" applyNumberFormat="1" applyFont="1" applyFill="1" applyBorder="1" applyAlignment="1"/>
    <xf numFmtId="5" fontId="5" fillId="9" borderId="0" xfId="0" applyNumberFormat="1" applyFont="1" applyFill="1" applyBorder="1" applyAlignment="1"/>
    <xf numFmtId="10" fontId="5" fillId="0" borderId="4" xfId="0" applyNumberFormat="1" applyFont="1" applyFill="1" applyBorder="1" applyAlignment="1">
      <alignment horizontal="center"/>
    </xf>
    <xf numFmtId="191" fontId="5" fillId="2" borderId="0" xfId="0" applyNumberFormat="1" applyFont="1" applyBorder="1"/>
    <xf numFmtId="177" fontId="5" fillId="2" borderId="6" xfId="0" applyNumberFormat="1" applyFont="1" applyBorder="1"/>
    <xf numFmtId="10" fontId="8" fillId="2" borderId="0" xfId="0" applyNumberFormat="1" applyFont="1" applyBorder="1" applyAlignment="1">
      <alignment horizontal="center"/>
    </xf>
    <xf numFmtId="10" fontId="5" fillId="2" borderId="18" xfId="0" applyNumberFormat="1" applyFont="1" applyBorder="1" applyAlignment="1">
      <alignment horizontal="center"/>
    </xf>
    <xf numFmtId="10" fontId="5" fillId="2" borderId="20" xfId="0" applyNumberFormat="1" applyFont="1" applyBorder="1" applyAlignment="1">
      <alignment horizontal="center"/>
    </xf>
    <xf numFmtId="10" fontId="5" fillId="0" borderId="6" xfId="20" applyNumberFormat="1" applyFont="1" applyBorder="1" applyAlignment="1">
      <alignment horizontal="right"/>
    </xf>
    <xf numFmtId="0" fontId="5" fillId="2" borderId="8" xfId="0" applyNumberFormat="1" applyFont="1" applyBorder="1" applyAlignment="1">
      <alignment horizontal="centerContinuous"/>
    </xf>
    <xf numFmtId="5" fontId="16" fillId="9" borderId="35" xfId="0" applyNumberFormat="1" applyFont="1" applyFill="1" applyBorder="1" applyProtection="1"/>
    <xf numFmtId="5" fontId="16" fillId="9" borderId="0" xfId="0" applyNumberFormat="1" applyFont="1" applyFill="1" applyBorder="1" applyProtection="1"/>
    <xf numFmtId="5" fontId="4" fillId="9" borderId="0" xfId="3" applyNumberFormat="1" applyFont="1" applyFill="1" applyBorder="1"/>
    <xf numFmtId="5" fontId="15" fillId="2" borderId="0" xfId="0" applyNumberFormat="1" applyFont="1" applyBorder="1"/>
    <xf numFmtId="0" fontId="5" fillId="2" borderId="17" xfId="0" applyFont="1" applyBorder="1" applyAlignment="1">
      <alignment horizontal="right"/>
    </xf>
    <xf numFmtId="5" fontId="5" fillId="0" borderId="0" xfId="0" applyNumberFormat="1" applyFont="1" applyFill="1" applyBorder="1" applyAlignment="1"/>
    <xf numFmtId="10" fontId="5" fillId="2" borderId="0" xfId="20" applyNumberFormat="1" applyFont="1" applyFill="1" applyBorder="1" applyAlignment="1">
      <alignment horizontal="left"/>
    </xf>
    <xf numFmtId="0" fontId="5" fillId="2" borderId="15" xfId="0" applyNumberFormat="1" applyFont="1" applyBorder="1"/>
    <xf numFmtId="0" fontId="5" fillId="2" borderId="16" xfId="0" applyNumberFormat="1" applyFont="1" applyBorder="1"/>
    <xf numFmtId="0" fontId="5" fillId="2" borderId="17" xfId="0" applyNumberFormat="1" applyFont="1" applyBorder="1"/>
    <xf numFmtId="0" fontId="6" fillId="2" borderId="15" xfId="0" applyNumberFormat="1" applyFont="1" applyBorder="1"/>
    <xf numFmtId="49" fontId="5" fillId="2" borderId="0" xfId="0" applyNumberFormat="1" applyFont="1" applyBorder="1" applyAlignment="1">
      <alignment horizontal="left"/>
    </xf>
    <xf numFmtId="6" fontId="10" fillId="2" borderId="0" xfId="0" applyNumberFormat="1" applyFont="1" applyBorder="1"/>
    <xf numFmtId="5" fontId="8" fillId="2" borderId="0" xfId="0" applyNumberFormat="1" applyFont="1" applyBorder="1" applyAlignment="1"/>
    <xf numFmtId="5" fontId="6" fillId="9" borderId="0" xfId="0" applyNumberFormat="1" applyFont="1" applyFill="1" applyBorder="1" applyAlignment="1"/>
    <xf numFmtId="0" fontId="7" fillId="9" borderId="35" xfId="0" applyFont="1" applyFill="1" applyBorder="1" applyAlignment="1">
      <alignment horizontal="right"/>
    </xf>
    <xf numFmtId="0" fontId="5" fillId="0" borderId="6" xfId="0" applyFont="1" applyFill="1" applyBorder="1"/>
    <xf numFmtId="0" fontId="5" fillId="2" borderId="47" xfId="0" applyFont="1" applyBorder="1"/>
    <xf numFmtId="0" fontId="33" fillId="0" borderId="6" xfId="0" applyFont="1" applyFill="1" applyBorder="1"/>
    <xf numFmtId="0" fontId="8" fillId="0" borderId="0" xfId="0" applyFont="1" applyFill="1" applyBorder="1" applyAlignment="1">
      <alignment horizontal="center"/>
    </xf>
    <xf numFmtId="5" fontId="5" fillId="2" borderId="17" xfId="0" applyNumberFormat="1" applyFont="1" applyBorder="1"/>
    <xf numFmtId="0" fontId="6" fillId="9" borderId="48" xfId="0" applyFont="1" applyFill="1" applyBorder="1"/>
    <xf numFmtId="0" fontId="8" fillId="2" borderId="14" xfId="0" applyFont="1" applyBorder="1"/>
    <xf numFmtId="6" fontId="6" fillId="2" borderId="16" xfId="0" applyNumberFormat="1" applyFont="1" applyBorder="1"/>
    <xf numFmtId="6" fontId="6" fillId="2" borderId="32" xfId="0" applyNumberFormat="1" applyFont="1" applyBorder="1"/>
    <xf numFmtId="0" fontId="5" fillId="2" borderId="49" xfId="0" applyFont="1" applyBorder="1"/>
    <xf numFmtId="0" fontId="5" fillId="2" borderId="50" xfId="0" applyFont="1" applyBorder="1"/>
    <xf numFmtId="0" fontId="8" fillId="2" borderId="15" xfId="0" applyFont="1" applyBorder="1"/>
    <xf numFmtId="204" fontId="5" fillId="2" borderId="15" xfId="0" applyNumberFormat="1" applyFont="1" applyBorder="1"/>
    <xf numFmtId="204" fontId="6" fillId="2" borderId="15" xfId="0" applyNumberFormat="1" applyFont="1" applyBorder="1"/>
    <xf numFmtId="204" fontId="21" fillId="0" borderId="15" xfId="0" applyNumberFormat="1" applyFont="1" applyFill="1" applyBorder="1"/>
    <xf numFmtId="204" fontId="16" fillId="2" borderId="15" xfId="0" applyNumberFormat="1" applyFont="1" applyBorder="1"/>
    <xf numFmtId="204" fontId="21" fillId="2" borderId="15" xfId="0" applyNumberFormat="1" applyFont="1" applyBorder="1"/>
    <xf numFmtId="0" fontId="5" fillId="2" borderId="32" xfId="0" applyFont="1" applyBorder="1"/>
    <xf numFmtId="0" fontId="5" fillId="2" borderId="14" xfId="0" applyNumberFormat="1" applyFont="1" applyBorder="1"/>
    <xf numFmtId="0" fontId="5" fillId="2" borderId="51" xfId="0" applyFont="1" applyBorder="1"/>
    <xf numFmtId="0" fontId="6" fillId="2" borderId="52" xfId="0" applyFont="1" applyBorder="1" applyAlignment="1">
      <alignment horizontal="right"/>
    </xf>
    <xf numFmtId="0" fontId="7" fillId="2" borderId="53" xfId="0" applyFont="1" applyBorder="1" applyAlignment="1">
      <alignment horizontal="center"/>
    </xf>
    <xf numFmtId="0" fontId="5" fillId="2" borderId="53" xfId="0" applyFont="1" applyBorder="1"/>
    <xf numFmtId="0" fontId="5" fillId="2" borderId="54" xfId="0" applyFont="1" applyBorder="1"/>
    <xf numFmtId="37" fontId="5" fillId="2" borderId="55" xfId="0" applyNumberFormat="1" applyFont="1" applyBorder="1"/>
    <xf numFmtId="3" fontId="5" fillId="2" borderId="53" xfId="0" applyNumberFormat="1" applyFont="1" applyBorder="1"/>
    <xf numFmtId="5" fontId="5" fillId="2" borderId="53" xfId="0" applyNumberFormat="1" applyFont="1" applyBorder="1"/>
    <xf numFmtId="5" fontId="4" fillId="2" borderId="53" xfId="0" applyNumberFormat="1" applyFont="1" applyBorder="1"/>
    <xf numFmtId="5" fontId="6" fillId="2" borderId="53" xfId="0" applyNumberFormat="1" applyFont="1" applyBorder="1"/>
    <xf numFmtId="5" fontId="5" fillId="2" borderId="53" xfId="3" applyNumberFormat="1" applyFont="1" applyFill="1" applyBorder="1"/>
    <xf numFmtId="5" fontId="4" fillId="2" borderId="53" xfId="3" applyNumberFormat="1" applyFont="1" applyFill="1" applyBorder="1"/>
    <xf numFmtId="5" fontId="6" fillId="2" borderId="53" xfId="3" applyNumberFormat="1" applyFont="1" applyFill="1" applyBorder="1"/>
    <xf numFmtId="5" fontId="21" fillId="0" borderId="53" xfId="3" applyNumberFormat="1" applyFont="1" applyFill="1" applyBorder="1"/>
    <xf numFmtId="5" fontId="5" fillId="2" borderId="53" xfId="3" quotePrefix="1" applyNumberFormat="1" applyFont="1" applyFill="1" applyBorder="1"/>
    <xf numFmtId="5" fontId="6" fillId="2" borderId="53" xfId="3" quotePrefix="1" applyNumberFormat="1" applyFont="1" applyFill="1" applyBorder="1"/>
    <xf numFmtId="0" fontId="5" fillId="2" borderId="52" xfId="0" applyFont="1" applyBorder="1"/>
    <xf numFmtId="204" fontId="21" fillId="9" borderId="56" xfId="0" applyNumberFormat="1" applyFont="1" applyFill="1" applyBorder="1"/>
    <xf numFmtId="204" fontId="21" fillId="9" borderId="57" xfId="0" applyNumberFormat="1" applyFont="1" applyFill="1" applyBorder="1"/>
    <xf numFmtId="5" fontId="21" fillId="9" borderId="57" xfId="3" applyNumberFormat="1" applyFont="1" applyFill="1" applyBorder="1"/>
    <xf numFmtId="5" fontId="21" fillId="9" borderId="58" xfId="3" applyNumberFormat="1" applyFont="1" applyFill="1" applyBorder="1"/>
    <xf numFmtId="37" fontId="35" fillId="2" borderId="0" xfId="0" applyNumberFormat="1" applyFont="1" applyBorder="1" applyAlignment="1">
      <alignment horizontal="center"/>
    </xf>
    <xf numFmtId="0" fontId="6" fillId="9" borderId="59" xfId="0" applyFont="1" applyFill="1" applyBorder="1"/>
    <xf numFmtId="0" fontId="5" fillId="9" borderId="4" xfId="0" applyFont="1" applyFill="1" applyBorder="1"/>
    <xf numFmtId="38" fontId="5" fillId="9" borderId="4" xfId="0" applyNumberFormat="1" applyFont="1" applyFill="1" applyBorder="1" applyAlignment="1"/>
    <xf numFmtId="0" fontId="7" fillId="9" borderId="60" xfId="0" applyFont="1" applyFill="1" applyBorder="1" applyAlignment="1">
      <alignment horizontal="right"/>
    </xf>
    <xf numFmtId="5" fontId="6" fillId="9" borderId="61" xfId="0" applyNumberFormat="1" applyFont="1" applyFill="1" applyBorder="1" applyAlignment="1"/>
    <xf numFmtId="38" fontId="6" fillId="9" borderId="62" xfId="0" applyNumberFormat="1" applyFont="1" applyFill="1" applyBorder="1" applyAlignment="1"/>
    <xf numFmtId="5" fontId="6" fillId="9" borderId="60" xfId="0" applyNumberFormat="1" applyFont="1" applyFill="1" applyBorder="1"/>
    <xf numFmtId="10" fontId="6" fillId="9" borderId="61" xfId="20" applyNumberFormat="1" applyFont="1" applyFill="1" applyBorder="1"/>
    <xf numFmtId="37" fontId="6" fillId="9" borderId="62" xfId="3" applyNumberFormat="1" applyFont="1" applyFill="1" applyBorder="1"/>
    <xf numFmtId="0" fontId="5" fillId="9" borderId="63" xfId="0" applyFont="1" applyFill="1" applyBorder="1"/>
    <xf numFmtId="5" fontId="5" fillId="9" borderId="63" xfId="3" applyNumberFormat="1" applyFont="1" applyFill="1" applyBorder="1"/>
    <xf numFmtId="5" fontId="5" fillId="9" borderId="63" xfId="0" applyNumberFormat="1" applyFont="1" applyFill="1" applyBorder="1"/>
    <xf numFmtId="0" fontId="6" fillId="2" borderId="32" xfId="0" applyFont="1" applyBorder="1" applyAlignment="1"/>
    <xf numFmtId="0" fontId="6" fillId="2" borderId="64" xfId="0" applyFont="1" applyBorder="1" applyAlignment="1">
      <alignment horizontal="center"/>
    </xf>
    <xf numFmtId="0" fontId="5" fillId="2" borderId="15" xfId="0" applyFont="1" applyBorder="1" applyAlignment="1"/>
    <xf numFmtId="0" fontId="6" fillId="2" borderId="15" xfId="0" applyFont="1" applyBorder="1" applyAlignment="1"/>
    <xf numFmtId="0" fontId="4" fillId="2" borderId="15" xfId="0" applyFont="1" applyBorder="1" applyAlignment="1"/>
    <xf numFmtId="0" fontId="5" fillId="2" borderId="50" xfId="0" applyFont="1" applyBorder="1" applyAlignment="1"/>
    <xf numFmtId="10" fontId="6" fillId="2" borderId="15" xfId="0" applyNumberFormat="1" applyFont="1" applyBorder="1" applyAlignment="1"/>
    <xf numFmtId="0" fontId="12" fillId="2" borderId="15" xfId="0" applyFont="1" applyBorder="1" applyAlignment="1"/>
    <xf numFmtId="0" fontId="5" fillId="2" borderId="16" xfId="0" applyFont="1" applyBorder="1" applyAlignment="1"/>
    <xf numFmtId="0" fontId="6" fillId="9" borderId="65" xfId="0" applyFont="1" applyFill="1" applyBorder="1"/>
    <xf numFmtId="10" fontId="6" fillId="9" borderId="66" xfId="0" applyNumberFormat="1" applyFont="1" applyFill="1" applyBorder="1"/>
    <xf numFmtId="0" fontId="6" fillId="2" borderId="53" xfId="0" applyFont="1" applyBorder="1" applyAlignment="1">
      <alignment horizontal="center"/>
    </xf>
    <xf numFmtId="0" fontId="5" fillId="2" borderId="55" xfId="0" applyFont="1" applyBorder="1"/>
    <xf numFmtId="37" fontId="5" fillId="2" borderId="53" xfId="0" applyNumberFormat="1" applyFont="1" applyBorder="1"/>
    <xf numFmtId="5" fontId="12" fillId="2" borderId="53" xfId="0" applyNumberFormat="1" applyFont="1" applyBorder="1"/>
    <xf numFmtId="0" fontId="5" fillId="2" borderId="14" xfId="0" applyFont="1" applyBorder="1" applyAlignment="1"/>
    <xf numFmtId="0" fontId="6" fillId="2" borderId="32" xfId="0" applyFont="1" applyBorder="1"/>
    <xf numFmtId="10" fontId="6" fillId="2" borderId="15" xfId="0" applyNumberFormat="1" applyFont="1" applyBorder="1"/>
    <xf numFmtId="0" fontId="16" fillId="2" borderId="15" xfId="0" applyFont="1" applyBorder="1"/>
    <xf numFmtId="0" fontId="5" fillId="9" borderId="67" xfId="0" applyFont="1" applyFill="1" applyBorder="1"/>
    <xf numFmtId="0" fontId="6" fillId="9" borderId="15" xfId="0" applyFont="1" applyFill="1" applyBorder="1"/>
    <xf numFmtId="0" fontId="6" fillId="9" borderId="50" xfId="0" applyFont="1" applyFill="1" applyBorder="1"/>
    <xf numFmtId="5" fontId="8" fillId="2" borderId="17" xfId="0" applyNumberFormat="1" applyFont="1" applyBorder="1"/>
    <xf numFmtId="0" fontId="5" fillId="2" borderId="51" xfId="0" applyFont="1" applyBorder="1" applyAlignment="1"/>
    <xf numFmtId="0" fontId="7" fillId="2" borderId="53" xfId="0" applyFont="1" applyBorder="1" applyAlignment="1"/>
    <xf numFmtId="0" fontId="5" fillId="2" borderId="53" xfId="0" applyFont="1" applyBorder="1" applyAlignment="1"/>
    <xf numFmtId="3" fontId="5" fillId="2" borderId="53" xfId="0" applyNumberFormat="1" applyFont="1" applyBorder="1" applyAlignment="1"/>
    <xf numFmtId="5" fontId="5" fillId="2" borderId="53" xfId="0" applyNumberFormat="1" applyFont="1" applyBorder="1" applyAlignment="1"/>
    <xf numFmtId="5" fontId="4" fillId="2" borderId="53" xfId="0" applyNumberFormat="1" applyFont="1" applyBorder="1" applyAlignment="1"/>
    <xf numFmtId="38" fontId="5" fillId="2" borderId="53" xfId="0" applyNumberFormat="1" applyFont="1" applyBorder="1" applyAlignment="1"/>
    <xf numFmtId="5" fontId="16" fillId="2" borderId="53" xfId="0" applyNumberFormat="1" applyFont="1" applyBorder="1" applyAlignment="1"/>
    <xf numFmtId="5" fontId="5" fillId="0" borderId="53" xfId="0" applyNumberFormat="1" applyFont="1" applyFill="1" applyBorder="1" applyAlignment="1"/>
    <xf numFmtId="37" fontId="5" fillId="2" borderId="53" xfId="0" applyNumberFormat="1" applyFont="1" applyBorder="1" applyAlignment="1"/>
    <xf numFmtId="37" fontId="5" fillId="2" borderId="55" xfId="0" applyNumberFormat="1" applyFont="1" applyBorder="1" applyAlignment="1"/>
    <xf numFmtId="10" fontId="4" fillId="0" borderId="53" xfId="20" applyNumberFormat="1" applyFont="1" applyBorder="1"/>
    <xf numFmtId="39" fontId="5" fillId="2" borderId="17" xfId="0" applyNumberFormat="1" applyFont="1" applyBorder="1" applyAlignment="1">
      <alignment horizontal="right"/>
    </xf>
    <xf numFmtId="5" fontId="5" fillId="2" borderId="55" xfId="0" applyNumberFormat="1" applyFont="1" applyBorder="1"/>
    <xf numFmtId="204" fontId="5" fillId="2" borderId="53" xfId="0" applyNumberFormat="1" applyFont="1" applyBorder="1"/>
    <xf numFmtId="0" fontId="5" fillId="0" borderId="32" xfId="0" applyFont="1" applyFill="1" applyBorder="1"/>
    <xf numFmtId="0" fontId="5" fillId="0" borderId="14" xfId="0" applyFont="1" applyFill="1" applyBorder="1"/>
    <xf numFmtId="0" fontId="5" fillId="0" borderId="14" xfId="0" applyNumberFormat="1" applyFont="1" applyFill="1" applyBorder="1"/>
    <xf numFmtId="6" fontId="6" fillId="0" borderId="16" xfId="0" applyNumberFormat="1" applyFont="1" applyFill="1" applyBorder="1"/>
    <xf numFmtId="6" fontId="6" fillId="0" borderId="32" xfId="0" applyNumberFormat="1" applyFont="1" applyFill="1" applyBorder="1"/>
    <xf numFmtId="0" fontId="6" fillId="9" borderId="56" xfId="0" applyFont="1" applyFill="1" applyBorder="1"/>
    <xf numFmtId="0" fontId="5" fillId="9" borderId="15" xfId="0" applyFont="1" applyFill="1" applyBorder="1"/>
    <xf numFmtId="0" fontId="5" fillId="9" borderId="68" xfId="0" applyFont="1" applyFill="1" applyBorder="1"/>
    <xf numFmtId="0" fontId="5" fillId="0" borderId="50" xfId="0" applyFont="1" applyFill="1" applyBorder="1"/>
    <xf numFmtId="0" fontId="4" fillId="0" borderId="15" xfId="0" applyFont="1" applyFill="1" applyBorder="1"/>
    <xf numFmtId="0" fontId="6" fillId="0" borderId="16" xfId="0" applyFont="1" applyFill="1" applyBorder="1"/>
    <xf numFmtId="5" fontId="6" fillId="0" borderId="17" xfId="0" applyNumberFormat="1" applyFont="1" applyFill="1" applyBorder="1"/>
    <xf numFmtId="0" fontId="5" fillId="0" borderId="51" xfId="0" applyNumberFormat="1" applyFont="1" applyFill="1" applyBorder="1"/>
    <xf numFmtId="0" fontId="6" fillId="0" borderId="52" xfId="0" applyNumberFormat="1" applyFont="1" applyFill="1" applyBorder="1" applyAlignment="1">
      <alignment horizontal="right"/>
    </xf>
    <xf numFmtId="0" fontId="5" fillId="0" borderId="53" xfId="0" applyFont="1" applyFill="1" applyBorder="1"/>
    <xf numFmtId="5" fontId="5" fillId="0" borderId="53" xfId="0" applyNumberFormat="1" applyFont="1" applyFill="1" applyBorder="1"/>
    <xf numFmtId="5" fontId="4" fillId="0" borderId="53" xfId="0" applyNumberFormat="1" applyFont="1" applyFill="1" applyBorder="1"/>
    <xf numFmtId="5" fontId="5" fillId="9" borderId="69" xfId="0" applyNumberFormat="1" applyFont="1" applyFill="1" applyBorder="1"/>
    <xf numFmtId="5" fontId="5" fillId="9" borderId="53" xfId="0" applyNumberFormat="1" applyFont="1" applyFill="1" applyBorder="1"/>
    <xf numFmtId="5" fontId="4" fillId="9" borderId="53" xfId="0" applyNumberFormat="1" applyFont="1" applyFill="1" applyBorder="1"/>
    <xf numFmtId="5" fontId="5" fillId="9" borderId="70" xfId="0" applyNumberFormat="1" applyFont="1" applyFill="1" applyBorder="1"/>
    <xf numFmtId="5" fontId="6" fillId="0" borderId="53" xfId="0" applyNumberFormat="1" applyFont="1" applyFill="1" applyBorder="1"/>
    <xf numFmtId="5" fontId="5" fillId="0" borderId="55" xfId="0" applyNumberFormat="1" applyFont="1" applyFill="1" applyBorder="1"/>
    <xf numFmtId="5" fontId="5" fillId="0" borderId="53" xfId="3" applyNumberFormat="1" applyFont="1" applyFill="1" applyBorder="1"/>
    <xf numFmtId="39" fontId="4" fillId="0" borderId="53" xfId="0" applyNumberFormat="1" applyFont="1" applyFill="1" applyBorder="1"/>
    <xf numFmtId="0" fontId="7" fillId="0" borderId="53" xfId="0" applyFont="1" applyFill="1" applyBorder="1" applyAlignment="1">
      <alignment horizontal="right"/>
    </xf>
    <xf numFmtId="37" fontId="5" fillId="0" borderId="53" xfId="0" applyNumberFormat="1" applyFont="1" applyFill="1" applyBorder="1"/>
    <xf numFmtId="5" fontId="6" fillId="0" borderId="52" xfId="0" applyNumberFormat="1" applyFont="1" applyFill="1" applyBorder="1"/>
    <xf numFmtId="0" fontId="5" fillId="2" borderId="14" xfId="0" applyNumberFormat="1" applyFont="1" applyBorder="1" applyAlignment="1"/>
    <xf numFmtId="0" fontId="5" fillId="2" borderId="14" xfId="0" applyNumberFormat="1" applyFont="1" applyBorder="1" applyAlignment="1">
      <alignment horizontal="right"/>
    </xf>
    <xf numFmtId="0" fontId="5" fillId="0" borderId="32" xfId="0" applyNumberFormat="1" applyFont="1" applyFill="1" applyBorder="1" applyAlignment="1"/>
    <xf numFmtId="0" fontId="5" fillId="0" borderId="15" xfId="0" applyNumberFormat="1" applyFont="1" applyFill="1" applyBorder="1" applyAlignment="1"/>
    <xf numFmtId="0" fontId="4" fillId="2" borderId="0" xfId="0" applyNumberFormat="1" applyFont="1" applyBorder="1" applyAlignment="1"/>
    <xf numFmtId="0" fontId="5" fillId="2" borderId="15" xfId="0" applyNumberFormat="1" applyFont="1" applyBorder="1" applyAlignment="1"/>
    <xf numFmtId="0" fontId="5" fillId="9" borderId="15" xfId="0" applyNumberFormat="1" applyFont="1" applyFill="1" applyBorder="1" applyAlignment="1"/>
    <xf numFmtId="0" fontId="5" fillId="9" borderId="68" xfId="0" applyNumberFormat="1" applyFont="1" applyFill="1" applyBorder="1" applyAlignment="1"/>
    <xf numFmtId="0" fontId="5" fillId="9" borderId="63" xfId="0" applyNumberFormat="1" applyFont="1" applyFill="1" applyBorder="1" applyAlignment="1"/>
    <xf numFmtId="10" fontId="5" fillId="9" borderId="63" xfId="20" applyNumberFormat="1" applyFont="1" applyFill="1" applyBorder="1" applyAlignment="1"/>
    <xf numFmtId="0" fontId="5" fillId="2" borderId="51" xfId="0" applyNumberFormat="1" applyFont="1" applyBorder="1" applyAlignment="1"/>
    <xf numFmtId="0" fontId="6" fillId="2" borderId="52" xfId="0" applyNumberFormat="1" applyFont="1" applyBorder="1" applyAlignment="1">
      <alignment horizontal="right"/>
    </xf>
    <xf numFmtId="0" fontId="5" fillId="2" borderId="53" xfId="0" applyNumberFormat="1" applyFont="1" applyBorder="1" applyAlignment="1"/>
    <xf numFmtId="0" fontId="5" fillId="9" borderId="69" xfId="0" applyNumberFormat="1" applyFont="1" applyFill="1" applyBorder="1" applyAlignment="1"/>
    <xf numFmtId="0" fontId="5" fillId="9" borderId="53" xfId="0" applyNumberFormat="1" applyFont="1" applyFill="1" applyBorder="1" applyAlignment="1"/>
    <xf numFmtId="5" fontId="5" fillId="9" borderId="53" xfId="0" applyNumberFormat="1" applyFont="1" applyFill="1" applyBorder="1" applyAlignment="1"/>
    <xf numFmtId="10" fontId="5" fillId="9" borderId="53" xfId="0" applyNumberFormat="1" applyFont="1" applyFill="1" applyBorder="1" applyAlignment="1"/>
    <xf numFmtId="0" fontId="5" fillId="9" borderId="70" xfId="0" applyNumberFormat="1" applyFont="1" applyFill="1" applyBorder="1" applyAlignment="1"/>
    <xf numFmtId="0" fontId="4" fillId="9" borderId="60" xfId="0" applyFont="1" applyFill="1" applyBorder="1" applyAlignment="1">
      <alignment horizontal="center"/>
    </xf>
    <xf numFmtId="5" fontId="5" fillId="9" borderId="61" xfId="0" applyNumberFormat="1" applyFont="1" applyFill="1" applyBorder="1"/>
    <xf numFmtId="10" fontId="5" fillId="9" borderId="61" xfId="0" applyNumberFormat="1" applyFont="1" applyFill="1" applyBorder="1"/>
    <xf numFmtId="10" fontId="5" fillId="9" borderId="71" xfId="0" applyNumberFormat="1" applyFont="1" applyFill="1" applyBorder="1"/>
    <xf numFmtId="0" fontId="6" fillId="9" borderId="67" xfId="0" applyFont="1" applyFill="1" applyBorder="1"/>
    <xf numFmtId="0" fontId="5" fillId="2" borderId="51" xfId="0" applyFont="1" applyBorder="1" applyAlignment="1">
      <alignment horizontal="right"/>
    </xf>
    <xf numFmtId="5" fontId="8" fillId="2" borderId="53" xfId="0" applyNumberFormat="1" applyFont="1" applyBorder="1"/>
    <xf numFmtId="0" fontId="6" fillId="9" borderId="68" xfId="0" applyFont="1" applyFill="1" applyBorder="1"/>
    <xf numFmtId="5" fontId="6" fillId="9" borderId="71" xfId="0" applyNumberFormat="1" applyFont="1" applyFill="1" applyBorder="1"/>
    <xf numFmtId="0" fontId="6" fillId="2" borderId="72" xfId="0" applyFont="1" applyBorder="1"/>
    <xf numFmtId="6" fontId="5" fillId="2" borderId="15" xfId="0" applyNumberFormat="1" applyFont="1" applyBorder="1"/>
    <xf numFmtId="0" fontId="8" fillId="0" borderId="15" xfId="0" applyFont="1" applyFill="1" applyBorder="1"/>
    <xf numFmtId="0" fontId="7" fillId="2" borderId="15" xfId="0" applyFont="1" applyBorder="1" applyAlignment="1">
      <alignment horizontal="center"/>
    </xf>
    <xf numFmtId="0" fontId="7" fillId="2" borderId="18" xfId="0" applyFont="1" applyBorder="1" applyAlignment="1">
      <alignment horizontal="center"/>
    </xf>
    <xf numFmtId="0" fontId="5" fillId="2" borderId="50" xfId="0" applyFont="1" applyBorder="1" applyAlignment="1">
      <alignment horizontal="center"/>
    </xf>
    <xf numFmtId="5" fontId="5" fillId="2" borderId="73" xfId="0" applyNumberFormat="1" applyFont="1" applyBorder="1"/>
    <xf numFmtId="0" fontId="5" fillId="2" borderId="74" xfId="0" applyFont="1" applyBorder="1"/>
    <xf numFmtId="0" fontId="5" fillId="2" borderId="75" xfId="0" applyFont="1" applyBorder="1"/>
    <xf numFmtId="38" fontId="5" fillId="2" borderId="15" xfId="0" applyNumberFormat="1" applyFont="1" applyBorder="1"/>
    <xf numFmtId="0" fontId="6" fillId="2" borderId="50" xfId="0" applyFont="1" applyBorder="1"/>
    <xf numFmtId="37" fontId="5" fillId="2" borderId="17" xfId="0" applyNumberFormat="1" applyFont="1" applyBorder="1"/>
    <xf numFmtId="37" fontId="4" fillId="2" borderId="53" xfId="0" applyNumberFormat="1" applyFont="1" applyBorder="1"/>
    <xf numFmtId="37" fontId="6" fillId="2" borderId="53" xfId="0" applyNumberFormat="1" applyFont="1" applyBorder="1"/>
    <xf numFmtId="0" fontId="0" fillId="2" borderId="53" xfId="0" applyBorder="1"/>
    <xf numFmtId="3" fontId="6" fillId="2" borderId="53" xfId="0" applyNumberFormat="1" applyFont="1" applyBorder="1"/>
    <xf numFmtId="5" fontId="4" fillId="2" borderId="18" xfId="0" applyNumberFormat="1" applyFont="1" applyBorder="1" applyAlignment="1"/>
    <xf numFmtId="5" fontId="6" fillId="2" borderId="20" xfId="0" applyNumberFormat="1" applyFont="1" applyBorder="1"/>
    <xf numFmtId="0" fontId="0" fillId="2" borderId="14" xfId="0" applyBorder="1"/>
    <xf numFmtId="5" fontId="4" fillId="9" borderId="61" xfId="0" applyNumberFormat="1" applyFont="1" applyFill="1" applyBorder="1"/>
    <xf numFmtId="5" fontId="5" fillId="9" borderId="76" xfId="0" applyNumberFormat="1" applyFont="1" applyFill="1" applyBorder="1"/>
    <xf numFmtId="5" fontId="5" fillId="9" borderId="77" xfId="0" applyNumberFormat="1" applyFont="1" applyFill="1" applyBorder="1"/>
    <xf numFmtId="5" fontId="5" fillId="9" borderId="71" xfId="0" applyNumberFormat="1" applyFont="1" applyFill="1" applyBorder="1"/>
    <xf numFmtId="6" fontId="6" fillId="2" borderId="15" xfId="0" applyNumberFormat="1" applyFont="1" applyBorder="1"/>
    <xf numFmtId="0" fontId="5" fillId="2" borderId="78" xfId="0" applyFont="1" applyBorder="1"/>
    <xf numFmtId="0" fontId="5" fillId="2" borderId="51" xfId="0" applyNumberFormat="1" applyFont="1" applyBorder="1"/>
    <xf numFmtId="0" fontId="5" fillId="2" borderId="14" xfId="0" applyNumberFormat="1" applyFont="1" applyBorder="1" applyAlignment="1">
      <alignment horizontal="center"/>
    </xf>
    <xf numFmtId="5" fontId="5" fillId="2" borderId="52" xfId="0" applyNumberFormat="1" applyFont="1" applyBorder="1"/>
    <xf numFmtId="0" fontId="6" fillId="2" borderId="79" xfId="0" applyFont="1" applyBorder="1" applyAlignment="1">
      <alignment horizontal="center"/>
    </xf>
    <xf numFmtId="0" fontId="6" fillId="2" borderId="47" xfId="0" applyFont="1" applyBorder="1" applyAlignment="1">
      <alignment horizontal="center"/>
    </xf>
    <xf numFmtId="0" fontId="6" fillId="2" borderId="80" xfId="0" applyFont="1" applyBorder="1" applyAlignment="1">
      <alignment horizontal="center"/>
    </xf>
    <xf numFmtId="0" fontId="6" fillId="2" borderId="81" xfId="0" applyFont="1" applyBorder="1" applyAlignment="1">
      <alignment horizontal="center"/>
    </xf>
    <xf numFmtId="0" fontId="6" fillId="2" borderId="82" xfId="0" applyFont="1" applyBorder="1" applyAlignment="1">
      <alignment horizontal="center"/>
    </xf>
    <xf numFmtId="0" fontId="6" fillId="2" borderId="83" xfId="0" applyFont="1" applyBorder="1" applyAlignment="1">
      <alignment horizontal="center"/>
    </xf>
    <xf numFmtId="0" fontId="6" fillId="2" borderId="84" xfId="0" applyFont="1" applyBorder="1" applyAlignment="1">
      <alignment horizontal="center"/>
    </xf>
    <xf numFmtId="0" fontId="6" fillId="2" borderId="78" xfId="0" applyFont="1" applyBorder="1" applyAlignment="1">
      <alignment horizontal="center"/>
    </xf>
    <xf numFmtId="0" fontId="6" fillId="2" borderId="78" xfId="0" applyFont="1" applyBorder="1" applyAlignment="1">
      <alignment horizontal="centerContinuous"/>
    </xf>
    <xf numFmtId="0" fontId="6" fillId="2" borderId="85" xfId="0" applyFont="1" applyBorder="1" applyAlignment="1">
      <alignment horizontal="centerContinuous"/>
    </xf>
    <xf numFmtId="0" fontId="6" fillId="2" borderId="86" xfId="0" applyFont="1" applyBorder="1" applyAlignment="1">
      <alignment horizontal="center"/>
    </xf>
    <xf numFmtId="0" fontId="6" fillId="2" borderId="87" xfId="0" applyFont="1" applyBorder="1" applyAlignment="1">
      <alignment horizontal="center"/>
    </xf>
    <xf numFmtId="0" fontId="5" fillId="2" borderId="81" xfId="0" applyFont="1" applyBorder="1"/>
    <xf numFmtId="37" fontId="5" fillId="2" borderId="14" xfId="0" applyNumberFormat="1" applyFont="1" applyBorder="1"/>
    <xf numFmtId="0" fontId="5" fillId="2" borderId="86" xfId="0" applyFont="1" applyBorder="1"/>
    <xf numFmtId="0" fontId="6" fillId="2" borderId="79" xfId="0" applyFont="1" applyBorder="1"/>
    <xf numFmtId="17" fontId="5" fillId="2" borderId="47" xfId="0" applyNumberFormat="1" applyFont="1" applyBorder="1"/>
    <xf numFmtId="0" fontId="5" fillId="2" borderId="80" xfId="0" applyFont="1" applyBorder="1"/>
    <xf numFmtId="0" fontId="5" fillId="2" borderId="83" xfId="0" applyFont="1" applyBorder="1"/>
    <xf numFmtId="0" fontId="5" fillId="2" borderId="84" xfId="0" applyFont="1" applyBorder="1"/>
    <xf numFmtId="0" fontId="5" fillId="2" borderId="85" xfId="0" applyFont="1" applyBorder="1"/>
    <xf numFmtId="0" fontId="7" fillId="2" borderId="47" xfId="0" applyFont="1" applyBorder="1" applyAlignment="1">
      <alignment horizontal="right"/>
    </xf>
    <xf numFmtId="0" fontId="4" fillId="2" borderId="80" xfId="0" applyFont="1" applyBorder="1" applyAlignment="1">
      <alignment horizontal="center"/>
    </xf>
    <xf numFmtId="0" fontId="16" fillId="2" borderId="86" xfId="0" applyFont="1" applyBorder="1"/>
    <xf numFmtId="10" fontId="5" fillId="2" borderId="85" xfId="0" applyNumberFormat="1" applyFont="1" applyBorder="1"/>
    <xf numFmtId="0" fontId="3" fillId="2" borderId="81" xfId="0" applyFont="1" applyBorder="1"/>
    <xf numFmtId="192" fontId="5" fillId="2" borderId="47" xfId="0" applyNumberFormat="1" applyFont="1" applyBorder="1" applyAlignment="1"/>
    <xf numFmtId="0" fontId="5" fillId="2" borderId="80" xfId="0" applyFont="1" applyBorder="1" applyAlignment="1"/>
    <xf numFmtId="192" fontId="5" fillId="2" borderId="78" xfId="0" applyNumberFormat="1" applyFont="1" applyBorder="1"/>
    <xf numFmtId="10" fontId="5" fillId="2" borderId="78" xfId="20" applyNumberFormat="1" applyFont="1" applyFill="1" applyBorder="1"/>
    <xf numFmtId="5" fontId="5" fillId="2" borderId="47" xfId="0" applyNumberFormat="1" applyFont="1" applyBorder="1"/>
    <xf numFmtId="10" fontId="5" fillId="2" borderId="78" xfId="0" applyNumberFormat="1" applyFont="1" applyBorder="1"/>
    <xf numFmtId="10" fontId="5" fillId="2" borderId="47" xfId="0" applyNumberFormat="1" applyFont="1" applyBorder="1"/>
    <xf numFmtId="10" fontId="5" fillId="2" borderId="47" xfId="0" applyNumberFormat="1" applyFont="1" applyBorder="1" applyAlignment="1">
      <alignment horizontal="centerContinuous"/>
    </xf>
    <xf numFmtId="0" fontId="5" fillId="2" borderId="80" xfId="0" applyFont="1" applyBorder="1" applyAlignment="1">
      <alignment horizontal="centerContinuous"/>
    </xf>
    <xf numFmtId="10" fontId="5" fillId="2" borderId="78" xfId="0" applyNumberFormat="1" applyFont="1" applyBorder="1" applyAlignment="1">
      <alignment horizontal="centerContinuous"/>
    </xf>
    <xf numFmtId="0" fontId="5" fillId="2" borderId="85" xfId="0" applyFont="1" applyBorder="1" applyAlignment="1">
      <alignment horizontal="centerContinuous"/>
    </xf>
    <xf numFmtId="0" fontId="5" fillId="2" borderId="80" xfId="0" applyNumberFormat="1" applyFont="1" applyBorder="1" applyAlignment="1">
      <alignment horizontal="centerContinuous"/>
    </xf>
    <xf numFmtId="0" fontId="5" fillId="2" borderId="85" xfId="0" applyNumberFormat="1" applyFont="1" applyBorder="1" applyAlignment="1">
      <alignment horizontal="centerContinuous"/>
    </xf>
    <xf numFmtId="5" fontId="5" fillId="2" borderId="78" xfId="20" applyNumberFormat="1" applyFont="1" applyFill="1" applyBorder="1" applyAlignment="1">
      <alignment horizontal="right"/>
    </xf>
    <xf numFmtId="0" fontId="5" fillId="2" borderId="85" xfId="0" applyFont="1" applyBorder="1" applyAlignment="1"/>
    <xf numFmtId="5" fontId="5" fillId="2" borderId="78" xfId="0" applyNumberFormat="1" applyFont="1" applyBorder="1"/>
    <xf numFmtId="10" fontId="5" fillId="2" borderId="85" xfId="0" applyNumberFormat="1" applyFont="1" applyBorder="1" applyAlignment="1">
      <alignment horizontal="center"/>
    </xf>
    <xf numFmtId="10" fontId="5" fillId="2" borderId="78" xfId="20" applyNumberFormat="1" applyFont="1" applyFill="1" applyBorder="1" applyAlignment="1">
      <alignment horizontal="right"/>
    </xf>
    <xf numFmtId="214" fontId="7" fillId="2" borderId="47" xfId="0" applyNumberFormat="1" applyFont="1" applyBorder="1" applyAlignment="1"/>
    <xf numFmtId="0" fontId="7" fillId="2" borderId="80" xfId="0" applyFont="1" applyBorder="1" applyAlignment="1">
      <alignment horizontal="center"/>
    </xf>
    <xf numFmtId="0" fontId="6" fillId="2" borderId="86" xfId="0" applyFont="1" applyBorder="1"/>
    <xf numFmtId="6" fontId="6" fillId="2" borderId="85" xfId="0" applyNumberFormat="1" applyFont="1" applyBorder="1"/>
    <xf numFmtId="0" fontId="4" fillId="2" borderId="47" xfId="0" applyFont="1" applyBorder="1" applyAlignment="1">
      <alignment horizontal="center"/>
    </xf>
    <xf numFmtId="10" fontId="5" fillId="2" borderId="78" xfId="0" applyNumberFormat="1" applyFont="1" applyBorder="1" applyAlignment="1">
      <alignment horizontal="center"/>
    </xf>
    <xf numFmtId="0" fontId="5" fillId="2" borderId="47" xfId="0" applyFont="1" applyBorder="1" applyAlignment="1"/>
    <xf numFmtId="6" fontId="5" fillId="2" borderId="85" xfId="0" applyNumberFormat="1" applyFont="1" applyBorder="1"/>
    <xf numFmtId="5" fontId="8" fillId="0" borderId="0" xfId="0" applyNumberFormat="1" applyFont="1" applyFill="1" applyBorder="1"/>
    <xf numFmtId="0" fontId="6" fillId="2" borderId="47" xfId="0" applyFont="1" applyBorder="1" applyAlignment="1">
      <alignment horizontal="centerContinuous"/>
    </xf>
    <xf numFmtId="0" fontId="6" fillId="2" borderId="14" xfId="0" applyFont="1" applyBorder="1" applyAlignment="1">
      <alignment horizontal="centerContinuous"/>
    </xf>
    <xf numFmtId="0" fontId="6" fillId="2" borderId="80" xfId="0" applyFont="1" applyBorder="1" applyAlignment="1">
      <alignment horizontal="centerContinuous"/>
    </xf>
    <xf numFmtId="0" fontId="5" fillId="2" borderId="53" xfId="0" applyFont="1" applyBorder="1" applyAlignment="1">
      <alignment horizontal="right"/>
    </xf>
    <xf numFmtId="37" fontId="6" fillId="0" borderId="53" xfId="0" applyNumberFormat="1" applyFont="1" applyFill="1" applyBorder="1"/>
    <xf numFmtId="0" fontId="34" fillId="2" borderId="0" xfId="0" applyFont="1" applyBorder="1"/>
    <xf numFmtId="0" fontId="8" fillId="9" borderId="57" xfId="0" applyFont="1" applyFill="1" applyBorder="1"/>
    <xf numFmtId="5" fontId="8" fillId="9" borderId="57" xfId="0" applyNumberFormat="1" applyFont="1" applyFill="1" applyBorder="1"/>
    <xf numFmtId="5" fontId="8" fillId="9" borderId="58" xfId="0" applyNumberFormat="1" applyFont="1" applyFill="1" applyBorder="1"/>
    <xf numFmtId="0" fontId="6" fillId="2" borderId="51" xfId="0" applyFont="1" applyBorder="1" applyAlignment="1">
      <alignment horizontal="right"/>
    </xf>
    <xf numFmtId="10" fontId="5" fillId="2" borderId="53" xfId="0" applyNumberFormat="1" applyFont="1" applyBorder="1"/>
    <xf numFmtId="38" fontId="14" fillId="2" borderId="53" xfId="0" applyNumberFormat="1" applyFont="1" applyBorder="1"/>
    <xf numFmtId="0" fontId="6" fillId="2" borderId="26" xfId="0" applyFont="1" applyBorder="1"/>
    <xf numFmtId="0" fontId="5" fillId="2" borderId="88" xfId="0" applyFont="1" applyBorder="1"/>
    <xf numFmtId="5" fontId="6" fillId="2" borderId="27" xfId="0" applyNumberFormat="1" applyFont="1" applyBorder="1"/>
    <xf numFmtId="193" fontId="5" fillId="2" borderId="0" xfId="0" applyNumberFormat="1" applyFont="1" applyBorder="1" applyAlignment="1">
      <alignment horizontal="center"/>
    </xf>
    <xf numFmtId="179" fontId="5" fillId="0" borderId="18" xfId="0" applyNumberFormat="1" applyFont="1" applyFill="1" applyBorder="1"/>
    <xf numFmtId="193" fontId="5" fillId="2" borderId="0" xfId="0" applyNumberFormat="1" applyFont="1" applyBorder="1"/>
    <xf numFmtId="0" fontId="9" fillId="2" borderId="17" xfId="0" applyFont="1" applyBorder="1"/>
    <xf numFmtId="5" fontId="17" fillId="2" borderId="0" xfId="0" applyNumberFormat="1" applyFont="1" applyBorder="1" applyProtection="1"/>
    <xf numFmtId="5" fontId="6" fillId="2" borderId="18" xfId="0" applyNumberFormat="1" applyFont="1" applyBorder="1" applyAlignment="1"/>
    <xf numFmtId="5" fontId="6" fillId="2" borderId="18" xfId="0" applyNumberFormat="1" applyFont="1" applyBorder="1"/>
    <xf numFmtId="0" fontId="29" fillId="2" borderId="0" xfId="0" applyFont="1" applyBorder="1" applyAlignment="1">
      <alignment horizontal="right"/>
    </xf>
    <xf numFmtId="0" fontId="29" fillId="2" borderId="18" xfId="0" applyFont="1" applyBorder="1" applyAlignment="1">
      <alignment horizontal="right"/>
    </xf>
    <xf numFmtId="0" fontId="30" fillId="2" borderId="0" xfId="0" applyFont="1" applyBorder="1" applyAlignment="1"/>
    <xf numFmtId="0" fontId="30" fillId="2" borderId="18" xfId="0" applyFont="1" applyBorder="1" applyAlignment="1"/>
    <xf numFmtId="0" fontId="7" fillId="2" borderId="49" xfId="0" applyFont="1" applyBorder="1"/>
    <xf numFmtId="5" fontId="5" fillId="2" borderId="78" xfId="0" applyNumberFormat="1" applyFont="1" applyBorder="1" applyAlignment="1">
      <alignment horizontal="right"/>
    </xf>
    <xf numFmtId="0" fontId="5" fillId="2" borderId="8" xfId="0" applyFont="1" applyBorder="1" applyAlignment="1"/>
    <xf numFmtId="0" fontId="5" fillId="2" borderId="47" xfId="0" applyNumberFormat="1" applyFont="1" applyBorder="1" applyAlignment="1"/>
    <xf numFmtId="0" fontId="5" fillId="2" borderId="80" xfId="0" applyNumberFormat="1" applyFont="1" applyBorder="1" applyAlignment="1"/>
    <xf numFmtId="0" fontId="8" fillId="2" borderId="81" xfId="0" applyFont="1" applyBorder="1"/>
    <xf numFmtId="189" fontId="5" fillId="2" borderId="17" xfId="0" applyNumberFormat="1" applyFont="1" applyBorder="1" applyAlignment="1">
      <alignment horizontal="center"/>
    </xf>
    <xf numFmtId="192" fontId="4" fillId="2" borderId="6" xfId="0" applyNumberFormat="1" applyFont="1" applyBorder="1" applyAlignment="1"/>
    <xf numFmtId="0" fontId="5" fillId="2" borderId="47" xfId="0" applyNumberFormat="1" applyFont="1" applyBorder="1" applyAlignment="1">
      <alignment horizontal="centerContinuous"/>
    </xf>
    <xf numFmtId="0" fontId="5" fillId="2" borderId="6" xfId="0" applyNumberFormat="1" applyFont="1" applyBorder="1" applyAlignment="1">
      <alignment horizontal="centerContinuous"/>
    </xf>
    <xf numFmtId="0" fontId="5" fillId="2" borderId="47" xfId="0" applyFont="1" applyBorder="1" applyAlignment="1">
      <alignment horizontal="center"/>
    </xf>
    <xf numFmtId="0" fontId="5" fillId="2" borderId="80" xfId="0" applyFont="1" applyBorder="1" applyAlignment="1">
      <alignment horizontal="center"/>
    </xf>
    <xf numFmtId="5" fontId="5" fillId="2" borderId="8" xfId="0" applyNumberFormat="1" applyFont="1" applyBorder="1" applyAlignment="1">
      <alignment horizontal="center"/>
    </xf>
    <xf numFmtId="5" fontId="5" fillId="2" borderId="85" xfId="0" applyNumberFormat="1" applyFont="1" applyBorder="1" applyAlignment="1">
      <alignment horizontal="center"/>
    </xf>
    <xf numFmtId="2" fontId="5" fillId="2" borderId="6" xfId="0" applyNumberFormat="1" applyFont="1" applyBorder="1" applyAlignment="1">
      <alignment horizontal="center"/>
    </xf>
    <xf numFmtId="2" fontId="5" fillId="2" borderId="78" xfId="0" applyNumberFormat="1" applyFont="1" applyBorder="1" applyAlignment="1">
      <alignment horizontal="center"/>
    </xf>
    <xf numFmtId="2" fontId="5" fillId="2" borderId="8" xfId="0" applyNumberFormat="1" applyFont="1" applyBorder="1" applyAlignment="1">
      <alignment horizontal="center"/>
    </xf>
    <xf numFmtId="2" fontId="5" fillId="2" borderId="85" xfId="0" applyNumberFormat="1" applyFont="1" applyBorder="1" applyAlignment="1">
      <alignment horizontal="center"/>
    </xf>
    <xf numFmtId="10" fontId="6" fillId="2" borderId="15" xfId="20" applyNumberFormat="1" applyFont="1" applyFill="1" applyBorder="1" applyAlignment="1"/>
    <xf numFmtId="0" fontId="9" fillId="2" borderId="0" xfId="0" applyFont="1" applyBorder="1" applyAlignment="1"/>
    <xf numFmtId="37" fontId="6" fillId="9" borderId="66" xfId="3" applyNumberFormat="1" applyFont="1" applyFill="1" applyBorder="1"/>
    <xf numFmtId="37" fontId="5" fillId="0" borderId="17" xfId="3" applyNumberFormat="1" applyFont="1" applyBorder="1"/>
    <xf numFmtId="1" fontId="5" fillId="2" borderId="17" xfId="0" applyNumberFormat="1" applyFont="1" applyBorder="1"/>
    <xf numFmtId="0" fontId="6" fillId="9" borderId="17" xfId="0" applyFont="1" applyFill="1" applyBorder="1"/>
    <xf numFmtId="10" fontId="6" fillId="9" borderId="17" xfId="0" applyNumberFormat="1" applyFont="1" applyFill="1" applyBorder="1"/>
    <xf numFmtId="10" fontId="6" fillId="9" borderId="61" xfId="0" applyNumberFormat="1" applyFont="1" applyFill="1" applyBorder="1"/>
    <xf numFmtId="0" fontId="6" fillId="2" borderId="14" xfId="0" applyFont="1" applyBorder="1" applyAlignment="1">
      <alignment horizontal="center"/>
    </xf>
    <xf numFmtId="0" fontId="6" fillId="2" borderId="0" xfId="0" applyFont="1" applyBorder="1" applyAlignment="1">
      <alignment horizontal="centerContinuous"/>
    </xf>
    <xf numFmtId="0" fontId="6" fillId="2" borderId="17" xfId="0" applyFont="1" applyBorder="1" applyAlignment="1">
      <alignment horizontal="centerContinuous"/>
    </xf>
    <xf numFmtId="0" fontId="5" fillId="2" borderId="17" xfId="0" applyFont="1" applyBorder="1" applyAlignment="1">
      <alignment horizontal="centerContinuous"/>
    </xf>
    <xf numFmtId="0" fontId="5" fillId="2" borderId="14" xfId="0" applyNumberFormat="1" applyFont="1" applyBorder="1" applyAlignment="1">
      <alignment horizontal="centerContinuous"/>
    </xf>
    <xf numFmtId="0" fontId="5" fillId="2" borderId="0" xfId="0" applyNumberFormat="1" applyFont="1" applyBorder="1" applyAlignment="1">
      <alignment horizontal="centerContinuous"/>
    </xf>
    <xf numFmtId="0" fontId="5" fillId="2" borderId="17" xfId="0" applyNumberFormat="1" applyFont="1" applyBorder="1" applyAlignment="1">
      <alignment horizontal="centerContinuous"/>
    </xf>
    <xf numFmtId="0" fontId="4" fillId="2" borderId="14" xfId="0" applyFont="1" applyBorder="1" applyAlignment="1">
      <alignment horizontal="center"/>
    </xf>
    <xf numFmtId="0" fontId="5" fillId="2" borderId="14" xfId="0" applyFont="1" applyBorder="1" applyAlignment="1">
      <alignment horizontal="center"/>
    </xf>
    <xf numFmtId="10" fontId="5" fillId="2" borderId="17" xfId="0" applyNumberFormat="1" applyFont="1" applyBorder="1" applyAlignment="1">
      <alignment horizontal="center"/>
    </xf>
    <xf numFmtId="7" fontId="5" fillId="2" borderId="0" xfId="0" applyNumberFormat="1" applyFont="1" applyBorder="1"/>
    <xf numFmtId="10" fontId="5" fillId="2" borderId="17" xfId="0" applyNumberFormat="1" applyFont="1" applyBorder="1"/>
    <xf numFmtId="10" fontId="5" fillId="0" borderId="0" xfId="20" applyNumberFormat="1" applyFont="1" applyBorder="1" applyAlignment="1">
      <alignment horizontal="right"/>
    </xf>
    <xf numFmtId="10" fontId="4" fillId="2" borderId="0" xfId="0" applyNumberFormat="1" applyFont="1" applyBorder="1" applyAlignment="1">
      <alignment horizontal="center"/>
    </xf>
    <xf numFmtId="5" fontId="5" fillId="2" borderId="0" xfId="0" applyNumberFormat="1" applyFont="1" applyBorder="1" applyAlignment="1">
      <alignment horizontal="center"/>
    </xf>
    <xf numFmtId="6" fontId="4" fillId="2" borderId="0" xfId="0" applyNumberFormat="1" applyFont="1" applyBorder="1"/>
    <xf numFmtId="6" fontId="5" fillId="2" borderId="17" xfId="0" applyNumberFormat="1" applyFont="1" applyBorder="1"/>
    <xf numFmtId="0" fontId="38" fillId="2" borderId="14" xfId="0" applyFont="1" applyBorder="1"/>
    <xf numFmtId="0" fontId="38" fillId="2" borderId="0" xfId="0" applyFont="1" applyBorder="1"/>
    <xf numFmtId="0" fontId="38" fillId="2" borderId="17" xfId="0" applyFont="1" applyBorder="1"/>
    <xf numFmtId="10" fontId="5" fillId="2" borderId="47" xfId="0" applyNumberFormat="1" applyFont="1" applyBorder="1" applyAlignment="1"/>
    <xf numFmtId="10" fontId="5" fillId="0" borderId="6" xfId="20" applyNumberFormat="1" applyFont="1" applyBorder="1" applyAlignment="1"/>
    <xf numFmtId="10" fontId="5" fillId="2" borderId="6" xfId="0" applyNumberFormat="1" applyFont="1" applyBorder="1" applyAlignment="1"/>
    <xf numFmtId="10" fontId="5" fillId="0" borderId="78" xfId="20" applyNumberFormat="1" applyFont="1" applyBorder="1" applyAlignment="1"/>
    <xf numFmtId="0" fontId="43" fillId="2" borderId="15" xfId="0" applyFont="1" applyBorder="1"/>
    <xf numFmtId="0" fontId="5" fillId="9" borderId="48" xfId="0" applyFont="1" applyFill="1" applyBorder="1" applyAlignment="1"/>
    <xf numFmtId="167" fontId="5" fillId="2" borderId="0" xfId="20" applyNumberFormat="1" applyFont="1" applyFill="1" applyBorder="1" applyAlignment="1">
      <alignment horizontal="center"/>
    </xf>
    <xf numFmtId="5" fontId="5" fillId="2" borderId="6" xfId="0" applyNumberFormat="1" applyFont="1" applyBorder="1" applyAlignment="1">
      <alignment horizontal="center"/>
    </xf>
    <xf numFmtId="5" fontId="5" fillId="2" borderId="78" xfId="0" applyNumberFormat="1" applyFont="1" applyBorder="1" applyAlignment="1">
      <alignment horizontal="center"/>
    </xf>
    <xf numFmtId="37" fontId="5" fillId="2" borderId="17" xfId="0" applyNumberFormat="1" applyFont="1" applyBorder="1" applyAlignment="1">
      <alignment horizontal="center"/>
    </xf>
    <xf numFmtId="0" fontId="8" fillId="2" borderId="14" xfId="0" applyFont="1" applyBorder="1" applyAlignment="1">
      <alignment horizontal="right"/>
    </xf>
    <xf numFmtId="0" fontId="6" fillId="2" borderId="83" xfId="0" applyFont="1" applyBorder="1"/>
    <xf numFmtId="37" fontId="5" fillId="2" borderId="17" xfId="0" applyNumberFormat="1" applyFont="1" applyBorder="1" applyAlignment="1">
      <alignment horizontal="right"/>
    </xf>
    <xf numFmtId="17" fontId="5" fillId="2" borderId="47" xfId="3" applyNumberFormat="1" applyFont="1" applyFill="1" applyBorder="1"/>
    <xf numFmtId="17" fontId="5" fillId="2" borderId="78" xfId="3" applyNumberFormat="1" applyFont="1" applyFill="1" applyBorder="1"/>
    <xf numFmtId="10" fontId="16" fillId="10" borderId="89" xfId="0" applyNumberFormat="1" applyFont="1" applyFill="1" applyBorder="1" applyAlignment="1"/>
    <xf numFmtId="10" fontId="16" fillId="10" borderId="90" xfId="0" applyNumberFormat="1" applyFont="1" applyFill="1" applyBorder="1" applyAlignment="1"/>
    <xf numFmtId="38" fontId="5" fillId="10" borderId="91" xfId="0" applyNumberFormat="1" applyFont="1" applyFill="1" applyBorder="1" applyAlignment="1"/>
    <xf numFmtId="6" fontId="16" fillId="2" borderId="0" xfId="0" applyNumberFormat="1" applyFont="1" applyBorder="1" applyAlignment="1"/>
    <xf numFmtId="6" fontId="16" fillId="2" borderId="0" xfId="0" applyNumberFormat="1" applyFont="1" applyBorder="1" applyAlignment="1">
      <alignment horizontal="centerContinuous"/>
    </xf>
    <xf numFmtId="0" fontId="8" fillId="2" borderId="0" xfId="0" applyFont="1" applyBorder="1" applyAlignment="1">
      <alignment horizontal="right"/>
    </xf>
    <xf numFmtId="5" fontId="6" fillId="2" borderId="17" xfId="0" applyNumberFormat="1" applyFont="1" applyBorder="1"/>
    <xf numFmtId="0" fontId="6" fillId="2" borderId="0" xfId="0" applyNumberFormat="1" applyFont="1" applyBorder="1" applyAlignment="1">
      <alignment horizontal="right"/>
    </xf>
    <xf numFmtId="0" fontId="6" fillId="2" borderId="92" xfId="0" applyFont="1" applyBorder="1"/>
    <xf numFmtId="0" fontId="5" fillId="2" borderId="93" xfId="0" applyFont="1" applyBorder="1"/>
    <xf numFmtId="0" fontId="5" fillId="2" borderId="93" xfId="0" applyFont="1" applyBorder="1" applyAlignment="1"/>
    <xf numFmtId="5" fontId="6" fillId="2" borderId="94" xfId="3" applyNumberFormat="1" applyFont="1" applyFill="1" applyBorder="1" applyAlignment="1"/>
    <xf numFmtId="0" fontId="0" fillId="2" borderId="19" xfId="0" applyBorder="1"/>
    <xf numFmtId="0" fontId="6" fillId="2" borderId="18" xfId="0" applyNumberFormat="1" applyFont="1" applyBorder="1" applyAlignment="1">
      <alignment horizontal="right"/>
    </xf>
    <xf numFmtId="0" fontId="7" fillId="2" borderId="0" xfId="0" applyNumberFormat="1" applyFont="1" applyBorder="1" applyAlignment="1">
      <alignment horizontal="right"/>
    </xf>
    <xf numFmtId="0" fontId="7" fillId="2" borderId="18" xfId="0" applyNumberFormat="1" applyFont="1" applyBorder="1" applyAlignment="1">
      <alignment horizontal="right"/>
    </xf>
    <xf numFmtId="10" fontId="3" fillId="2" borderId="0" xfId="20" applyNumberFormat="1" applyFont="1" applyFill="1" applyBorder="1" applyAlignment="1"/>
    <xf numFmtId="10" fontId="5" fillId="2" borderId="0" xfId="20" applyNumberFormat="1" applyFont="1" applyFill="1" applyBorder="1" applyAlignment="1"/>
    <xf numFmtId="0" fontId="5" fillId="0" borderId="0" xfId="18" applyFont="1" applyBorder="1"/>
    <xf numFmtId="0" fontId="5" fillId="0" borderId="0" xfId="18" applyNumberFormat="1" applyFont="1" applyBorder="1"/>
    <xf numFmtId="0" fontId="5" fillId="0" borderId="0" xfId="18" applyFont="1"/>
    <xf numFmtId="0" fontId="5" fillId="0" borderId="51" xfId="18" applyFont="1" applyBorder="1"/>
    <xf numFmtId="0" fontId="5" fillId="2" borderId="32" xfId="0" applyFont="1" applyBorder="1" applyAlignment="1">
      <alignment horizontal="center"/>
    </xf>
    <xf numFmtId="0" fontId="5" fillId="0" borderId="14" xfId="18" applyFont="1" applyBorder="1" applyAlignment="1">
      <alignment horizontal="center"/>
    </xf>
    <xf numFmtId="0" fontId="5" fillId="0" borderId="19" xfId="18" applyFont="1" applyBorder="1" applyAlignment="1">
      <alignment horizontal="center"/>
    </xf>
    <xf numFmtId="0" fontId="5" fillId="0" borderId="53" xfId="18" applyFont="1" applyBorder="1"/>
    <xf numFmtId="0" fontId="5" fillId="0" borderId="0" xfId="18" applyFont="1" applyBorder="1" applyAlignment="1">
      <alignment horizontal="center"/>
    </xf>
    <xf numFmtId="10" fontId="5" fillId="0" borderId="0" xfId="18" applyNumberFormat="1" applyFont="1" applyBorder="1" applyAlignment="1">
      <alignment horizontal="center"/>
    </xf>
    <xf numFmtId="0" fontId="5" fillId="0" borderId="18" xfId="18" applyFont="1" applyBorder="1" applyAlignment="1">
      <alignment horizontal="center"/>
    </xf>
    <xf numFmtId="0" fontId="4" fillId="0" borderId="53" xfId="18" applyFont="1" applyBorder="1" applyAlignment="1">
      <alignment horizontal="center"/>
    </xf>
    <xf numFmtId="0" fontId="4" fillId="2" borderId="15" xfId="0" applyFont="1" applyBorder="1" applyAlignment="1">
      <alignment horizontal="center"/>
    </xf>
    <xf numFmtId="0" fontId="4" fillId="0" borderId="0" xfId="18" applyFont="1" applyBorder="1" applyAlignment="1">
      <alignment horizontal="center"/>
    </xf>
    <xf numFmtId="192" fontId="4" fillId="0" borderId="0" xfId="18" applyNumberFormat="1" applyFont="1" applyBorder="1" applyAlignment="1">
      <alignment horizontal="center"/>
    </xf>
    <xf numFmtId="0" fontId="4" fillId="0" borderId="18" xfId="18" applyFont="1" applyBorder="1" applyAlignment="1">
      <alignment horizontal="center"/>
    </xf>
    <xf numFmtId="0" fontId="5" fillId="0" borderId="18" xfId="18" applyFont="1" applyBorder="1"/>
    <xf numFmtId="17" fontId="5" fillId="0" borderId="53" xfId="18" applyNumberFormat="1" applyFont="1" applyBorder="1" applyAlignment="1">
      <alignment horizontal="center"/>
    </xf>
    <xf numFmtId="37" fontId="5" fillId="2" borderId="15" xfId="0" applyNumberFormat="1" applyFont="1" applyBorder="1" applyAlignment="1">
      <alignment horizontal="center"/>
    </xf>
    <xf numFmtId="177" fontId="5" fillId="0" borderId="0" xfId="18" applyNumberFormat="1" applyFont="1" applyBorder="1" applyAlignment="1">
      <alignment horizontal="center"/>
    </xf>
    <xf numFmtId="192" fontId="5" fillId="0" borderId="0" xfId="18" applyNumberFormat="1" applyFont="1" applyBorder="1" applyAlignment="1">
      <alignment horizontal="center"/>
    </xf>
    <xf numFmtId="37" fontId="5" fillId="0" borderId="0" xfId="20" applyNumberFormat="1" applyFont="1" applyBorder="1" applyAlignment="1"/>
    <xf numFmtId="5" fontId="5" fillId="0" borderId="0" xfId="18" applyNumberFormat="1" applyFont="1" applyBorder="1" applyAlignment="1"/>
    <xf numFmtId="5" fontId="5" fillId="0" borderId="18" xfId="18" applyNumberFormat="1" applyFont="1" applyBorder="1" applyAlignment="1"/>
    <xf numFmtId="0" fontId="5" fillId="0" borderId="52" xfId="18" applyFont="1" applyBorder="1"/>
    <xf numFmtId="0" fontId="5" fillId="0" borderId="38" xfId="18" applyFont="1" applyBorder="1" applyAlignment="1"/>
    <xf numFmtId="0" fontId="5" fillId="0" borderId="38" xfId="18" applyFont="1" applyBorder="1" applyAlignment="1">
      <alignment horizontal="right"/>
    </xf>
    <xf numFmtId="5" fontId="5" fillId="0" borderId="39" xfId="18" applyNumberFormat="1" applyFont="1" applyBorder="1" applyAlignment="1"/>
    <xf numFmtId="0" fontId="42" fillId="0" borderId="0" xfId="18" applyFont="1" applyAlignment="1">
      <alignment horizontal="center"/>
    </xf>
    <xf numFmtId="0" fontId="5" fillId="9" borderId="57" xfId="18" applyFont="1" applyFill="1" applyBorder="1" applyAlignment="1">
      <alignment horizontal="centerContinuous"/>
    </xf>
    <xf numFmtId="0" fontId="5" fillId="9" borderId="95" xfId="18" applyFont="1" applyFill="1" applyBorder="1" applyAlignment="1">
      <alignment horizontal="centerContinuous"/>
    </xf>
    <xf numFmtId="0" fontId="8" fillId="2" borderId="20" xfId="0" applyFont="1" applyBorder="1" applyAlignment="1"/>
    <xf numFmtId="191" fontId="4" fillId="0" borderId="0" xfId="0" applyNumberFormat="1" applyFont="1" applyFill="1" applyBorder="1"/>
    <xf numFmtId="5" fontId="43" fillId="2" borderId="0" xfId="0" applyNumberFormat="1" applyFont="1" applyBorder="1"/>
    <xf numFmtId="5" fontId="43" fillId="2" borderId="53" xfId="0" applyNumberFormat="1" applyFont="1" applyBorder="1"/>
    <xf numFmtId="0" fontId="6" fillId="2" borderId="32" xfId="0" applyFont="1" applyBorder="1" applyAlignment="1">
      <alignment horizontal="centerContinuous"/>
    </xf>
    <xf numFmtId="0" fontId="7" fillId="2" borderId="15" xfId="0" applyFont="1" applyBorder="1" applyAlignment="1">
      <alignment horizontal="right"/>
    </xf>
    <xf numFmtId="10" fontId="4" fillId="2" borderId="18" xfId="0" applyNumberFormat="1" applyFont="1" applyBorder="1"/>
    <xf numFmtId="5" fontId="5" fillId="2" borderId="15" xfId="0" applyNumberFormat="1" applyFont="1" applyBorder="1"/>
    <xf numFmtId="0" fontId="2" fillId="0" borderId="0" xfId="19"/>
    <xf numFmtId="0" fontId="2" fillId="0" borderId="79" xfId="19" applyBorder="1"/>
    <xf numFmtId="0" fontId="2" fillId="0" borderId="47" xfId="19" applyBorder="1"/>
    <xf numFmtId="0" fontId="2" fillId="0" borderId="14" xfId="19" applyBorder="1"/>
    <xf numFmtId="0" fontId="2" fillId="0" borderId="19" xfId="19" applyBorder="1"/>
    <xf numFmtId="0" fontId="6" fillId="0" borderId="32" xfId="19" applyFont="1" applyBorder="1" applyAlignment="1">
      <alignment horizontal="centerContinuous"/>
    </xf>
    <xf numFmtId="0" fontId="2" fillId="0" borderId="14" xfId="19" applyBorder="1" applyAlignment="1">
      <alignment horizontal="centerContinuous"/>
    </xf>
    <xf numFmtId="0" fontId="2" fillId="0" borderId="19" xfId="19" applyBorder="1" applyAlignment="1">
      <alignment horizontal="centerContinuous"/>
    </xf>
    <xf numFmtId="0" fontId="2" fillId="0" borderId="83" xfId="19" applyBorder="1"/>
    <xf numFmtId="0" fontId="44" fillId="8" borderId="6" xfId="19" applyFont="1" applyFill="1" applyBorder="1" applyAlignment="1">
      <alignment horizontal="center"/>
    </xf>
    <xf numFmtId="0" fontId="8" fillId="0" borderId="0" xfId="19" applyFont="1" applyBorder="1" applyAlignment="1">
      <alignment horizontal="center"/>
    </xf>
    <xf numFmtId="0" fontId="8" fillId="0" borderId="18" xfId="19" applyFont="1" applyBorder="1" applyAlignment="1">
      <alignment horizontal="center"/>
    </xf>
    <xf numFmtId="0" fontId="8" fillId="0" borderId="15" xfId="19" applyFont="1" applyBorder="1"/>
    <xf numFmtId="0" fontId="2" fillId="0" borderId="0" xfId="19" applyBorder="1"/>
    <xf numFmtId="0" fontId="2" fillId="0" borderId="18" xfId="19" applyBorder="1"/>
    <xf numFmtId="0" fontId="2" fillId="0" borderId="15" xfId="19" applyBorder="1"/>
    <xf numFmtId="0" fontId="2" fillId="0" borderId="6" xfId="19" applyBorder="1"/>
    <xf numFmtId="0" fontId="6" fillId="0" borderId="6" xfId="19" applyFont="1" applyBorder="1" applyAlignment="1">
      <alignment horizontal="centerContinuous"/>
    </xf>
    <xf numFmtId="0" fontId="2" fillId="0" borderId="0" xfId="19" applyBorder="1" applyAlignment="1">
      <alignment horizontal="centerContinuous"/>
    </xf>
    <xf numFmtId="0" fontId="2" fillId="0" borderId="18" xfId="19" applyBorder="1" applyAlignment="1">
      <alignment horizontal="centerContinuous"/>
    </xf>
    <xf numFmtId="0" fontId="44" fillId="8" borderId="15" xfId="19" applyFont="1" applyFill="1" applyBorder="1"/>
    <xf numFmtId="0" fontId="2" fillId="0" borderId="0" xfId="19" applyBorder="1" applyAlignment="1">
      <alignment horizontal="center"/>
    </xf>
    <xf numFmtId="0" fontId="2" fillId="0" borderId="18" xfId="19" applyBorder="1" applyAlignment="1">
      <alignment horizontal="center"/>
    </xf>
    <xf numFmtId="191" fontId="3" fillId="8" borderId="18" xfId="19" applyNumberFormat="1" applyFont="1" applyFill="1" applyBorder="1" applyAlignment="1">
      <alignment horizontal="center"/>
    </xf>
    <xf numFmtId="191" fontId="3" fillId="8" borderId="0" xfId="19" applyNumberFormat="1" applyFont="1" applyFill="1" applyBorder="1" applyAlignment="1">
      <alignment horizontal="center"/>
    </xf>
    <xf numFmtId="17" fontId="44" fillId="8" borderId="6" xfId="19" applyNumberFormat="1" applyFont="1" applyFill="1" applyBorder="1" applyAlignment="1">
      <alignment horizontal="center"/>
    </xf>
    <xf numFmtId="17" fontId="44" fillId="8" borderId="0" xfId="19" applyNumberFormat="1" applyFont="1" applyFill="1" applyBorder="1" applyAlignment="1">
      <alignment horizontal="center"/>
    </xf>
    <xf numFmtId="17" fontId="44" fillId="8" borderId="18" xfId="19" applyNumberFormat="1" applyFont="1" applyFill="1" applyBorder="1" applyAlignment="1">
      <alignment horizontal="center"/>
    </xf>
    <xf numFmtId="0" fontId="8" fillId="0" borderId="15" xfId="19" applyFont="1" applyBorder="1" applyAlignment="1"/>
    <xf numFmtId="0" fontId="2" fillId="0" borderId="0" xfId="19" applyBorder="1" applyAlignment="1"/>
    <xf numFmtId="217" fontId="3" fillId="8" borderId="18" xfId="19" applyNumberFormat="1" applyFont="1" applyFill="1" applyBorder="1" applyAlignment="1">
      <alignment horizontal="center"/>
    </xf>
    <xf numFmtId="0" fontId="6" fillId="0" borderId="6" xfId="19" applyFont="1" applyBorder="1" applyAlignment="1">
      <alignment horizontal="center"/>
    </xf>
    <xf numFmtId="0" fontId="6" fillId="0" borderId="0" xfId="19" applyFont="1" applyBorder="1" applyAlignment="1">
      <alignment horizontal="center"/>
    </xf>
    <xf numFmtId="0" fontId="6" fillId="0" borderId="8" xfId="19" applyFont="1" applyBorder="1" applyAlignment="1">
      <alignment horizontal="center"/>
    </xf>
    <xf numFmtId="0" fontId="6" fillId="0" borderId="18" xfId="19" applyFont="1" applyBorder="1" applyAlignment="1">
      <alignment horizontal="center"/>
    </xf>
    <xf numFmtId="0" fontId="6" fillId="0" borderId="15" xfId="19" applyFont="1" applyBorder="1" applyAlignment="1">
      <alignment horizontal="center"/>
    </xf>
    <xf numFmtId="0" fontId="7" fillId="0" borderId="83" xfId="19" applyFont="1" applyBorder="1" applyAlignment="1">
      <alignment horizontal="center"/>
    </xf>
    <xf numFmtId="0" fontId="7" fillId="0" borderId="6" xfId="19" applyFont="1" applyBorder="1" applyAlignment="1">
      <alignment horizontal="center"/>
    </xf>
    <xf numFmtId="0" fontId="7" fillId="0" borderId="0" xfId="19" applyFont="1" applyBorder="1" applyAlignment="1">
      <alignment horizontal="center"/>
    </xf>
    <xf numFmtId="0" fontId="7" fillId="0" borderId="18" xfId="19" applyFont="1" applyBorder="1" applyAlignment="1">
      <alignment horizontal="center"/>
    </xf>
    <xf numFmtId="0" fontId="7" fillId="0" borderId="15" xfId="19" applyFont="1" applyBorder="1" applyAlignment="1">
      <alignment horizontal="center"/>
    </xf>
    <xf numFmtId="17" fontId="3" fillId="8" borderId="83" xfId="19" applyNumberFormat="1" applyFont="1" applyFill="1" applyBorder="1" applyAlignment="1">
      <alignment horizontal="center"/>
    </xf>
    <xf numFmtId="191" fontId="3" fillId="8" borderId="6" xfId="19" applyNumberFormat="1" applyFont="1" applyFill="1" applyBorder="1" applyAlignment="1">
      <alignment horizontal="center"/>
    </xf>
    <xf numFmtId="191" fontId="15" fillId="8" borderId="18" xfId="19" applyNumberFormat="1" applyFont="1" applyFill="1" applyBorder="1" applyAlignment="1">
      <alignment horizontal="center"/>
    </xf>
    <xf numFmtId="191" fontId="5" fillId="0" borderId="15" xfId="19" applyNumberFormat="1" applyFont="1" applyBorder="1" applyAlignment="1">
      <alignment horizontal="center"/>
    </xf>
    <xf numFmtId="191" fontId="5" fillId="0" borderId="0" xfId="19" applyNumberFormat="1" applyFont="1" applyBorder="1" applyAlignment="1">
      <alignment horizontal="center"/>
    </xf>
    <xf numFmtId="17" fontId="2" fillId="0" borderId="83" xfId="19" applyNumberFormat="1" applyBorder="1" applyAlignment="1">
      <alignment horizontal="center"/>
    </xf>
    <xf numFmtId="191" fontId="5" fillId="0" borderId="6" xfId="19" applyNumberFormat="1" applyFont="1" applyBorder="1" applyAlignment="1">
      <alignment horizontal="center"/>
    </xf>
    <xf numFmtId="191" fontId="5" fillId="0" borderId="18" xfId="19" applyNumberFormat="1" applyFont="1" applyBorder="1" applyAlignment="1">
      <alignment horizontal="center"/>
    </xf>
    <xf numFmtId="0" fontId="2" fillId="0" borderId="84" xfId="19" applyBorder="1"/>
    <xf numFmtId="0" fontId="2" fillId="0" borderId="78" xfId="19" applyBorder="1"/>
    <xf numFmtId="0" fontId="2" fillId="0" borderId="17" xfId="19" applyBorder="1"/>
    <xf numFmtId="0" fontId="2" fillId="0" borderId="20" xfId="19" applyBorder="1"/>
    <xf numFmtId="0" fontId="2" fillId="0" borderId="16" xfId="19" applyBorder="1"/>
    <xf numFmtId="0" fontId="42" fillId="0" borderId="0" xfId="19" applyFont="1" applyAlignment="1">
      <alignment horizontal="center"/>
    </xf>
    <xf numFmtId="0" fontId="31" fillId="8" borderId="0" xfId="0" applyFont="1" applyFill="1" applyBorder="1"/>
    <xf numFmtId="0" fontId="3" fillId="8" borderId="0" xfId="0" applyFont="1" applyFill="1" applyBorder="1" applyAlignment="1">
      <alignment horizontal="right"/>
    </xf>
    <xf numFmtId="3" fontId="3" fillId="8" borderId="17" xfId="0" applyNumberFormat="1" applyFont="1" applyFill="1" applyBorder="1"/>
    <xf numFmtId="0" fontId="10" fillId="8" borderId="18" xfId="0" applyFont="1" applyFill="1" applyBorder="1"/>
    <xf numFmtId="0" fontId="3" fillId="8" borderId="20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center"/>
    </xf>
    <xf numFmtId="0" fontId="3" fillId="8" borderId="18" xfId="0" applyFont="1" applyFill="1" applyBorder="1"/>
    <xf numFmtId="0" fontId="3" fillId="8" borderId="17" xfId="0" applyFont="1" applyFill="1" applyBorder="1" applyAlignment="1">
      <alignment horizontal="center"/>
    </xf>
    <xf numFmtId="0" fontId="3" fillId="8" borderId="20" xfId="0" applyFont="1" applyFill="1" applyBorder="1"/>
    <xf numFmtId="10" fontId="23" fillId="8" borderId="19" xfId="0" applyNumberFormat="1" applyFont="1" applyFill="1" applyBorder="1" applyAlignment="1">
      <alignment horizontal="center"/>
    </xf>
    <xf numFmtId="5" fontId="10" fillId="8" borderId="0" xfId="0" applyNumberFormat="1" applyFont="1" applyFill="1" applyBorder="1" applyAlignment="1"/>
    <xf numFmtId="5" fontId="3" fillId="8" borderId="0" xfId="0" applyNumberFormat="1" applyFont="1" applyFill="1" applyBorder="1"/>
    <xf numFmtId="189" fontId="3" fillId="8" borderId="0" xfId="0" applyNumberFormat="1" applyFont="1" applyFill="1" applyBorder="1" applyAlignment="1">
      <alignment horizontal="center"/>
    </xf>
    <xf numFmtId="189" fontId="18" fillId="8" borderId="0" xfId="0" applyNumberFormat="1" applyFont="1" applyFill="1" applyBorder="1" applyAlignment="1">
      <alignment horizontal="center"/>
    </xf>
    <xf numFmtId="0" fontId="3" fillId="8" borderId="18" xfId="0" applyFont="1" applyFill="1" applyBorder="1" applyAlignment="1"/>
    <xf numFmtId="5" fontId="10" fillId="8" borderId="20" xfId="0" applyNumberFormat="1" applyFont="1" applyFill="1" applyBorder="1" applyAlignment="1"/>
    <xf numFmtId="0" fontId="24" fillId="8" borderId="19" xfId="0" applyFont="1" applyFill="1" applyBorder="1" applyAlignment="1">
      <alignment horizontal="center"/>
    </xf>
    <xf numFmtId="10" fontId="3" fillId="8" borderId="0" xfId="0" applyNumberFormat="1" applyFont="1" applyFill="1" applyBorder="1"/>
    <xf numFmtId="10" fontId="3" fillId="8" borderId="0" xfId="0" applyNumberFormat="1" applyFont="1" applyFill="1" applyBorder="1" applyAlignment="1"/>
    <xf numFmtId="10" fontId="3" fillId="8" borderId="17" xfId="0" applyNumberFormat="1" applyFont="1" applyFill="1" applyBorder="1"/>
    <xf numFmtId="0" fontId="3" fillId="8" borderId="0" xfId="0" applyFont="1" applyFill="1" applyBorder="1"/>
    <xf numFmtId="10" fontId="3" fillId="8" borderId="14" xfId="0" applyNumberFormat="1" applyFont="1" applyFill="1" applyBorder="1"/>
    <xf numFmtId="9" fontId="3" fillId="8" borderId="17" xfId="20" applyFont="1" applyFill="1" applyBorder="1" applyAlignment="1">
      <alignment horizontal="center"/>
    </xf>
    <xf numFmtId="10" fontId="3" fillId="8" borderId="0" xfId="0" applyNumberFormat="1" applyFont="1" applyFill="1" applyBorder="1" applyAlignment="1">
      <alignment horizontal="right"/>
    </xf>
    <xf numFmtId="10" fontId="3" fillId="8" borderId="18" xfId="0" applyNumberFormat="1" applyFont="1" applyFill="1" applyBorder="1" applyAlignment="1">
      <alignment horizontal="right"/>
    </xf>
    <xf numFmtId="10" fontId="18" fillId="8" borderId="0" xfId="0" applyNumberFormat="1" applyFont="1" applyFill="1" applyBorder="1" applyAlignment="1">
      <alignment horizontal="right"/>
    </xf>
    <xf numFmtId="10" fontId="18" fillId="8" borderId="18" xfId="0" applyNumberFormat="1" applyFont="1" applyFill="1" applyBorder="1" applyAlignment="1">
      <alignment horizontal="right"/>
    </xf>
    <xf numFmtId="10" fontId="3" fillId="8" borderId="0" xfId="0" applyNumberFormat="1" applyFont="1" applyFill="1" applyBorder="1" applyAlignment="1">
      <alignment horizontal="center"/>
    </xf>
    <xf numFmtId="10" fontId="3" fillId="8" borderId="17" xfId="0" applyNumberFormat="1" applyFont="1" applyFill="1" applyBorder="1" applyAlignment="1">
      <alignment horizontal="center"/>
    </xf>
    <xf numFmtId="10" fontId="3" fillId="8" borderId="20" xfId="0" applyNumberFormat="1" applyFont="1" applyFill="1" applyBorder="1" applyAlignment="1">
      <alignment horizontal="center"/>
    </xf>
    <xf numFmtId="5" fontId="3" fillId="8" borderId="18" xfId="0" applyNumberFormat="1" applyFont="1" applyFill="1" applyBorder="1"/>
    <xf numFmtId="5" fontId="10" fillId="8" borderId="18" xfId="0" applyNumberFormat="1" applyFont="1" applyFill="1" applyBorder="1"/>
    <xf numFmtId="5" fontId="11" fillId="8" borderId="18" xfId="0" applyNumberFormat="1" applyFont="1" applyFill="1" applyBorder="1"/>
    <xf numFmtId="5" fontId="18" fillId="8" borderId="18" xfId="0" applyNumberFormat="1" applyFont="1" applyFill="1" applyBorder="1"/>
    <xf numFmtId="10" fontId="23" fillId="8" borderId="0" xfId="0" applyNumberFormat="1" applyFont="1" applyFill="1" applyBorder="1" applyAlignment="1"/>
    <xf numFmtId="2" fontId="10" fillId="8" borderId="0" xfId="0" applyNumberFormat="1" applyFont="1" applyFill="1" applyBorder="1" applyAlignment="1">
      <alignment horizontal="center"/>
    </xf>
    <xf numFmtId="2" fontId="10" fillId="8" borderId="17" xfId="0" applyNumberFormat="1" applyFont="1" applyFill="1" applyBorder="1" applyAlignment="1">
      <alignment horizontal="center"/>
    </xf>
    <xf numFmtId="0" fontId="3" fillId="8" borderId="19" xfId="0" applyFont="1" applyFill="1" applyBorder="1"/>
    <xf numFmtId="10" fontId="3" fillId="8" borderId="20" xfId="0" applyNumberFormat="1" applyFont="1" applyFill="1" applyBorder="1"/>
    <xf numFmtId="0" fontId="30" fillId="0" borderId="21" xfId="0" applyFont="1" applyFill="1" applyBorder="1"/>
    <xf numFmtId="0" fontId="5" fillId="0" borderId="21" xfId="0" applyFont="1" applyFill="1" applyBorder="1"/>
    <xf numFmtId="0" fontId="22" fillId="0" borderId="22" xfId="0" applyFont="1" applyFill="1" applyBorder="1"/>
    <xf numFmtId="9" fontId="5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/>
    <xf numFmtId="10" fontId="5" fillId="0" borderId="18" xfId="0" applyNumberFormat="1" applyFont="1" applyFill="1" applyBorder="1"/>
    <xf numFmtId="0" fontId="5" fillId="0" borderId="16" xfId="0" applyFont="1" applyFill="1" applyBorder="1"/>
    <xf numFmtId="0" fontId="5" fillId="0" borderId="17" xfId="0" applyFont="1" applyFill="1" applyBorder="1" applyAlignment="1"/>
    <xf numFmtId="37" fontId="10" fillId="8" borderId="18" xfId="0" applyNumberFormat="1" applyFont="1" applyFill="1" applyBorder="1" applyAlignment="1"/>
    <xf numFmtId="193" fontId="3" fillId="8" borderId="0" xfId="0" applyNumberFormat="1" applyFont="1" applyFill="1" applyBorder="1" applyAlignment="1">
      <alignment horizontal="center"/>
    </xf>
    <xf numFmtId="10" fontId="10" fillId="8" borderId="0" xfId="0" applyNumberFormat="1" applyFont="1" applyFill="1" applyBorder="1" applyAlignment="1">
      <alignment horizontal="center"/>
    </xf>
    <xf numFmtId="179" fontId="10" fillId="8" borderId="18" xfId="0" applyNumberFormat="1" applyFont="1" applyFill="1" applyBorder="1"/>
    <xf numFmtId="10" fontId="10" fillId="8" borderId="18" xfId="0" applyNumberFormat="1" applyFont="1" applyFill="1" applyBorder="1"/>
    <xf numFmtId="10" fontId="10" fillId="8" borderId="20" xfId="0" applyNumberFormat="1" applyFont="1" applyFill="1" applyBorder="1"/>
    <xf numFmtId="0" fontId="40" fillId="8" borderId="0" xfId="0" applyFont="1" applyFill="1" applyBorder="1"/>
    <xf numFmtId="0" fontId="3" fillId="8" borderId="14" xfId="0" applyNumberFormat="1" applyFont="1" applyFill="1" applyBorder="1"/>
    <xf numFmtId="0" fontId="24" fillId="8" borderId="17" xfId="0" applyNumberFormat="1" applyFont="1" applyFill="1" applyBorder="1"/>
    <xf numFmtId="0" fontId="3" fillId="8" borderId="14" xfId="0" applyFont="1" applyFill="1" applyBorder="1"/>
    <xf numFmtId="0" fontId="99" fillId="8" borderId="0" xfId="0" applyFont="1" applyFill="1" applyBorder="1" applyAlignment="1">
      <alignment horizontal="center"/>
    </xf>
    <xf numFmtId="5" fontId="3" fillId="8" borderId="35" xfId="0" applyNumberFormat="1" applyFont="1" applyFill="1" applyBorder="1" applyProtection="1"/>
    <xf numFmtId="5" fontId="3" fillId="8" borderId="0" xfId="3" applyNumberFormat="1" applyFont="1" applyFill="1" applyBorder="1"/>
    <xf numFmtId="5" fontId="3" fillId="8" borderId="4" xfId="0" applyNumberFormat="1" applyFont="1" applyFill="1" applyBorder="1"/>
    <xf numFmtId="0" fontId="19" fillId="8" borderId="0" xfId="0" applyFont="1" applyFill="1" applyBorder="1"/>
    <xf numFmtId="0" fontId="5" fillId="8" borderId="0" xfId="0" applyFont="1" applyFill="1" applyBorder="1"/>
    <xf numFmtId="5" fontId="18" fillId="8" borderId="0" xfId="0" applyNumberFormat="1" applyFont="1" applyFill="1" applyBorder="1"/>
    <xf numFmtId="9" fontId="3" fillId="8" borderId="0" xfId="20" applyFont="1" applyFill="1" applyBorder="1" applyAlignment="1"/>
    <xf numFmtId="9" fontId="3" fillId="8" borderId="0" xfId="20" applyNumberFormat="1" applyFont="1" applyFill="1" applyBorder="1" applyAlignment="1"/>
    <xf numFmtId="0" fontId="3" fillId="8" borderId="14" xfId="0" applyNumberFormat="1" applyFont="1" applyFill="1" applyBorder="1" applyAlignment="1"/>
    <xf numFmtId="0" fontId="3" fillId="8" borderId="14" xfId="0" applyFont="1" applyFill="1" applyBorder="1" applyAlignment="1">
      <alignment horizontal="right"/>
    </xf>
    <xf numFmtId="0" fontId="100" fillId="8" borderId="0" xfId="0" applyFont="1" applyFill="1" applyBorder="1" applyAlignment="1">
      <alignment horizontal="center"/>
    </xf>
    <xf numFmtId="5" fontId="3" fillId="8" borderId="15" xfId="0" applyNumberFormat="1" applyFont="1" applyFill="1" applyBorder="1"/>
    <xf numFmtId="5" fontId="18" fillId="8" borderId="15" xfId="0" applyNumberFormat="1" applyFont="1" applyFill="1" applyBorder="1"/>
    <xf numFmtId="5" fontId="6" fillId="2" borderId="4" xfId="0" applyNumberFormat="1" applyFont="1" applyBorder="1"/>
    <xf numFmtId="5" fontId="6" fillId="2" borderId="55" xfId="0" applyNumberFormat="1" applyFont="1" applyBorder="1"/>
    <xf numFmtId="0" fontId="31" fillId="8" borderId="6" xfId="0" applyFont="1" applyFill="1" applyBorder="1"/>
    <xf numFmtId="5" fontId="5" fillId="2" borderId="6" xfId="0" applyNumberFormat="1" applyFont="1" applyBorder="1" applyAlignment="1">
      <alignment horizontal="centerContinuous"/>
    </xf>
    <xf numFmtId="0" fontId="5" fillId="8" borderId="0" xfId="0" applyFont="1" applyFill="1" applyBorder="1" applyAlignment="1"/>
    <xf numFmtId="5" fontId="10" fillId="8" borderId="0" xfId="0" applyNumberFormat="1" applyFont="1" applyFill="1" applyBorder="1"/>
    <xf numFmtId="5" fontId="11" fillId="8" borderId="0" xfId="0" applyNumberFormat="1" applyFont="1" applyFill="1" applyBorder="1"/>
    <xf numFmtId="0" fontId="99" fillId="8" borderId="0" xfId="0" applyFont="1" applyFill="1" applyAlignment="1">
      <alignment horizontal="center"/>
    </xf>
    <xf numFmtId="0" fontId="3" fillId="8" borderId="81" xfId="0" applyFont="1" applyFill="1" applyBorder="1" applyAlignment="1">
      <alignment horizontal="center"/>
    </xf>
    <xf numFmtId="14" fontId="3" fillId="8" borderId="81" xfId="0" applyNumberFormat="1" applyFont="1" applyFill="1" applyBorder="1" applyAlignment="1">
      <alignment horizontal="center"/>
    </xf>
    <xf numFmtId="0" fontId="3" fillId="8" borderId="82" xfId="0" applyFont="1" applyFill="1" applyBorder="1"/>
    <xf numFmtId="0" fontId="3" fillId="8" borderId="10" xfId="0" applyFont="1" applyFill="1" applyBorder="1" applyAlignment="1">
      <alignment horizontal="center"/>
    </xf>
    <xf numFmtId="14" fontId="3" fillId="8" borderId="10" xfId="0" applyNumberFormat="1" applyFont="1" applyFill="1" applyBorder="1" applyAlignment="1">
      <alignment horizontal="center"/>
    </xf>
    <xf numFmtId="0" fontId="3" fillId="8" borderId="64" xfId="0" applyFont="1" applyFill="1" applyBorder="1"/>
    <xf numFmtId="0" fontId="3" fillId="8" borderId="86" xfId="0" applyFont="1" applyFill="1" applyBorder="1" applyAlignment="1">
      <alignment horizontal="center"/>
    </xf>
    <xf numFmtId="14" fontId="3" fillId="8" borderId="86" xfId="0" applyNumberFormat="1" applyFont="1" applyFill="1" applyBorder="1" applyAlignment="1">
      <alignment horizontal="center"/>
    </xf>
    <xf numFmtId="0" fontId="3" fillId="8" borderId="87" xfId="0" applyFont="1" applyFill="1" applyBorder="1"/>
    <xf numFmtId="0" fontId="3" fillId="8" borderId="81" xfId="0" applyFont="1" applyFill="1" applyBorder="1"/>
    <xf numFmtId="0" fontId="3" fillId="8" borderId="81" xfId="0" applyNumberFormat="1" applyFont="1" applyFill="1" applyBorder="1" applyAlignment="1">
      <alignment horizontal="center"/>
    </xf>
    <xf numFmtId="14" fontId="3" fillId="8" borderId="47" xfId="0" applyNumberFormat="1" applyFont="1" applyFill="1" applyBorder="1" applyAlignment="1">
      <alignment horizontal="center"/>
    </xf>
    <xf numFmtId="14" fontId="3" fillId="8" borderId="6" xfId="0" applyNumberFormat="1" applyFont="1" applyFill="1" applyBorder="1" applyAlignment="1">
      <alignment horizontal="center"/>
    </xf>
    <xf numFmtId="6" fontId="3" fillId="8" borderId="86" xfId="0" applyNumberFormat="1" applyFont="1" applyFill="1" applyBorder="1" applyAlignment="1">
      <alignment horizontal="center"/>
    </xf>
    <xf numFmtId="0" fontId="3" fillId="8" borderId="10" xfId="0" applyFont="1" applyFill="1" applyBorder="1"/>
    <xf numFmtId="0" fontId="3" fillId="8" borderId="86" xfId="0" applyFont="1" applyFill="1" applyBorder="1"/>
    <xf numFmtId="0" fontId="40" fillId="8" borderId="0" xfId="18" applyFont="1" applyFill="1" applyBorder="1"/>
    <xf numFmtId="0" fontId="5" fillId="8" borderId="0" xfId="18" applyFont="1" applyFill="1" applyBorder="1"/>
    <xf numFmtId="17" fontId="13" fillId="0" borderId="53" xfId="18" applyNumberFormat="1" applyFont="1" applyBorder="1" applyAlignment="1">
      <alignment horizontal="center"/>
    </xf>
    <xf numFmtId="0" fontId="40" fillId="8" borderId="0" xfId="17" applyFont="1" applyFill="1" applyBorder="1"/>
    <xf numFmtId="0" fontId="2" fillId="8" borderId="0" xfId="19" applyFill="1"/>
    <xf numFmtId="0" fontId="98" fillId="8" borderId="0" xfId="19" applyFont="1" applyFill="1" applyBorder="1" applyAlignment="1">
      <alignment horizontal="center"/>
    </xf>
    <xf numFmtId="0" fontId="101" fillId="0" borderId="0" xfId="19" applyFont="1" applyAlignment="1">
      <alignment horizontal="center"/>
    </xf>
    <xf numFmtId="193" fontId="5" fillId="2" borderId="8" xfId="0" applyNumberFormat="1" applyFont="1" applyBorder="1"/>
    <xf numFmtId="10" fontId="5" fillId="2" borderId="8" xfId="0" applyNumberFormat="1" applyFont="1" applyBorder="1"/>
    <xf numFmtId="193" fontId="5" fillId="2" borderId="8" xfId="3" applyNumberFormat="1" applyFont="1" applyFill="1" applyBorder="1"/>
    <xf numFmtId="0" fontId="24" fillId="8" borderId="49" xfId="0" applyFont="1" applyFill="1" applyBorder="1" applyAlignment="1">
      <alignment horizontal="right"/>
    </xf>
    <xf numFmtId="0" fontId="6" fillId="2" borderId="12" xfId="0" applyFont="1" applyBorder="1" applyAlignment="1">
      <alignment horizontal="center"/>
    </xf>
    <xf numFmtId="0" fontId="24" fillId="8" borderId="11" xfId="0" applyFont="1" applyFill="1" applyBorder="1" applyAlignment="1">
      <alignment horizontal="right"/>
    </xf>
    <xf numFmtId="0" fontId="6" fillId="2" borderId="7" xfId="0" applyFont="1" applyBorder="1" applyAlignment="1">
      <alignment horizontal="right"/>
    </xf>
    <xf numFmtId="0" fontId="6" fillId="2" borderId="96" xfId="0" applyFont="1" applyBorder="1" applyAlignment="1">
      <alignment horizontal="right"/>
    </xf>
    <xf numFmtId="0" fontId="7" fillId="2" borderId="6" xfId="0" applyFont="1" applyBorder="1" applyAlignment="1">
      <alignment horizontal="right"/>
    </xf>
    <xf numFmtId="5" fontId="3" fillId="8" borderId="6" xfId="0" applyNumberFormat="1" applyFont="1" applyFill="1" applyBorder="1"/>
    <xf numFmtId="5" fontId="18" fillId="8" borderId="6" xfId="0" applyNumberFormat="1" applyFont="1" applyFill="1" applyBorder="1"/>
    <xf numFmtId="0" fontId="5" fillId="2" borderId="18" xfId="0" applyNumberFormat="1" applyFont="1" applyBorder="1" applyAlignment="1"/>
    <xf numFmtId="0" fontId="5" fillId="2" borderId="17" xfId="0" applyNumberFormat="1" applyFont="1" applyBorder="1" applyAlignment="1"/>
    <xf numFmtId="7" fontId="6" fillId="2" borderId="78" xfId="0" applyNumberFormat="1" applyFont="1" applyBorder="1"/>
    <xf numFmtId="0" fontId="6" fillId="2" borderId="28" xfId="0" applyFont="1" applyBorder="1"/>
    <xf numFmtId="0" fontId="6" fillId="2" borderId="97" xfId="0" applyFont="1" applyBorder="1"/>
    <xf numFmtId="37" fontId="6" fillId="2" borderId="29" xfId="0" applyNumberFormat="1" applyFont="1" applyBorder="1"/>
    <xf numFmtId="0" fontId="5" fillId="9" borderId="57" xfId="0" applyFont="1" applyFill="1" applyBorder="1"/>
    <xf numFmtId="5" fontId="6" fillId="9" borderId="95" xfId="0" applyNumberFormat="1" applyFont="1" applyFill="1" applyBorder="1"/>
    <xf numFmtId="0" fontId="8" fillId="2" borderId="19" xfId="0" applyFont="1" applyBorder="1" applyAlignment="1">
      <alignment horizontal="right"/>
    </xf>
    <xf numFmtId="0" fontId="4" fillId="2" borderId="0" xfId="0" applyFont="1" applyBorder="1" applyAlignment="1">
      <alignment horizontal="right"/>
    </xf>
    <xf numFmtId="0" fontId="43" fillId="2" borderId="0" xfId="0" applyFont="1" applyBorder="1" applyAlignment="1">
      <alignment horizontal="right"/>
    </xf>
    <xf numFmtId="0" fontId="3" fillId="8" borderId="17" xfId="0" applyFont="1" applyFill="1" applyBorder="1" applyAlignment="1">
      <alignment horizontal="right"/>
    </xf>
    <xf numFmtId="0" fontId="43" fillId="2" borderId="0" xfId="0" applyFont="1" applyBorder="1" applyAlignment="1">
      <alignment horizontal="center"/>
    </xf>
    <xf numFmtId="3" fontId="3" fillId="8" borderId="17" xfId="0" applyNumberFormat="1" applyFont="1" applyFill="1" applyBorder="1" applyAlignment="1">
      <alignment horizontal="center"/>
    </xf>
    <xf numFmtId="3" fontId="5" fillId="0" borderId="17" xfId="0" applyNumberFormat="1" applyFont="1" applyFill="1" applyBorder="1"/>
    <xf numFmtId="0" fontId="5" fillId="0" borderId="0" xfId="18" quotePrefix="1" applyFont="1" applyBorder="1" applyAlignment="1">
      <alignment horizontal="center"/>
    </xf>
    <xf numFmtId="0" fontId="37" fillId="8" borderId="0" xfId="0" applyFont="1" applyFill="1" applyBorder="1" applyAlignment="1">
      <alignment horizontal="centerContinuous"/>
    </xf>
    <xf numFmtId="0" fontId="5" fillId="8" borderId="0" xfId="0" applyFont="1" applyFill="1" applyBorder="1" applyAlignment="1">
      <alignment horizontal="centerContinuous"/>
    </xf>
    <xf numFmtId="0" fontId="5" fillId="0" borderId="98" xfId="18" applyFont="1" applyBorder="1" applyAlignment="1">
      <alignment horizontal="center"/>
    </xf>
    <xf numFmtId="0" fontId="5" fillId="0" borderId="99" xfId="18" applyFont="1" applyBorder="1" applyAlignment="1">
      <alignment horizontal="center"/>
    </xf>
    <xf numFmtId="0" fontId="5" fillId="0" borderId="100" xfId="18" applyFont="1" applyBorder="1" applyAlignment="1">
      <alignment horizontal="center"/>
    </xf>
    <xf numFmtId="0" fontId="5" fillId="0" borderId="101" xfId="18" quotePrefix="1" applyFont="1" applyBorder="1" applyAlignment="1">
      <alignment horizontal="center"/>
    </xf>
    <xf numFmtId="0" fontId="4" fillId="0" borderId="100" xfId="18" applyFont="1" applyBorder="1" applyAlignment="1">
      <alignment horizontal="center"/>
    </xf>
    <xf numFmtId="0" fontId="4" fillId="2" borderId="101" xfId="0" applyFont="1" applyBorder="1" applyAlignment="1">
      <alignment horizontal="center"/>
    </xf>
    <xf numFmtId="0" fontId="5" fillId="0" borderId="100" xfId="18" applyFont="1" applyBorder="1"/>
    <xf numFmtId="0" fontId="5" fillId="2" borderId="101" xfId="0" applyFont="1" applyBorder="1"/>
    <xf numFmtId="5" fontId="5" fillId="0" borderId="100" xfId="18" applyNumberFormat="1" applyFont="1" applyBorder="1" applyAlignment="1"/>
    <xf numFmtId="37" fontId="37" fillId="8" borderId="101" xfId="20" applyNumberFormat="1" applyFont="1" applyFill="1" applyBorder="1" applyAlignment="1"/>
    <xf numFmtId="0" fontId="5" fillId="0" borderId="101" xfId="18" applyFont="1" applyBorder="1" applyAlignment="1">
      <alignment horizontal="center"/>
    </xf>
    <xf numFmtId="0" fontId="4" fillId="0" borderId="101" xfId="18" applyFont="1" applyBorder="1" applyAlignment="1">
      <alignment horizontal="center"/>
    </xf>
    <xf numFmtId="0" fontId="5" fillId="0" borderId="101" xfId="18" applyFont="1" applyBorder="1"/>
    <xf numFmtId="5" fontId="5" fillId="0" borderId="101" xfId="18" applyNumberFormat="1" applyFont="1" applyBorder="1" applyAlignment="1"/>
    <xf numFmtId="0" fontId="5" fillId="2" borderId="37" xfId="0" applyFont="1" applyBorder="1" applyAlignment="1"/>
    <xf numFmtId="0" fontId="5" fillId="0" borderId="102" xfId="18" applyFont="1" applyBorder="1" applyAlignment="1"/>
    <xf numFmtId="0" fontId="5" fillId="0" borderId="103" xfId="18" applyFont="1" applyBorder="1" applyAlignment="1"/>
    <xf numFmtId="0" fontId="8" fillId="2" borderId="18" xfId="0" applyFont="1" applyBorder="1" applyAlignment="1">
      <alignment horizontal="right"/>
    </xf>
    <xf numFmtId="0" fontId="43" fillId="2" borderId="18" xfId="0" applyFont="1" applyBorder="1" applyAlignment="1">
      <alignment horizontal="right"/>
    </xf>
    <xf numFmtId="37" fontId="5" fillId="2" borderId="0" xfId="0" applyNumberFormat="1" applyFont="1" applyBorder="1" applyAlignment="1">
      <alignment horizontal="right"/>
    </xf>
    <xf numFmtId="37" fontId="4" fillId="2" borderId="0" xfId="0" applyNumberFormat="1" applyFont="1" applyBorder="1" applyAlignment="1">
      <alignment horizontal="right"/>
    </xf>
    <xf numFmtId="9" fontId="5" fillId="2" borderId="17" xfId="20" applyNumberFormat="1" applyFont="1" applyFill="1" applyBorder="1"/>
    <xf numFmtId="0" fontId="5" fillId="8" borderId="0" xfId="0" applyFont="1" applyFill="1"/>
    <xf numFmtId="10" fontId="5" fillId="2" borderId="78" xfId="0" applyNumberFormat="1" applyFont="1" applyBorder="1" applyAlignment="1"/>
    <xf numFmtId="0" fontId="98" fillId="8" borderId="0" xfId="0" applyFont="1" applyFill="1" applyBorder="1"/>
    <xf numFmtId="0" fontId="6" fillId="2" borderId="24" xfId="0" applyFont="1" applyBorder="1"/>
    <xf numFmtId="0" fontId="6" fillId="0" borderId="24" xfId="0" applyFont="1" applyFill="1" applyBorder="1"/>
    <xf numFmtId="0" fontId="6" fillId="2" borderId="7" xfId="0" applyNumberFormat="1" applyFont="1" applyBorder="1" applyAlignment="1">
      <alignment horizontal="center"/>
    </xf>
    <xf numFmtId="0" fontId="6" fillId="2" borderId="4" xfId="0" applyNumberFormat="1" applyFont="1" applyBorder="1" applyAlignment="1">
      <alignment horizontal="center"/>
    </xf>
    <xf numFmtId="0" fontId="6" fillId="0" borderId="16" xfId="0" applyNumberFormat="1" applyFont="1" applyFill="1" applyBorder="1" applyAlignment="1"/>
    <xf numFmtId="5" fontId="6" fillId="2" borderId="17" xfId="0" applyNumberFormat="1" applyFont="1" applyBorder="1" applyAlignment="1"/>
    <xf numFmtId="5" fontId="6" fillId="2" borderId="52" xfId="0" applyNumberFormat="1" applyFont="1" applyBorder="1" applyAlignment="1"/>
    <xf numFmtId="0" fontId="6" fillId="9" borderId="67" xfId="0" applyNumberFormat="1" applyFont="1" applyFill="1" applyBorder="1" applyAlignment="1"/>
    <xf numFmtId="17" fontId="24" fillId="8" borderId="35" xfId="0" applyNumberFormat="1" applyFont="1" applyFill="1" applyBorder="1" applyAlignment="1"/>
    <xf numFmtId="17" fontId="6" fillId="9" borderId="35" xfId="0" applyNumberFormat="1" applyFont="1" applyFill="1" applyBorder="1" applyAlignment="1"/>
    <xf numFmtId="0" fontId="6" fillId="9" borderId="0" xfId="0" applyNumberFormat="1" applyFont="1" applyFill="1" applyBorder="1" applyAlignment="1"/>
    <xf numFmtId="0" fontId="102" fillId="0" borderId="0" xfId="0" applyFont="1" applyFill="1" applyBorder="1"/>
    <xf numFmtId="0" fontId="102" fillId="2" borderId="0" xfId="0" applyFont="1" applyAlignment="1">
      <alignment horizontal="centerContinuous"/>
    </xf>
    <xf numFmtId="0" fontId="104" fillId="2" borderId="0" xfId="0" applyFont="1" applyAlignment="1">
      <alignment horizontal="centerContinuous"/>
    </xf>
    <xf numFmtId="0" fontId="105" fillId="2" borderId="0" xfId="0" applyFont="1" applyAlignment="1">
      <alignment horizontal="centerContinuous"/>
    </xf>
    <xf numFmtId="0" fontId="33" fillId="2" borderId="0" xfId="0" applyFont="1" applyAlignment="1">
      <alignment horizontal="centerContinuous"/>
    </xf>
    <xf numFmtId="0" fontId="106" fillId="2" borderId="0" xfId="0" applyFont="1" applyAlignment="1">
      <alignment horizontal="centerContinuous"/>
    </xf>
    <xf numFmtId="0" fontId="107" fillId="2" borderId="0" xfId="0" applyFont="1" applyAlignment="1">
      <alignment horizontal="centerContinuous"/>
    </xf>
    <xf numFmtId="0" fontId="7" fillId="2" borderId="0" xfId="0" applyFont="1" applyAlignment="1">
      <alignment horizontal="center"/>
    </xf>
    <xf numFmtId="49" fontId="5" fillId="2" borderId="0" xfId="0" applyNumberFormat="1" applyFont="1" applyAlignment="1">
      <alignment horizontal="center"/>
    </xf>
    <xf numFmtId="0" fontId="102" fillId="2" borderId="0" xfId="0" applyFont="1" applyBorder="1"/>
    <xf numFmtId="0" fontId="102" fillId="0" borderId="6" xfId="0" applyFont="1" applyFill="1" applyBorder="1"/>
    <xf numFmtId="0" fontId="5" fillId="9" borderId="56" xfId="0" applyFont="1" applyFill="1" applyBorder="1"/>
    <xf numFmtId="0" fontId="7" fillId="2" borderId="10" xfId="0" applyFont="1" applyBorder="1"/>
    <xf numFmtId="0" fontId="7" fillId="2" borderId="81" xfId="0" applyFont="1" applyBorder="1"/>
    <xf numFmtId="6" fontId="5" fillId="2" borderId="14" xfId="0" applyNumberFormat="1" applyFont="1" applyBorder="1"/>
    <xf numFmtId="6" fontId="5" fillId="2" borderId="80" xfId="0" applyNumberFormat="1" applyFont="1" applyBorder="1"/>
    <xf numFmtId="10" fontId="5" fillId="0" borderId="78" xfId="20" applyNumberFormat="1" applyFont="1" applyBorder="1"/>
    <xf numFmtId="14" fontId="3" fillId="8" borderId="78" xfId="0" applyNumberFormat="1" applyFont="1" applyFill="1" applyBorder="1" applyAlignment="1">
      <alignment horizontal="center"/>
    </xf>
    <xf numFmtId="0" fontId="27" fillId="2" borderId="15" xfId="0" applyFont="1" applyBorder="1"/>
    <xf numFmtId="0" fontId="6" fillId="9" borderId="104" xfId="18" applyFont="1" applyFill="1" applyBorder="1" applyAlignment="1">
      <alignment horizontal="centerContinuous"/>
    </xf>
    <xf numFmtId="0" fontId="44" fillId="8" borderId="0" xfId="0" applyFont="1" applyFill="1" applyBorder="1" applyAlignment="1">
      <alignment horizontal="center"/>
    </xf>
    <xf numFmtId="214" fontId="7" fillId="2" borderId="19" xfId="0" applyNumberFormat="1" applyFont="1" applyBorder="1" applyAlignment="1">
      <alignment horizontal="right"/>
    </xf>
    <xf numFmtId="0" fontId="5" fillId="2" borderId="105" xfId="0" applyFont="1" applyBorder="1"/>
    <xf numFmtId="0" fontId="5" fillId="2" borderId="106" xfId="0" applyFont="1" applyBorder="1"/>
    <xf numFmtId="0" fontId="5" fillId="2" borderId="107" xfId="0" applyFont="1" applyBorder="1"/>
    <xf numFmtId="37" fontId="5" fillId="0" borderId="0" xfId="0" applyNumberFormat="1" applyFont="1" applyFill="1" applyBorder="1" applyAlignment="1">
      <alignment horizontal="center"/>
    </xf>
    <xf numFmtId="5" fontId="5" fillId="0" borderId="45" xfId="0" applyNumberFormat="1" applyFont="1" applyFill="1" applyBorder="1" applyAlignment="1"/>
    <xf numFmtId="5" fontId="5" fillId="0" borderId="46" xfId="0" applyNumberFormat="1" applyFont="1" applyFill="1" applyBorder="1" applyAlignment="1"/>
    <xf numFmtId="17" fontId="3" fillId="8" borderId="18" xfId="0" applyNumberFormat="1" applyFont="1" applyFill="1" applyBorder="1"/>
    <xf numFmtId="17" fontId="10" fillId="8" borderId="18" xfId="0" applyNumberFormat="1" applyFont="1" applyFill="1" applyBorder="1" applyAlignment="1"/>
    <xf numFmtId="17" fontId="5" fillId="0" borderId="20" xfId="0" applyNumberFormat="1" applyFont="1" applyFill="1" applyBorder="1"/>
    <xf numFmtId="0" fontId="3" fillId="8" borderId="0" xfId="0" applyFont="1" applyFill="1" applyBorder="1" applyAlignment="1">
      <alignment horizontal="left"/>
    </xf>
    <xf numFmtId="10" fontId="103" fillId="2" borderId="0" xfId="0" quotePrefix="1" applyNumberFormat="1" applyFont="1" applyBorder="1" applyAlignment="1">
      <alignment horizontal="right"/>
    </xf>
    <xf numFmtId="17" fontId="5" fillId="0" borderId="0" xfId="0" applyNumberFormat="1" applyFont="1" applyFill="1" applyBorder="1" applyAlignment="1">
      <alignment horizontal="center"/>
    </xf>
    <xf numFmtId="0" fontId="103" fillId="2" borderId="0" xfId="0" applyFont="1" applyBorder="1" applyAlignment="1">
      <alignment horizontal="right"/>
    </xf>
    <xf numFmtId="5" fontId="18" fillId="8" borderId="0" xfId="0" applyNumberFormat="1" applyFont="1" applyFill="1" applyBorder="1" applyAlignment="1"/>
    <xf numFmtId="5" fontId="11" fillId="8" borderId="0" xfId="0" applyNumberFormat="1" applyFont="1" applyFill="1" applyBorder="1" applyAlignment="1"/>
    <xf numFmtId="5" fontId="5" fillId="0" borderId="17" xfId="0" applyNumberFormat="1" applyFont="1" applyFill="1" applyBorder="1" applyAlignment="1"/>
    <xf numFmtId="0" fontId="3" fillId="8" borderId="14" xfId="0" applyFont="1" applyFill="1" applyBorder="1" applyAlignment="1"/>
    <xf numFmtId="0" fontId="3" fillId="8" borderId="0" xfId="0" applyFont="1" applyFill="1" applyBorder="1" applyAlignment="1"/>
    <xf numFmtId="0" fontId="44" fillId="8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5" fontId="10" fillId="8" borderId="17" xfId="0" applyNumberFormat="1" applyFont="1" applyFill="1" applyBorder="1" applyAlignment="1"/>
    <xf numFmtId="0" fontId="42" fillId="2" borderId="0" xfId="0" applyFont="1" applyAlignment="1">
      <alignment horizontal="center"/>
    </xf>
    <xf numFmtId="214" fontId="7" fillId="2" borderId="18" xfId="0" applyNumberFormat="1" applyFont="1" applyBorder="1" applyAlignment="1">
      <alignment horizontal="right"/>
    </xf>
    <xf numFmtId="177" fontId="37" fillId="8" borderId="14" xfId="0" applyNumberFormat="1" applyFont="1" applyFill="1" applyBorder="1" applyAlignment="1"/>
    <xf numFmtId="0" fontId="5" fillId="2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2" borderId="0" xfId="0" applyNumberFormat="1" applyFont="1" applyAlignment="1"/>
    <xf numFmtId="0" fontId="4" fillId="2" borderId="0" xfId="0" applyFont="1" applyBorder="1"/>
    <xf numFmtId="5" fontId="5" fillId="2" borderId="0" xfId="0" applyNumberFormat="1" applyFont="1" applyBorder="1" applyAlignment="1">
      <alignment horizontal="centerContinuous"/>
    </xf>
    <xf numFmtId="5" fontId="5" fillId="2" borderId="8" xfId="0" applyNumberFormat="1" applyFont="1" applyBorder="1" applyAlignment="1">
      <alignment horizontal="centerContinuous"/>
    </xf>
    <xf numFmtId="0" fontId="5" fillId="8" borderId="0" xfId="0" applyFont="1" applyFill="1" applyAlignment="1"/>
    <xf numFmtId="191" fontId="7" fillId="0" borderId="0" xfId="19" applyNumberFormat="1" applyFont="1" applyBorder="1" applyAlignment="1">
      <alignment horizontal="center"/>
    </xf>
    <xf numFmtId="5" fontId="3" fillId="0" borderId="44" xfId="0" applyNumberFormat="1" applyFont="1" applyFill="1" applyBorder="1" applyAlignment="1"/>
    <xf numFmtId="5" fontId="3" fillId="0" borderId="45" xfId="0" applyNumberFormat="1" applyFont="1" applyFill="1" applyBorder="1" applyAlignment="1"/>
    <xf numFmtId="0" fontId="5" fillId="2" borderId="7" xfId="0" applyNumberFormat="1" applyFont="1" applyBorder="1" applyAlignment="1"/>
    <xf numFmtId="0" fontId="7" fillId="2" borderId="7" xfId="0" applyNumberFormat="1" applyFont="1" applyBorder="1" applyAlignment="1">
      <alignment horizontal="center"/>
    </xf>
    <xf numFmtId="0" fontId="7" fillId="2" borderId="12" xfId="0" applyNumberFormat="1" applyFont="1" applyBorder="1" applyAlignment="1">
      <alignment horizontal="center"/>
    </xf>
    <xf numFmtId="167" fontId="5" fillId="2" borderId="0" xfId="0" applyNumberFormat="1" applyFont="1" applyBorder="1" applyAlignment="1"/>
    <xf numFmtId="167" fontId="5" fillId="2" borderId="8" xfId="20" applyNumberFormat="1" applyFont="1" applyFill="1" applyBorder="1" applyAlignment="1">
      <alignment horizontal="center"/>
    </xf>
    <xf numFmtId="5" fontId="3" fillId="8" borderId="8" xfId="0" applyNumberFormat="1" applyFont="1" applyFill="1" applyBorder="1"/>
    <xf numFmtId="17" fontId="3" fillId="8" borderId="0" xfId="0" applyNumberFormat="1" applyFont="1" applyFill="1" applyBorder="1" applyAlignment="1">
      <alignment horizontal="center"/>
    </xf>
    <xf numFmtId="5" fontId="4" fillId="2" borderId="8" xfId="0" applyNumberFormat="1" applyFont="1" applyBorder="1" applyAlignment="1"/>
    <xf numFmtId="17" fontId="5" fillId="2" borderId="6" xfId="0" applyNumberFormat="1" applyFont="1" applyBorder="1" applyAlignment="1">
      <alignment horizontal="center"/>
    </xf>
    <xf numFmtId="5" fontId="5" fillId="2" borderId="8" xfId="0" applyNumberFormat="1" applyFont="1" applyBorder="1" applyAlignment="1"/>
    <xf numFmtId="0" fontId="5" fillId="2" borderId="4" xfId="0" applyNumberFormat="1" applyFont="1" applyBorder="1" applyAlignment="1">
      <alignment horizontal="center"/>
    </xf>
    <xf numFmtId="0" fontId="6" fillId="2" borderId="11" xfId="0" applyNumberFormat="1" applyFont="1" applyBorder="1" applyAlignment="1"/>
    <xf numFmtId="5" fontId="15" fillId="0" borderId="45" xfId="0" applyNumberFormat="1" applyFont="1" applyFill="1" applyBorder="1" applyAlignment="1"/>
    <xf numFmtId="0" fontId="5" fillId="2" borderId="0" xfId="0" applyNumberFormat="1" applyFont="1" applyBorder="1" applyAlignment="1">
      <alignment horizontal="center"/>
    </xf>
    <xf numFmtId="5" fontId="4" fillId="2" borderId="8" xfId="0" applyNumberFormat="1" applyFont="1" applyBorder="1"/>
    <xf numFmtId="0" fontId="5" fillId="2" borderId="13" xfId="0" applyFont="1" applyBorder="1"/>
    <xf numFmtId="0" fontId="42" fillId="2" borderId="0" xfId="0" applyNumberFormat="1" applyFont="1" applyBorder="1" applyAlignment="1"/>
    <xf numFmtId="0" fontId="108" fillId="2" borderId="0" xfId="0" applyFont="1"/>
    <xf numFmtId="5" fontId="5" fillId="0" borderId="18" xfId="0" applyNumberFormat="1" applyFont="1" applyFill="1" applyBorder="1" applyAlignment="1">
      <alignment horizontal="right"/>
    </xf>
    <xf numFmtId="37" fontId="5" fillId="0" borderId="18" xfId="0" applyNumberFormat="1" applyFont="1" applyFill="1" applyBorder="1" applyAlignment="1">
      <alignment horizontal="right"/>
    </xf>
    <xf numFmtId="37" fontId="3" fillId="8" borderId="18" xfId="0" applyNumberFormat="1" applyFont="1" applyFill="1" applyBorder="1" applyAlignment="1">
      <alignment horizontal="right"/>
    </xf>
    <xf numFmtId="5" fontId="5" fillId="0" borderId="20" xfId="0" applyNumberFormat="1" applyFont="1" applyFill="1" applyBorder="1" applyAlignment="1">
      <alignment horizontal="right"/>
    </xf>
    <xf numFmtId="354" fontId="3" fillId="8" borderId="19" xfId="0" applyNumberFormat="1" applyFont="1" applyFill="1" applyBorder="1" applyAlignment="1">
      <alignment horizontal="center"/>
    </xf>
    <xf numFmtId="355" fontId="3" fillId="8" borderId="19" xfId="0" applyNumberFormat="1" applyFont="1" applyFill="1" applyBorder="1" applyAlignment="1">
      <alignment horizontal="center"/>
    </xf>
    <xf numFmtId="356" fontId="3" fillId="8" borderId="0" xfId="0" applyNumberFormat="1" applyFont="1" applyFill="1" applyBorder="1" applyAlignment="1">
      <alignment horizontal="center"/>
    </xf>
    <xf numFmtId="356" fontId="5" fillId="2" borderId="6" xfId="0" applyNumberFormat="1" applyFont="1" applyBorder="1" applyAlignment="1"/>
    <xf numFmtId="37" fontId="108" fillId="2" borderId="0" xfId="0" applyNumberFormat="1" applyFont="1" applyBorder="1" applyAlignment="1"/>
    <xf numFmtId="10" fontId="3" fillId="8" borderId="20" xfId="20" applyNumberFormat="1" applyFont="1" applyFill="1" applyBorder="1" applyAlignment="1">
      <alignment horizontal="center"/>
    </xf>
    <xf numFmtId="0" fontId="3" fillId="8" borderId="18" xfId="20" applyNumberFormat="1" applyFont="1" applyFill="1" applyBorder="1" applyAlignment="1">
      <alignment horizontal="center"/>
    </xf>
    <xf numFmtId="0" fontId="16" fillId="0" borderId="18" xfId="20" applyNumberFormat="1" applyFont="1" applyBorder="1"/>
    <xf numFmtId="10" fontId="3" fillId="8" borderId="18" xfId="20" applyNumberFormat="1" applyFont="1" applyFill="1" applyBorder="1" applyAlignment="1">
      <alignment horizontal="center"/>
    </xf>
    <xf numFmtId="0" fontId="7" fillId="0" borderId="15" xfId="0" applyFont="1" applyFill="1" applyBorder="1"/>
    <xf numFmtId="0" fontId="5" fillId="2" borderId="85" xfId="0" applyNumberFormat="1" applyFont="1" applyBorder="1" applyAlignment="1"/>
    <xf numFmtId="0" fontId="5" fillId="2" borderId="78" xfId="0" applyNumberFormat="1" applyFont="1" applyBorder="1" applyAlignment="1"/>
    <xf numFmtId="10" fontId="5" fillId="2" borderId="17" xfId="20" applyNumberFormat="1" applyFont="1" applyFill="1" applyBorder="1" applyAlignment="1">
      <alignment horizontal="center"/>
    </xf>
    <xf numFmtId="5" fontId="3" fillId="8" borderId="19" xfId="0" applyNumberFormat="1" applyFont="1" applyFill="1" applyBorder="1"/>
    <xf numFmtId="9" fontId="3" fillId="8" borderId="0" xfId="0" applyNumberFormat="1" applyFont="1" applyFill="1" applyBorder="1" applyAlignment="1">
      <alignment horizontal="center"/>
    </xf>
    <xf numFmtId="0" fontId="5" fillId="0" borderId="20" xfId="0" applyNumberFormat="1" applyFont="1" applyFill="1" applyBorder="1"/>
    <xf numFmtId="1" fontId="5" fillId="0" borderId="17" xfId="0" applyNumberFormat="1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Continuous"/>
    </xf>
    <xf numFmtId="0" fontId="3" fillId="8" borderId="14" xfId="0" applyFont="1" applyFill="1" applyBorder="1" applyAlignment="1">
      <alignment horizontal="centerContinuous"/>
    </xf>
    <xf numFmtId="5" fontId="5" fillId="2" borderId="14" xfId="0" applyNumberFormat="1" applyFont="1" applyBorder="1" applyAlignment="1"/>
    <xf numFmtId="9" fontId="5" fillId="2" borderId="6" xfId="0" applyNumberFormat="1" applyFont="1" applyBorder="1" applyAlignment="1"/>
    <xf numFmtId="1" fontId="5" fillId="2" borderId="78" xfId="20" applyNumberFormat="1" applyFont="1" applyFill="1" applyBorder="1" applyAlignment="1"/>
    <xf numFmtId="0" fontId="6" fillId="2" borderId="37" xfId="0" applyFont="1" applyBorder="1"/>
    <xf numFmtId="0" fontId="3" fillId="8" borderId="108" xfId="0" applyFont="1" applyFill="1" applyBorder="1"/>
    <xf numFmtId="0" fontId="5" fillId="0" borderId="74" xfId="0" applyNumberFormat="1" applyFont="1" applyFill="1" applyBorder="1" applyAlignment="1"/>
    <xf numFmtId="0" fontId="5" fillId="0" borderId="38" xfId="0" applyNumberFormat="1" applyFont="1" applyFill="1" applyBorder="1" applyAlignment="1"/>
    <xf numFmtId="0" fontId="5" fillId="0" borderId="75" xfId="0" applyNumberFormat="1" applyFont="1" applyFill="1" applyBorder="1" applyAlignment="1"/>
    <xf numFmtId="0" fontId="3" fillId="8" borderId="108" xfId="0" applyFont="1" applyFill="1" applyBorder="1" applyAlignment="1">
      <alignment horizontal="center"/>
    </xf>
    <xf numFmtId="14" fontId="3" fillId="8" borderId="108" xfId="0" applyNumberFormat="1" applyFont="1" applyFill="1" applyBorder="1" applyAlignment="1">
      <alignment horizontal="center"/>
    </xf>
    <xf numFmtId="0" fontId="3" fillId="8" borderId="39" xfId="0" applyFont="1" applyFill="1" applyBorder="1"/>
    <xf numFmtId="10" fontId="3" fillId="0" borderId="0" xfId="20" applyNumberFormat="1" applyFont="1" applyFill="1" applyBorder="1" applyAlignment="1">
      <alignment horizontal="center"/>
    </xf>
    <xf numFmtId="0" fontId="8" fillId="0" borderId="14" xfId="0" applyFont="1" applyFill="1" applyBorder="1"/>
    <xf numFmtId="0" fontId="44" fillId="0" borderId="19" xfId="0" applyFont="1" applyFill="1" applyBorder="1" applyAlignment="1">
      <alignment horizontal="right"/>
    </xf>
    <xf numFmtId="0" fontId="37" fillId="0" borderId="0" xfId="19" applyFont="1"/>
    <xf numFmtId="39" fontId="5" fillId="0" borderId="6" xfId="19" applyNumberFormat="1" applyFont="1" applyFill="1" applyBorder="1" applyAlignment="1">
      <alignment horizontal="center"/>
    </xf>
    <xf numFmtId="39" fontId="5" fillId="0" borderId="0" xfId="19" applyNumberFormat="1" applyFont="1" applyFill="1" applyBorder="1" applyAlignment="1">
      <alignment horizontal="center"/>
    </xf>
    <xf numFmtId="191" fontId="5" fillId="0" borderId="0" xfId="19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4" fillId="2" borderId="0" xfId="0" applyNumberFormat="1" applyFont="1" applyBorder="1" applyAlignment="1">
      <alignment horizontal="center"/>
    </xf>
    <xf numFmtId="0" fontId="4" fillId="2" borderId="18" xfId="0" applyNumberFormat="1" applyFont="1" applyBorder="1" applyAlignment="1">
      <alignment horizontal="right"/>
    </xf>
    <xf numFmtId="0" fontId="4" fillId="2" borderId="0" xfId="0" applyNumberFormat="1" applyFont="1" applyBorder="1" applyAlignment="1">
      <alignment horizontal="right"/>
    </xf>
    <xf numFmtId="357" fontId="3" fillId="8" borderId="18" xfId="0" applyNumberFormat="1" applyFont="1" applyFill="1" applyBorder="1"/>
    <xf numFmtId="0" fontId="5" fillId="2" borderId="109" xfId="0" applyFont="1" applyBorder="1"/>
    <xf numFmtId="5" fontId="3" fillId="8" borderId="18" xfId="0" applyNumberFormat="1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0" fontId="5" fillId="2" borderId="14" xfId="0" quotePrefix="1" applyFont="1" applyBorder="1"/>
    <xf numFmtId="5" fontId="3" fillId="8" borderId="0" xfId="0" applyNumberFormat="1" applyFont="1" applyFill="1" applyBorder="1" applyAlignment="1"/>
    <xf numFmtId="0" fontId="37" fillId="9" borderId="35" xfId="16" applyNumberFormat="1" applyFont="1" applyFill="1" applyBorder="1" applyAlignment="1"/>
    <xf numFmtId="0" fontId="5" fillId="11" borderId="0" xfId="0" applyFont="1" applyFill="1" applyBorder="1"/>
    <xf numFmtId="5" fontId="3" fillId="11" borderId="0" xfId="0" applyNumberFormat="1" applyFont="1" applyFill="1" applyBorder="1"/>
    <xf numFmtId="5" fontId="5" fillId="11" borderId="0" xfId="0" applyNumberFormat="1" applyFont="1" applyFill="1" applyBorder="1"/>
    <xf numFmtId="0" fontId="6" fillId="11" borderId="4" xfId="0" applyFont="1" applyFill="1" applyBorder="1" applyAlignment="1">
      <alignment horizontal="center"/>
    </xf>
    <xf numFmtId="17" fontId="6" fillId="11" borderId="4" xfId="0" applyNumberFormat="1" applyFont="1" applyFill="1" applyBorder="1" applyAlignment="1">
      <alignment horizontal="center"/>
    </xf>
    <xf numFmtId="0" fontId="0" fillId="11" borderId="0" xfId="0" applyFill="1" applyBorder="1"/>
    <xf numFmtId="0" fontId="6" fillId="11" borderId="0" xfId="0" applyFont="1" applyFill="1" applyBorder="1"/>
    <xf numFmtId="5" fontId="3" fillId="9" borderId="0" xfId="0" applyNumberFormat="1" applyFont="1" applyFill="1" applyBorder="1" applyAlignment="1"/>
    <xf numFmtId="5" fontId="18" fillId="9" borderId="0" xfId="0" applyNumberFormat="1" applyFont="1" applyFill="1" applyBorder="1" applyAlignment="1"/>
    <xf numFmtId="0" fontId="6" fillId="11" borderId="32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82" xfId="0" applyFont="1" applyFill="1" applyBorder="1" applyAlignment="1">
      <alignment horizontal="center"/>
    </xf>
    <xf numFmtId="0" fontId="114" fillId="11" borderId="50" xfId="0" applyFont="1" applyFill="1" applyBorder="1" applyAlignment="1">
      <alignment horizontal="left"/>
    </xf>
    <xf numFmtId="0" fontId="7" fillId="11" borderId="110" xfId="0" applyFont="1" applyFill="1" applyBorder="1" applyAlignment="1">
      <alignment horizontal="center"/>
    </xf>
    <xf numFmtId="0" fontId="37" fillId="11" borderId="15" xfId="0" applyFont="1" applyFill="1" applyBorder="1"/>
    <xf numFmtId="0" fontId="5" fillId="11" borderId="111" xfId="0" applyFont="1" applyFill="1" applyBorder="1"/>
    <xf numFmtId="0" fontId="6" fillId="11" borderId="15" xfId="0" applyFont="1" applyFill="1" applyBorder="1"/>
    <xf numFmtId="0" fontId="5" fillId="11" borderId="64" xfId="0" applyFont="1" applyFill="1" applyBorder="1"/>
    <xf numFmtId="0" fontId="0" fillId="11" borderId="15" xfId="0" applyFill="1" applyBorder="1"/>
    <xf numFmtId="5" fontId="5" fillId="9" borderId="64" xfId="0" applyNumberFormat="1" applyFont="1" applyFill="1" applyBorder="1" applyAlignment="1"/>
    <xf numFmtId="0" fontId="5" fillId="11" borderId="15" xfId="0" applyFont="1" applyFill="1" applyBorder="1"/>
    <xf numFmtId="5" fontId="5" fillId="11" borderId="64" xfId="0" applyNumberFormat="1" applyFont="1" applyFill="1" applyBorder="1"/>
    <xf numFmtId="5" fontId="18" fillId="11" borderId="0" xfId="0" applyNumberFormat="1" applyFont="1" applyFill="1" applyBorder="1"/>
    <xf numFmtId="5" fontId="4" fillId="11" borderId="64" xfId="0" applyNumberFormat="1" applyFont="1" applyFill="1" applyBorder="1"/>
    <xf numFmtId="0" fontId="5" fillId="11" borderId="16" xfId="0" applyFont="1" applyFill="1" applyBorder="1"/>
    <xf numFmtId="0" fontId="5" fillId="11" borderId="17" xfId="0" applyFont="1" applyFill="1" applyBorder="1"/>
    <xf numFmtId="0" fontId="5" fillId="11" borderId="87" xfId="0" applyFont="1" applyFill="1" applyBorder="1"/>
    <xf numFmtId="5" fontId="15" fillId="8" borderId="0" xfId="0" applyNumberFormat="1" applyFont="1" applyFill="1" applyBorder="1" applyAlignment="1"/>
    <xf numFmtId="5" fontId="4" fillId="0" borderId="0" xfId="0" applyNumberFormat="1" applyFont="1" applyFill="1" applyBorder="1" applyAlignment="1"/>
    <xf numFmtId="5" fontId="115" fillId="8" borderId="0" xfId="0" applyNumberFormat="1" applyFont="1" applyFill="1" applyBorder="1" applyAlignment="1"/>
    <xf numFmtId="5" fontId="116" fillId="2" borderId="14" xfId="0" applyNumberFormat="1" applyFont="1" applyBorder="1" applyAlignment="1"/>
    <xf numFmtId="5" fontId="13" fillId="2" borderId="0" xfId="0" applyNumberFormat="1" applyFont="1" applyBorder="1" applyAlignment="1"/>
    <xf numFmtId="5" fontId="5" fillId="0" borderId="0" xfId="0" applyNumberFormat="1" applyFont="1" applyFill="1"/>
    <xf numFmtId="5" fontId="5" fillId="0" borderId="0" xfId="0" applyNumberFormat="1" applyFont="1" applyFill="1" applyAlignment="1"/>
    <xf numFmtId="167" fontId="38" fillId="0" borderId="0" xfId="20" applyNumberFormat="1" applyFont="1"/>
    <xf numFmtId="167" fontId="8" fillId="0" borderId="0" xfId="20" applyNumberFormat="1" applyFont="1"/>
    <xf numFmtId="167" fontId="8" fillId="0" borderId="0" xfId="20" applyNumberFormat="1" applyFont="1" applyBorder="1"/>
    <xf numFmtId="167" fontId="38" fillId="0" borderId="0" xfId="20" applyNumberFormat="1" applyFont="1" applyBorder="1"/>
    <xf numFmtId="0" fontId="2" fillId="0" borderId="0" xfId="15"/>
    <xf numFmtId="0" fontId="4" fillId="0" borderId="0" xfId="15" applyFont="1"/>
    <xf numFmtId="0" fontId="2" fillId="0" borderId="17" xfId="15" applyFill="1" applyBorder="1"/>
    <xf numFmtId="0" fontId="5" fillId="0" borderId="17" xfId="15" applyFont="1" applyFill="1" applyBorder="1"/>
    <xf numFmtId="0" fontId="5" fillId="0" borderId="17" xfId="15" applyFont="1" applyFill="1" applyBorder="1" applyAlignment="1">
      <alignment horizontal="right"/>
    </xf>
    <xf numFmtId="0" fontId="6" fillId="0" borderId="0" xfId="15" applyFont="1"/>
    <xf numFmtId="5" fontId="24" fillId="0" borderId="0" xfId="15" applyNumberFormat="1" applyFont="1"/>
    <xf numFmtId="0" fontId="8" fillId="0" borderId="0" xfId="15" applyFont="1" applyAlignment="1">
      <alignment horizontal="right"/>
    </xf>
    <xf numFmtId="0" fontId="103" fillId="0" borderId="0" xfId="15" applyFont="1"/>
    <xf numFmtId="5" fontId="3" fillId="0" borderId="0" xfId="15" applyNumberFormat="1" applyFont="1"/>
    <xf numFmtId="5" fontId="6" fillId="0" borderId="90" xfId="15" applyNumberFormat="1" applyFont="1" applyBorder="1"/>
    <xf numFmtId="5" fontId="6" fillId="0" borderId="5" xfId="15" applyNumberFormat="1" applyFont="1" applyBorder="1"/>
    <xf numFmtId="0" fontId="8" fillId="0" borderId="0" xfId="15" applyFont="1" applyAlignment="1">
      <alignment horizontal="left" indent="1"/>
    </xf>
    <xf numFmtId="5" fontId="44" fillId="0" borderId="0" xfId="15" applyNumberFormat="1" applyFont="1"/>
    <xf numFmtId="5" fontId="3" fillId="0" borderId="3" xfId="15" applyNumberFormat="1" applyFont="1" applyBorder="1"/>
    <xf numFmtId="0" fontId="3" fillId="0" borderId="3" xfId="15" applyFont="1" applyBorder="1"/>
    <xf numFmtId="0" fontId="5" fillId="0" borderId="0" xfId="15" applyFont="1" applyBorder="1" applyAlignment="1">
      <alignment horizontal="left"/>
    </xf>
    <xf numFmtId="5" fontId="5" fillId="0" borderId="0" xfId="15" applyNumberFormat="1" applyFont="1" applyBorder="1"/>
    <xf numFmtId="5" fontId="3" fillId="0" borderId="4" xfId="15" applyNumberFormat="1" applyFont="1" applyBorder="1"/>
    <xf numFmtId="0" fontId="6" fillId="0" borderId="0" xfId="15" applyFont="1" applyBorder="1" applyAlignment="1">
      <alignment horizontal="left"/>
    </xf>
    <xf numFmtId="5" fontId="6" fillId="0" borderId="0" xfId="15" applyNumberFormat="1" applyFont="1" applyBorder="1"/>
    <xf numFmtId="5" fontId="3" fillId="0" borderId="0" xfId="15" applyNumberFormat="1" applyFont="1" applyBorder="1"/>
    <xf numFmtId="5" fontId="6" fillId="0" borderId="0" xfId="15" applyNumberFormat="1" applyFont="1"/>
    <xf numFmtId="0" fontId="5" fillId="0" borderId="0" xfId="15" applyFont="1" applyBorder="1"/>
    <xf numFmtId="0" fontId="4" fillId="0" borderId="0" xfId="15" applyFont="1" applyBorder="1" applyAlignment="1">
      <alignment horizontal="left"/>
    </xf>
    <xf numFmtId="0" fontId="2" fillId="0" borderId="0" xfId="15" applyBorder="1"/>
    <xf numFmtId="0" fontId="5" fillId="0" borderId="0" xfId="15" applyFont="1" applyBorder="1" applyAlignment="1">
      <alignment horizontal="left" indent="1"/>
    </xf>
    <xf numFmtId="0" fontId="5" fillId="0" borderId="0" xfId="15" applyFont="1" applyBorder="1" applyAlignment="1">
      <alignment horizontal="left" indent="2"/>
    </xf>
    <xf numFmtId="5" fontId="2" fillId="0" borderId="0" xfId="15" applyNumberFormat="1"/>
    <xf numFmtId="0" fontId="6" fillId="0" borderId="90" xfId="15" applyFont="1" applyBorder="1" applyAlignment="1">
      <alignment horizontal="left"/>
    </xf>
    <xf numFmtId="0" fontId="5" fillId="0" borderId="90" xfId="15" applyFont="1" applyBorder="1" applyAlignment="1">
      <alignment horizontal="left"/>
    </xf>
    <xf numFmtId="5" fontId="2" fillId="0" borderId="90" xfId="15" applyNumberFormat="1" applyBorder="1"/>
    <xf numFmtId="0" fontId="5" fillId="2" borderId="0" xfId="0" applyFont="1" applyBorder="1" applyAlignment="1">
      <alignment horizontal="left"/>
    </xf>
    <xf numFmtId="354" fontId="3" fillId="8" borderId="18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0" fontId="5" fillId="9" borderId="0" xfId="0" applyNumberFormat="1" applyFont="1" applyFill="1" applyBorder="1"/>
    <xf numFmtId="10" fontId="5" fillId="0" borderId="0" xfId="0" applyNumberFormat="1" applyFont="1" applyFill="1" applyBorder="1" applyAlignment="1"/>
    <xf numFmtId="0" fontId="5" fillId="2" borderId="96" xfId="0" applyFont="1" applyBorder="1"/>
    <xf numFmtId="5" fontId="5" fillId="2" borderId="0" xfId="0" quotePrefix="1" applyNumberFormat="1" applyFont="1" applyBorder="1"/>
    <xf numFmtId="10" fontId="6" fillId="9" borderId="62" xfId="0" applyNumberFormat="1" applyFont="1" applyFill="1" applyBorder="1"/>
    <xf numFmtId="9" fontId="6" fillId="0" borderId="0" xfId="20" applyFont="1" applyBorder="1"/>
    <xf numFmtId="0" fontId="5" fillId="11" borderId="7" xfId="0" applyFont="1" applyFill="1" applyBorder="1"/>
    <xf numFmtId="5" fontId="0" fillId="2" borderId="0" xfId="0" applyNumberFormat="1"/>
    <xf numFmtId="9" fontId="0" fillId="2" borderId="0" xfId="20" applyFont="1" applyFill="1"/>
    <xf numFmtId="167" fontId="0" fillId="2" borderId="0" xfId="20" applyNumberFormat="1" applyFont="1" applyFill="1"/>
    <xf numFmtId="9" fontId="0" fillId="2" borderId="0" xfId="20" applyNumberFormat="1" applyFont="1" applyFill="1"/>
    <xf numFmtId="0" fontId="8" fillId="2" borderId="0" xfId="0" applyFont="1"/>
    <xf numFmtId="0" fontId="0" fillId="2" borderId="5" xfId="0" applyBorder="1"/>
    <xf numFmtId="9" fontId="0" fillId="2" borderId="5" xfId="20" applyFont="1" applyFill="1" applyBorder="1"/>
    <xf numFmtId="0" fontId="0" fillId="2" borderId="17" xfId="0" applyBorder="1"/>
    <xf numFmtId="0" fontId="5" fillId="2" borderId="5" xfId="0" applyFont="1" applyBorder="1"/>
    <xf numFmtId="0" fontId="5" fillId="2" borderId="112" xfId="0" applyFont="1" applyBorder="1"/>
    <xf numFmtId="0" fontId="0" fillId="2" borderId="0" xfId="20" applyNumberFormat="1" applyFont="1" applyFill="1"/>
    <xf numFmtId="2" fontId="0" fillId="2" borderId="0" xfId="20" applyNumberFormat="1" applyFont="1" applyFill="1"/>
    <xf numFmtId="193" fontId="0" fillId="2" borderId="0" xfId="20" applyNumberFormat="1" applyFont="1" applyFill="1"/>
    <xf numFmtId="193" fontId="0" fillId="2" borderId="0" xfId="20" applyNumberFormat="1" applyFont="1" applyFill="1" applyAlignment="1">
      <alignment horizontal="right"/>
    </xf>
    <xf numFmtId="2" fontId="0" fillId="2" borderId="0" xfId="20" applyNumberFormat="1" applyFont="1" applyFill="1" applyAlignment="1">
      <alignment horizontal="right"/>
    </xf>
    <xf numFmtId="0" fontId="6" fillId="2" borderId="17" xfId="0" applyFont="1" applyBorder="1" applyAlignment="1">
      <alignment horizontal="center"/>
    </xf>
    <xf numFmtId="9" fontId="0" fillId="2" borderId="0" xfId="20" applyFont="1" applyFill="1" applyBorder="1"/>
    <xf numFmtId="14" fontId="0" fillId="2" borderId="0" xfId="0" applyNumberFormat="1"/>
    <xf numFmtId="37" fontId="0" fillId="2" borderId="0" xfId="0" applyNumberFormat="1" applyAlignment="1"/>
    <xf numFmtId="37" fontId="0" fillId="2" borderId="0" xfId="0" applyNumberFormat="1"/>
    <xf numFmtId="37" fontId="0" fillId="2" borderId="5" xfId="0" applyNumberFormat="1" applyBorder="1"/>
    <xf numFmtId="0" fontId="0" fillId="5" borderId="3" xfId="0" applyFill="1" applyBorder="1"/>
    <xf numFmtId="14" fontId="0" fillId="5" borderId="3" xfId="0" applyNumberFormat="1" applyFill="1" applyBorder="1"/>
    <xf numFmtId="14" fontId="0" fillId="12" borderId="3" xfId="0" applyNumberFormat="1" applyFill="1" applyBorder="1"/>
    <xf numFmtId="9" fontId="0" fillId="2" borderId="0" xfId="0" applyNumberFormat="1"/>
    <xf numFmtId="167" fontId="0" fillId="2" borderId="0" xfId="0" applyNumberFormat="1"/>
    <xf numFmtId="1" fontId="0" fillId="2" borderId="0" xfId="0" applyNumberFormat="1" applyBorder="1"/>
    <xf numFmtId="5" fontId="6" fillId="0" borderId="60" xfId="0" applyNumberFormat="1" applyFont="1" applyFill="1" applyBorder="1"/>
    <xf numFmtId="14" fontId="3" fillId="2" borderId="0" xfId="0" applyNumberFormat="1" applyFont="1"/>
    <xf numFmtId="37" fontId="0" fillId="2" borderId="5" xfId="0" applyNumberFormat="1" applyBorder="1" applyAlignment="1"/>
    <xf numFmtId="2" fontId="0" fillId="2" borderId="0" xfId="0" applyNumberFormat="1"/>
    <xf numFmtId="3" fontId="0" fillId="2" borderId="0" xfId="0" applyNumberFormat="1"/>
    <xf numFmtId="10" fontId="0" fillId="2" borderId="0" xfId="0" applyNumberFormat="1"/>
    <xf numFmtId="0" fontId="0" fillId="2" borderId="0" xfId="0" applyBorder="1" applyAlignment="1">
      <alignment horizontal="center"/>
    </xf>
    <xf numFmtId="0" fontId="0" fillId="2" borderId="0" xfId="0" applyBorder="1" applyAlignment="1">
      <alignment horizontal="center" wrapText="1"/>
    </xf>
    <xf numFmtId="0" fontId="0" fillId="2" borderId="17" xfId="0" applyBorder="1" applyAlignment="1">
      <alignment horizontal="center"/>
    </xf>
    <xf numFmtId="0" fontId="0" fillId="2" borderId="4" xfId="0" applyBorder="1"/>
    <xf numFmtId="2" fontId="0" fillId="2" borderId="4" xfId="0" applyNumberFormat="1" applyBorder="1"/>
    <xf numFmtId="10" fontId="0" fillId="2" borderId="4" xfId="0" applyNumberFormat="1" applyBorder="1"/>
    <xf numFmtId="9" fontId="0" fillId="2" borderId="4" xfId="0" applyNumberFormat="1" applyBorder="1"/>
    <xf numFmtId="0" fontId="0" fillId="2" borderId="93" xfId="0" applyBorder="1"/>
    <xf numFmtId="2" fontId="0" fillId="2" borderId="93" xfId="0" applyNumberFormat="1" applyBorder="1"/>
    <xf numFmtId="167" fontId="6" fillId="2" borderId="0" xfId="20" applyNumberFormat="1" applyFont="1" applyFill="1" applyBorder="1"/>
    <xf numFmtId="0" fontId="6" fillId="0" borderId="52" xfId="0" applyFont="1" applyFill="1" applyBorder="1" applyAlignment="1">
      <alignment horizontal="right"/>
    </xf>
    <xf numFmtId="0" fontId="6" fillId="0" borderId="17" xfId="0" applyNumberFormat="1" applyFont="1" applyFill="1" applyBorder="1"/>
    <xf numFmtId="0" fontId="5" fillId="2" borderId="113" xfId="0" applyFont="1" applyBorder="1"/>
    <xf numFmtId="354" fontId="3" fillId="0" borderId="18" xfId="0" applyNumberFormat="1" applyFont="1" applyFill="1" applyBorder="1" applyAlignment="1">
      <alignment horizontal="center"/>
    </xf>
    <xf numFmtId="17" fontId="3" fillId="8" borderId="0" xfId="0" applyNumberFormat="1" applyFont="1" applyFill="1" applyBorder="1" applyAlignment="1">
      <alignment horizontal="right"/>
    </xf>
    <xf numFmtId="5" fontId="3" fillId="8" borderId="0" xfId="0" applyNumberFormat="1" applyFont="1" applyFill="1" applyBorder="1" applyAlignment="1">
      <alignment horizontal="right"/>
    </xf>
    <xf numFmtId="15" fontId="5" fillId="0" borderId="0" xfId="0" applyNumberFormat="1" applyFont="1" applyFill="1"/>
    <xf numFmtId="9" fontId="15" fillId="2" borderId="0" xfId="0" applyNumberFormat="1" applyFont="1"/>
    <xf numFmtId="167" fontId="15" fillId="0" borderId="0" xfId="0" applyNumberFormat="1" applyFont="1" applyFill="1"/>
    <xf numFmtId="0" fontId="36" fillId="0" borderId="15" xfId="0" applyFont="1" applyFill="1" applyBorder="1"/>
    <xf numFmtId="0" fontId="36" fillId="0" borderId="0" xfId="0" applyFont="1" applyFill="1" applyBorder="1"/>
    <xf numFmtId="37" fontId="36" fillId="0" borderId="0" xfId="0" applyNumberFormat="1" applyFont="1" applyFill="1" applyBorder="1"/>
    <xf numFmtId="5" fontId="36" fillId="0" borderId="0" xfId="0" applyNumberFormat="1" applyFont="1" applyFill="1" applyBorder="1"/>
    <xf numFmtId="0" fontId="15" fillId="2" borderId="0" xfId="0" applyFont="1" applyBorder="1"/>
    <xf numFmtId="5" fontId="36" fillId="0" borderId="53" xfId="0" applyNumberFormat="1" applyFont="1" applyFill="1" applyBorder="1"/>
    <xf numFmtId="0" fontId="15" fillId="2" borderId="16" xfId="0" applyFont="1" applyBorder="1"/>
    <xf numFmtId="0" fontId="15" fillId="2" borderId="17" xfId="0" applyFont="1" applyBorder="1"/>
    <xf numFmtId="0" fontId="15" fillId="2" borderId="0" xfId="0" applyFont="1"/>
    <xf numFmtId="0" fontId="15" fillId="2" borderId="52" xfId="0" applyFont="1" applyBorder="1"/>
    <xf numFmtId="0" fontId="36" fillId="0" borderId="0" xfId="0" applyFont="1" applyFill="1"/>
    <xf numFmtId="0" fontId="36" fillId="2" borderId="0" xfId="0" applyFont="1" applyBorder="1"/>
    <xf numFmtId="0" fontId="36" fillId="2" borderId="0" xfId="0" applyFont="1" applyBorder="1" applyAlignment="1">
      <alignment horizontal="center"/>
    </xf>
    <xf numFmtId="0" fontId="36" fillId="2" borderId="0" xfId="0" applyFont="1"/>
    <xf numFmtId="0" fontId="36" fillId="5" borderId="51" xfId="0" applyFont="1" applyFill="1" applyBorder="1"/>
    <xf numFmtId="0" fontId="36" fillId="5" borderId="53" xfId="0" applyFont="1" applyFill="1" applyBorder="1"/>
    <xf numFmtId="176" fontId="36" fillId="5" borderId="53" xfId="4" applyNumberFormat="1" applyFont="1" applyFill="1" applyBorder="1"/>
    <xf numFmtId="0" fontId="36" fillId="5" borderId="52" xfId="0" applyFont="1" applyFill="1" applyBorder="1"/>
    <xf numFmtId="0" fontId="15" fillId="2" borderId="15" xfId="0" applyFont="1" applyBorder="1"/>
    <xf numFmtId="0" fontId="15" fillId="2" borderId="53" xfId="0" applyFont="1" applyBorder="1"/>
    <xf numFmtId="0" fontId="36" fillId="5" borderId="15" xfId="0" applyFont="1" applyFill="1" applyBorder="1"/>
    <xf numFmtId="0" fontId="36" fillId="5" borderId="0" xfId="0" applyFont="1" applyFill="1" applyBorder="1"/>
    <xf numFmtId="5" fontId="36" fillId="5" borderId="0" xfId="0" applyNumberFormat="1" applyFont="1" applyFill="1" applyBorder="1"/>
    <xf numFmtId="5" fontId="15" fillId="5" borderId="0" xfId="0" applyNumberFormat="1" applyFont="1" applyFill="1" applyBorder="1"/>
    <xf numFmtId="5" fontId="15" fillId="5" borderId="0" xfId="0" applyNumberFormat="1" applyFont="1" applyFill="1"/>
    <xf numFmtId="0" fontId="117" fillId="5" borderId="0" xfId="0" applyFont="1" applyFill="1" applyBorder="1" applyAlignment="1">
      <alignment horizontal="center"/>
    </xf>
    <xf numFmtId="0" fontId="118" fillId="5" borderId="0" xfId="0" applyFont="1" applyFill="1" applyBorder="1" applyAlignment="1">
      <alignment horizontal="center"/>
    </xf>
    <xf numFmtId="5" fontId="118" fillId="5" borderId="0" xfId="0" applyNumberFormat="1" applyFont="1" applyFill="1" applyBorder="1" applyAlignment="1">
      <alignment horizontal="center"/>
    </xf>
    <xf numFmtId="0" fontId="15" fillId="5" borderId="0" xfId="0" applyFont="1" applyFill="1"/>
    <xf numFmtId="204" fontId="5" fillId="5" borderId="0" xfId="0" applyNumberFormat="1" applyFont="1" applyFill="1" applyBorder="1"/>
    <xf numFmtId="204" fontId="15" fillId="5" borderId="15" xfId="0" applyNumberFormat="1" applyFont="1" applyFill="1" applyBorder="1"/>
    <xf numFmtId="204" fontId="15" fillId="5" borderId="0" xfId="0" applyNumberFormat="1" applyFont="1" applyFill="1" applyBorder="1"/>
    <xf numFmtId="5" fontId="15" fillId="5" borderId="0" xfId="3" applyNumberFormat="1" applyFont="1" applyFill="1" applyBorder="1"/>
    <xf numFmtId="5" fontId="15" fillId="5" borderId="53" xfId="3" applyNumberFormat="1" applyFont="1" applyFill="1" applyBorder="1"/>
    <xf numFmtId="204" fontId="15" fillId="5" borderId="0" xfId="0" applyNumberFormat="1" applyFont="1" applyFill="1"/>
    <xf numFmtId="0" fontId="119" fillId="5" borderId="0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0" fillId="9" borderId="0" xfId="0" applyFill="1"/>
    <xf numFmtId="9" fontId="0" fillId="9" borderId="0" xfId="0" applyNumberFormat="1" applyFill="1"/>
    <xf numFmtId="193" fontId="0" fillId="9" borderId="0" xfId="0" applyNumberFormat="1" applyFill="1"/>
    <xf numFmtId="0" fontId="0" fillId="9" borderId="0" xfId="0" applyFill="1" applyAlignment="1">
      <alignment horizontal="right"/>
    </xf>
    <xf numFmtId="2" fontId="0" fillId="9" borderId="0" xfId="0" applyNumberFormat="1" applyFill="1"/>
    <xf numFmtId="0" fontId="15" fillId="9" borderId="15" xfId="0" applyNumberFormat="1" applyFont="1" applyFill="1" applyBorder="1" applyAlignment="1"/>
    <xf numFmtId="0" fontId="15" fillId="9" borderId="0" xfId="0" applyNumberFormat="1" applyFont="1" applyFill="1" applyBorder="1" applyAlignment="1"/>
    <xf numFmtId="5" fontId="115" fillId="9" borderId="0" xfId="0" applyNumberFormat="1" applyFont="1" applyFill="1" applyBorder="1" applyAlignment="1"/>
    <xf numFmtId="0" fontId="115" fillId="9" borderId="0" xfId="0" applyNumberFormat="1" applyFont="1" applyFill="1" applyBorder="1" applyAlignment="1"/>
    <xf numFmtId="5" fontId="115" fillId="9" borderId="53" xfId="0" applyNumberFormat="1" applyFont="1" applyFill="1" applyBorder="1" applyAlignment="1"/>
    <xf numFmtId="0" fontId="117" fillId="9" borderId="0" xfId="0" applyNumberFormat="1" applyFont="1" applyFill="1" applyAlignment="1">
      <alignment horizontal="center"/>
    </xf>
    <xf numFmtId="0" fontId="15" fillId="9" borderId="6" xfId="0" applyNumberFormat="1" applyFont="1" applyFill="1" applyBorder="1" applyAlignment="1"/>
    <xf numFmtId="0" fontId="36" fillId="9" borderId="0" xfId="0" applyNumberFormat="1" applyFont="1" applyFill="1" applyBorder="1" applyAlignment="1">
      <alignment horizontal="center"/>
    </xf>
    <xf numFmtId="0" fontId="15" fillId="9" borderId="8" xfId="0" applyNumberFormat="1" applyFont="1" applyFill="1" applyBorder="1" applyAlignment="1"/>
    <xf numFmtId="0" fontId="15" fillId="9" borderId="0" xfId="0" applyNumberFormat="1" applyFont="1" applyFill="1" applyAlignment="1"/>
    <xf numFmtId="5" fontId="15" fillId="9" borderId="0" xfId="0" applyNumberFormat="1" applyFont="1" applyFill="1" applyBorder="1"/>
    <xf numFmtId="5" fontId="115" fillId="8" borderId="18" xfId="0" applyNumberFormat="1" applyFont="1" applyFill="1" applyBorder="1"/>
    <xf numFmtId="176" fontId="5" fillId="2" borderId="0" xfId="4" applyNumberFormat="1" applyFont="1" applyFill="1"/>
    <xf numFmtId="0" fontId="5" fillId="2" borderId="0" xfId="0" applyFont="1" applyAlignment="1">
      <alignment horizontal="right"/>
    </xf>
    <xf numFmtId="0" fontId="15" fillId="2" borderId="0" xfId="0" applyNumberFormat="1" applyFont="1" applyBorder="1" applyAlignment="1">
      <alignment horizontal="right"/>
    </xf>
    <xf numFmtId="5" fontId="15" fillId="9" borderId="64" xfId="0" applyNumberFormat="1" applyFont="1" applyFill="1" applyBorder="1" applyAlignment="1"/>
    <xf numFmtId="0" fontId="36" fillId="9" borderId="15" xfId="0" applyFont="1" applyFill="1" applyBorder="1"/>
    <xf numFmtId="0" fontId="15" fillId="9" borderId="0" xfId="0" applyFont="1" applyFill="1" applyBorder="1"/>
    <xf numFmtId="9" fontId="15" fillId="9" borderId="0" xfId="20" applyFont="1" applyFill="1" applyBorder="1"/>
    <xf numFmtId="0" fontId="15" fillId="9" borderId="64" xfId="0" applyFont="1" applyFill="1" applyBorder="1"/>
    <xf numFmtId="0" fontId="15" fillId="9" borderId="0" xfId="0" applyFont="1" applyFill="1"/>
    <xf numFmtId="0" fontId="15" fillId="9" borderId="15" xfId="0" applyFont="1" applyFill="1" applyBorder="1"/>
    <xf numFmtId="10" fontId="115" fillId="9" borderId="0" xfId="0" applyNumberFormat="1" applyFont="1" applyFill="1" applyBorder="1" applyAlignment="1"/>
    <xf numFmtId="0" fontId="5" fillId="13" borderId="15" xfId="0" applyFont="1" applyFill="1" applyBorder="1"/>
    <xf numFmtId="0" fontId="5" fillId="13" borderId="0" xfId="0" applyFont="1" applyFill="1" applyBorder="1"/>
    <xf numFmtId="5" fontId="4" fillId="13" borderId="0" xfId="0" applyNumberFormat="1" applyFont="1" applyFill="1" applyBorder="1"/>
    <xf numFmtId="5" fontId="4" fillId="13" borderId="53" xfId="0" applyNumberFormat="1" applyFont="1" applyFill="1" applyBorder="1"/>
    <xf numFmtId="0" fontId="5" fillId="13" borderId="0" xfId="0" applyFont="1" applyFill="1"/>
    <xf numFmtId="10" fontId="6" fillId="14" borderId="15" xfId="0" applyNumberFormat="1" applyFont="1" applyFill="1" applyBorder="1" applyAlignment="1"/>
    <xf numFmtId="0" fontId="5" fillId="14" borderId="0" xfId="0" applyFont="1" applyFill="1" applyBorder="1"/>
    <xf numFmtId="38" fontId="5" fillId="14" borderId="0" xfId="0" applyNumberFormat="1" applyFont="1" applyFill="1" applyBorder="1"/>
    <xf numFmtId="5" fontId="5" fillId="14" borderId="0" xfId="0" applyNumberFormat="1" applyFont="1" applyFill="1" applyBorder="1"/>
    <xf numFmtId="5" fontId="5" fillId="14" borderId="53" xfId="0" applyNumberFormat="1" applyFont="1" applyFill="1" applyBorder="1"/>
    <xf numFmtId="0" fontId="5" fillId="14" borderId="0" xfId="0" applyFont="1" applyFill="1"/>
    <xf numFmtId="0" fontId="5" fillId="9" borderId="15" xfId="0" applyFont="1" applyFill="1" applyBorder="1" applyAlignment="1"/>
    <xf numFmtId="49" fontId="5" fillId="9" borderId="0" xfId="0" applyNumberFormat="1" applyFont="1" applyFill="1" applyBorder="1" applyAlignment="1">
      <alignment horizontal="center"/>
    </xf>
    <xf numFmtId="38" fontId="5" fillId="9" borderId="0" xfId="0" applyNumberFormat="1" applyFont="1" applyFill="1" applyBorder="1"/>
    <xf numFmtId="5" fontId="5" fillId="9" borderId="0" xfId="0" applyNumberFormat="1" applyFont="1" applyFill="1" applyBorder="1" applyAlignment="1">
      <alignment horizontal="right"/>
    </xf>
    <xf numFmtId="0" fontId="5" fillId="9" borderId="0" xfId="0" applyFont="1" applyFill="1"/>
    <xf numFmtId="10" fontId="6" fillId="9" borderId="15" xfId="20" applyNumberFormat="1" applyFont="1" applyFill="1" applyBorder="1" applyAlignment="1"/>
    <xf numFmtId="0" fontId="5" fillId="15" borderId="15" xfId="0" applyFont="1" applyFill="1" applyBorder="1" applyAlignment="1"/>
    <xf numFmtId="0" fontId="5" fillId="15" borderId="0" xfId="0" applyFont="1" applyFill="1" applyBorder="1"/>
    <xf numFmtId="0" fontId="5" fillId="15" borderId="0" xfId="0" quotePrefix="1" applyFont="1" applyFill="1" applyBorder="1" applyAlignment="1">
      <alignment horizontal="center"/>
    </xf>
    <xf numFmtId="38" fontId="5" fillId="15" borderId="0" xfId="0" applyNumberFormat="1" applyFont="1" applyFill="1" applyBorder="1"/>
    <xf numFmtId="5" fontId="5" fillId="15" borderId="0" xfId="0" applyNumberFormat="1" applyFont="1" applyFill="1" applyBorder="1" applyAlignment="1">
      <alignment horizontal="right"/>
    </xf>
    <xf numFmtId="5" fontId="5" fillId="15" borderId="53" xfId="0" applyNumberFormat="1" applyFont="1" applyFill="1" applyBorder="1"/>
    <xf numFmtId="0" fontId="5" fillId="15" borderId="0" xfId="0" applyFont="1" applyFill="1"/>
    <xf numFmtId="49" fontId="5" fillId="15" borderId="0" xfId="0" applyNumberFormat="1" applyFont="1" applyFill="1" applyBorder="1" applyAlignment="1">
      <alignment horizontal="center"/>
    </xf>
    <xf numFmtId="5" fontId="5" fillId="15" borderId="0" xfId="0" applyNumberFormat="1" applyFont="1" applyFill="1" applyBorder="1"/>
    <xf numFmtId="0" fontId="4" fillId="15" borderId="15" xfId="0" applyFont="1" applyFill="1" applyBorder="1" applyAlignment="1"/>
    <xf numFmtId="5" fontId="4" fillId="15" borderId="0" xfId="0" applyNumberFormat="1" applyFont="1" applyFill="1" applyBorder="1"/>
    <xf numFmtId="5" fontId="4" fillId="15" borderId="53" xfId="0" applyNumberFormat="1" applyFont="1" applyFill="1" applyBorder="1"/>
    <xf numFmtId="0" fontId="4" fillId="15" borderId="0" xfId="0" applyFont="1" applyFill="1"/>
    <xf numFmtId="10" fontId="6" fillId="15" borderId="15" xfId="0" applyNumberFormat="1" applyFont="1" applyFill="1" applyBorder="1" applyAlignment="1"/>
    <xf numFmtId="5" fontId="16" fillId="15" borderId="0" xfId="0" applyNumberFormat="1" applyFont="1" applyFill="1" applyBorder="1"/>
    <xf numFmtId="10" fontId="5" fillId="15" borderId="0" xfId="20" applyNumberFormat="1" applyFont="1" applyFill="1" applyBorder="1" applyAlignment="1">
      <alignment horizontal="center"/>
    </xf>
    <xf numFmtId="1" fontId="5" fillId="14" borderId="0" xfId="0" applyNumberFormat="1" applyFont="1" applyFill="1" applyBorder="1"/>
    <xf numFmtId="1" fontId="5" fillId="15" borderId="0" xfId="0" applyNumberFormat="1" applyFont="1" applyFill="1" applyBorder="1"/>
    <xf numFmtId="5" fontId="5" fillId="15" borderId="0" xfId="0" quotePrefix="1" applyNumberFormat="1" applyFont="1" applyFill="1" applyBorder="1"/>
    <xf numFmtId="0" fontId="5" fillId="8" borderId="15" xfId="0" applyFont="1" applyFill="1" applyBorder="1" applyAlignment="1"/>
    <xf numFmtId="1" fontId="5" fillId="8" borderId="0" xfId="0" applyNumberFormat="1" applyFont="1" applyFill="1" applyBorder="1"/>
    <xf numFmtId="5" fontId="5" fillId="8" borderId="0" xfId="0" applyNumberFormat="1" applyFont="1" applyFill="1" applyBorder="1"/>
    <xf numFmtId="5" fontId="5" fillId="8" borderId="53" xfId="0" applyNumberFormat="1" applyFont="1" applyFill="1" applyBorder="1"/>
    <xf numFmtId="5" fontId="12" fillId="14" borderId="0" xfId="0" applyNumberFormat="1" applyFont="1" applyFill="1" applyBorder="1"/>
    <xf numFmtId="5" fontId="6" fillId="14" borderId="0" xfId="0" applyNumberFormat="1" applyFont="1" applyFill="1" applyBorder="1"/>
    <xf numFmtId="5" fontId="4" fillId="14" borderId="0" xfId="0" applyNumberFormat="1" applyFont="1" applyFill="1" applyBorder="1"/>
    <xf numFmtId="0" fontId="6" fillId="14" borderId="0" xfId="18" applyFont="1" applyFill="1" applyAlignment="1">
      <alignment horizontal="center"/>
    </xf>
    <xf numFmtId="5" fontId="5" fillId="14" borderId="18" xfId="18" applyNumberFormat="1" applyFont="1" applyFill="1" applyBorder="1" applyAlignment="1"/>
    <xf numFmtId="5" fontId="5" fillId="14" borderId="0" xfId="18" applyNumberFormat="1" applyFont="1" applyFill="1" applyBorder="1" applyAlignment="1"/>
    <xf numFmtId="5" fontId="5" fillId="14" borderId="101" xfId="18" applyNumberFormat="1" applyFont="1" applyFill="1" applyBorder="1" applyAlignment="1"/>
    <xf numFmtId="5" fontId="5" fillId="14" borderId="100" xfId="18" applyNumberFormat="1" applyFont="1" applyFill="1" applyBorder="1" applyAlignment="1"/>
    <xf numFmtId="37" fontId="5" fillId="14" borderId="0" xfId="20" applyNumberFormat="1" applyFont="1" applyFill="1" applyBorder="1" applyAlignment="1"/>
    <xf numFmtId="17" fontId="5" fillId="14" borderId="53" xfId="18" applyNumberFormat="1" applyFont="1" applyFill="1" applyBorder="1" applyAlignment="1">
      <alignment horizontal="center"/>
    </xf>
    <xf numFmtId="17" fontId="5" fillId="14" borderId="19" xfId="0" applyNumberFormat="1" applyFont="1" applyFill="1" applyBorder="1" applyAlignment="1">
      <alignment horizontal="center"/>
    </xf>
    <xf numFmtId="37" fontId="37" fillId="14" borderId="101" xfId="20" applyNumberFormat="1" applyFont="1" applyFill="1" applyBorder="1" applyAlignment="1"/>
    <xf numFmtId="3" fontId="5" fillId="14" borderId="20" xfId="0" applyNumberFormat="1" applyFont="1" applyFill="1" applyBorder="1"/>
    <xf numFmtId="9" fontId="0" fillId="14" borderId="0" xfId="20" applyFont="1" applyFill="1"/>
    <xf numFmtId="177" fontId="3" fillId="14" borderId="0" xfId="0" applyNumberFormat="1" applyFont="1" applyFill="1" applyBorder="1" applyAlignment="1"/>
    <xf numFmtId="177" fontId="5" fillId="14" borderId="0" xfId="18" applyNumberFormat="1" applyFont="1" applyFill="1" applyBorder="1" applyAlignment="1">
      <alignment horizontal="center"/>
    </xf>
    <xf numFmtId="177" fontId="3" fillId="14" borderId="17" xfId="0" applyNumberFormat="1" applyFont="1" applyFill="1" applyBorder="1" applyAlignment="1"/>
    <xf numFmtId="0" fontId="6" fillId="14" borderId="0" xfId="19" applyFont="1" applyFill="1" applyAlignment="1">
      <alignment horizontal="center"/>
    </xf>
    <xf numFmtId="191" fontId="5" fillId="14" borderId="18" xfId="19" applyNumberFormat="1" applyFont="1" applyFill="1" applyBorder="1" applyAlignment="1">
      <alignment horizontal="center"/>
    </xf>
    <xf numFmtId="191" fontId="5" fillId="14" borderId="0" xfId="0" applyNumberFormat="1" applyFont="1" applyFill="1" applyBorder="1"/>
    <xf numFmtId="5" fontId="10" fillId="14" borderId="0" xfId="0" applyNumberFormat="1" applyFont="1" applyFill="1" applyBorder="1" applyAlignment="1"/>
    <xf numFmtId="5" fontId="3" fillId="14" borderId="4" xfId="0" applyNumberFormat="1" applyFont="1" applyFill="1" applyBorder="1"/>
    <xf numFmtId="7" fontId="6" fillId="14" borderId="0" xfId="0" applyNumberFormat="1" applyFont="1" applyFill="1" applyBorder="1"/>
    <xf numFmtId="5" fontId="6" fillId="14" borderId="0" xfId="3" applyNumberFormat="1" applyFont="1" applyFill="1" applyBorder="1"/>
    <xf numFmtId="0" fontId="2" fillId="0" borderId="89" xfId="15" applyBorder="1" applyAlignment="1">
      <alignment horizontal="center"/>
    </xf>
    <xf numFmtId="0" fontId="2" fillId="0" borderId="114" xfId="15" applyBorder="1" applyAlignment="1">
      <alignment horizontal="center"/>
    </xf>
    <xf numFmtId="0" fontId="2" fillId="0" borderId="90" xfId="15" applyBorder="1" applyAlignment="1">
      <alignment horizontal="center"/>
    </xf>
  </cellXfs>
  <cellStyles count="27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Normal_02012000_Epe" xfId="15"/>
    <cellStyle name="Normal_0818_BRpipe" xfId="16"/>
    <cellStyle name="Normal_0914_BRpwr" xfId="17"/>
    <cellStyle name="Normal_0915_BRpwr" xfId="18"/>
    <cellStyle name="Normal_Curves" xfId="19"/>
    <cellStyle name="Percent" xfId="20" builtinId="5"/>
    <cellStyle name="Percent [2]" xfId="21"/>
    <cellStyle name="Total" xfId="22" builtinId="25" customBuiltin="1"/>
    <cellStyle name="Unprot" xfId="23"/>
    <cellStyle name="Unprot$" xfId="24"/>
    <cellStyle name="Unprot_CurrencySKorea" xfId="25"/>
    <cellStyle name="Unprotect" xf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Sensitivity to Change in Start Date - 300MW Simple Cycle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($, 000)</a:t>
            </a:r>
          </a:p>
        </c:rich>
      </c:tx>
      <c:layout>
        <c:manualLayout>
          <c:xMode val="edge"/>
          <c:yMode val="edge"/>
          <c:x val="0.16794425216984527"/>
          <c:y val="3.4884849489946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2157209179233"/>
          <c:y val="0.24710101722045541"/>
          <c:w val="0.72979411397441851"/>
          <c:h val="0.52327274234919974"/>
        </c:manualLayout>
      </c:layout>
      <c:lineChart>
        <c:grouping val="standard"/>
        <c:varyColors val="0"/>
        <c:ser>
          <c:idx val="1"/>
          <c:order val="0"/>
          <c:tx>
            <c:strRef>
              <c:f>RAROC!$B$33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RAROC!$A$34:$A$38</c:f>
              <c:numCache>
                <c:formatCode>m/d/yyyy</c:formatCode>
                <c:ptCount val="5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</c:numCache>
            </c:numRef>
          </c:cat>
          <c:val>
            <c:numRef>
              <c:f>RAROC!$B$34:$B$38</c:f>
              <c:numCache>
                <c:formatCode>#,##0</c:formatCode>
                <c:ptCount val="5"/>
                <c:pt idx="0">
                  <c:v>6288.8793765469427</c:v>
                </c:pt>
                <c:pt idx="1">
                  <c:v>6093.2642321468475</c:v>
                </c:pt>
                <c:pt idx="2">
                  <c:v>5896.8318688735189</c:v>
                </c:pt>
                <c:pt idx="3">
                  <c:v>5781.0587193042002</c:v>
                </c:pt>
                <c:pt idx="4">
                  <c:v>5735.7559408121015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6-49D4-AF49-948D020D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50240"/>
        <c:axId val="1"/>
      </c:lineChart>
      <c:lineChart>
        <c:grouping val="standard"/>
        <c:varyColors val="0"/>
        <c:ser>
          <c:idx val="0"/>
          <c:order val="1"/>
          <c:tx>
            <c:strRef>
              <c:f>RAROC!$C$33</c:f>
              <c:strCache>
                <c:ptCount val="1"/>
                <c:pt idx="0">
                  <c:v>EBDIT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RAROC!$A$34:$A$38</c:f>
              <c:numCache>
                <c:formatCode>m/d/yyyy</c:formatCode>
                <c:ptCount val="5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</c:numCache>
            </c:numRef>
          </c:cat>
          <c:val>
            <c:numRef>
              <c:f>RAROC!$C$34:$C$38</c:f>
              <c:numCache>
                <c:formatCode>#,##0</c:formatCode>
                <c:ptCount val="5"/>
                <c:pt idx="0">
                  <c:v>123315.91004156313</c:v>
                </c:pt>
                <c:pt idx="1">
                  <c:v>122072.56411094649</c:v>
                </c:pt>
                <c:pt idx="2">
                  <c:v>120811.17427470491</c:v>
                </c:pt>
                <c:pt idx="3">
                  <c:v>120076.9537082918</c:v>
                </c:pt>
                <c:pt idx="4">
                  <c:v>119820.07296891745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6-49D4-AF49-948D020D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1750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3.8169148220419377E-2"/>
              <c:y val="0.424432335461017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502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EBDIT NPV14</a:t>
                </a:r>
              </a:p>
            </c:rich>
          </c:tx>
          <c:layout>
            <c:manualLayout>
              <c:xMode val="edge"/>
              <c:yMode val="edge"/>
              <c:x val="0.93132721657823281"/>
              <c:y val="0.357569707271953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2375694005692"/>
          <c:y val="0.87793537883032391"/>
          <c:w val="0.35268292955667502"/>
          <c:h val="6.9769698979893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Sensitivity to Change in Start Date - 480MW Combined Cycle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($, 000)</a:t>
            </a:r>
          </a:p>
        </c:rich>
      </c:tx>
      <c:layout>
        <c:manualLayout>
          <c:xMode val="edge"/>
          <c:yMode val="edge"/>
          <c:x val="0.1480962950952271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2157209179233"/>
          <c:y val="0.23276577857003794"/>
          <c:w val="0.72979411397441851"/>
          <c:h val="0.54024649840947081"/>
        </c:manualLayout>
      </c:layout>
      <c:lineChart>
        <c:grouping val="standard"/>
        <c:varyColors val="0"/>
        <c:ser>
          <c:idx val="1"/>
          <c:order val="0"/>
          <c:tx>
            <c:strRef>
              <c:f>RAROC!$B$41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RAROC!$A$42:$A$46</c:f>
              <c:numCache>
                <c:formatCode>m/d/yyyy</c:formatCode>
                <c:ptCount val="5"/>
                <c:pt idx="0">
                  <c:v>37104</c:v>
                </c:pt>
                <c:pt idx="1">
                  <c:v>37591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</c:numCache>
            </c:numRef>
          </c:cat>
          <c:val>
            <c:numRef>
              <c:f>RAROC!$B$42:$B$46</c:f>
              <c:numCache>
                <c:formatCode>#,##0</c:formatCode>
                <c:ptCount val="5"/>
                <c:pt idx="0">
                  <c:v>6288.8793765469427</c:v>
                </c:pt>
                <c:pt idx="1">
                  <c:v>7464.8263771203128</c:v>
                </c:pt>
                <c:pt idx="2">
                  <c:v>6928.8232560153028</c:v>
                </c:pt>
                <c:pt idx="3">
                  <c:v>7086.5858246134985</c:v>
                </c:pt>
                <c:pt idx="4">
                  <c:v>7313.9733263724247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D-445F-B085-417E335E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53488"/>
        <c:axId val="1"/>
      </c:lineChart>
      <c:lineChart>
        <c:grouping val="standard"/>
        <c:varyColors val="0"/>
        <c:ser>
          <c:idx val="0"/>
          <c:order val="1"/>
          <c:tx>
            <c:strRef>
              <c:f>RAROC!$C$41</c:f>
              <c:strCache>
                <c:ptCount val="1"/>
                <c:pt idx="0">
                  <c:v>EBDIT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RAROC!$A$42:$A$46</c:f>
              <c:numCache>
                <c:formatCode>m/d/yyyy</c:formatCode>
                <c:ptCount val="5"/>
                <c:pt idx="0">
                  <c:v>37104</c:v>
                </c:pt>
                <c:pt idx="1">
                  <c:v>37591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</c:numCache>
            </c:numRef>
          </c:cat>
          <c:val>
            <c:numRef>
              <c:f>RAROC!$C$42:$C$46</c:f>
              <c:numCache>
                <c:formatCode>#,##0</c:formatCode>
                <c:ptCount val="5"/>
                <c:pt idx="0">
                  <c:v>123315.91004156313</c:v>
                </c:pt>
                <c:pt idx="1">
                  <c:v>117704.90457332459</c:v>
                </c:pt>
                <c:pt idx="2">
                  <c:v>121113.78705177085</c:v>
                </c:pt>
                <c:pt idx="3">
                  <c:v>119908.88353431744</c:v>
                </c:pt>
                <c:pt idx="4">
                  <c:v>119007.43893471031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D-445F-B085-417E335E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175348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3.8169148220419377E-2"/>
              <c:y val="0.419553131743525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534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EBDIT NPV14</a:t>
                </a:r>
              </a:p>
            </c:rich>
          </c:tx>
          <c:layout>
            <c:manualLayout>
              <c:xMode val="edge"/>
              <c:yMode val="edge"/>
              <c:x val="0.93132721657823281"/>
              <c:y val="0.35345914523598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2375694005692"/>
          <c:y val="0.8793373857090323"/>
          <c:w val="0.35268292955667502"/>
          <c:h val="6.896763809482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OPIC Loan Rate</a:t>
            </a:r>
          </a:p>
        </c:rich>
      </c:tx>
      <c:layout>
        <c:manualLayout>
          <c:xMode val="edge"/>
          <c:yMode val="edge"/>
          <c:x val="0.33894203619732405"/>
          <c:y val="3.3435758708836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8067873244136"/>
          <c:y val="0.20061455225302019"/>
          <c:w val="0.86567628163911148"/>
          <c:h val="0.67479440303288607"/>
        </c:manualLayout>
      </c:layout>
      <c:lineChart>
        <c:grouping val="standard"/>
        <c:varyColors val="0"/>
        <c:ser>
          <c:idx val="0"/>
          <c:order val="0"/>
          <c:tx>
            <c:strRef>
              <c:f>RAROC!$G$33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RAROC!$F$34:$F$38</c:f>
              <c:numCache>
                <c:formatCode>0.00%</c:formatCode>
                <c:ptCount val="5"/>
                <c:pt idx="0" formatCode="0%">
                  <c:v>0.1</c:v>
                </c:pt>
                <c:pt idx="1">
                  <c:v>0.105</c:v>
                </c:pt>
                <c:pt idx="2" formatCode="0%">
                  <c:v>0.11</c:v>
                </c:pt>
                <c:pt idx="3">
                  <c:v>0.115</c:v>
                </c:pt>
                <c:pt idx="4" formatCode="0%">
                  <c:v>0.12</c:v>
                </c:pt>
              </c:numCache>
            </c:numRef>
          </c:cat>
          <c:val>
            <c:numRef>
              <c:f>RAROC!$G$34:$G$38</c:f>
              <c:numCache>
                <c:formatCode>#,##0</c:formatCode>
                <c:ptCount val="5"/>
                <c:pt idx="0">
                  <c:v>6865.3948426702073</c:v>
                </c:pt>
                <c:pt idx="1">
                  <c:v>6576.8453406055678</c:v>
                </c:pt>
                <c:pt idx="2">
                  <c:v>6288.8793765469427</c:v>
                </c:pt>
                <c:pt idx="3">
                  <c:v>5999.2635273088617</c:v>
                </c:pt>
                <c:pt idx="4">
                  <c:v>5709.0968891522398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B-44F6-9BE3-B86CFEE7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752096"/>
        <c:axId val="1"/>
      </c:lineChart>
      <c:catAx>
        <c:axId val="1931752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4428254861068401E-2"/>
              <c:y val="0.44986293535525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5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Construction Cost Overruns</a:t>
            </a:r>
          </a:p>
        </c:rich>
      </c:tx>
      <c:layout>
        <c:manualLayout>
          <c:xMode val="edge"/>
          <c:yMode val="edge"/>
          <c:x val="0.25496991011240144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8067873244136"/>
          <c:y val="0.19420889977870975"/>
          <c:w val="0.86567628163911148"/>
          <c:h val="0.62320766346899403"/>
        </c:manualLayout>
      </c:layout>
      <c:lineChart>
        <c:grouping val="standard"/>
        <c:varyColors val="0"/>
        <c:ser>
          <c:idx val="0"/>
          <c:order val="0"/>
          <c:tx>
            <c:strRef>
              <c:f>RAROC!$G$41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RAROC!$F$42:$F$46</c:f>
              <c:numCache>
                <c:formatCode>#,##0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</c:numCache>
            </c:numRef>
          </c:cat>
          <c:val>
            <c:numRef>
              <c:f>RAROC!$G$42:$G$46</c:f>
              <c:numCache>
                <c:formatCode>#,##0</c:formatCode>
                <c:ptCount val="5"/>
                <c:pt idx="0">
                  <c:v>5988.4653259539282</c:v>
                </c:pt>
                <c:pt idx="1">
                  <c:v>5684.8568965858121</c:v>
                </c:pt>
                <c:pt idx="2">
                  <c:v>5361.9738096726705</c:v>
                </c:pt>
                <c:pt idx="3">
                  <c:v>5053.5511676876777</c:v>
                </c:pt>
                <c:pt idx="4">
                  <c:v>4745.4896187755012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A-4949-8520-E343767D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686240"/>
        <c:axId val="1"/>
      </c:lineChart>
      <c:catAx>
        <c:axId val="197368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Cost Overrun from Base Case ($, 000)</a:t>
                </a:r>
              </a:p>
            </c:rich>
          </c:tx>
          <c:layout>
            <c:manualLayout>
              <c:xMode val="edge"/>
              <c:yMode val="edge"/>
              <c:x val="0.37253088663129313"/>
              <c:y val="0.895679851218228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4428254861068401E-2"/>
              <c:y val="0.4203028428046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68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Change in Volume Throughput</a:t>
            </a:r>
          </a:p>
        </c:rich>
      </c:tx>
      <c:layout>
        <c:manualLayout>
          <c:xMode val="edge"/>
          <c:yMode val="edge"/>
          <c:x val="0.23970225082423369"/>
          <c:y val="3.4884849489946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4127430534201"/>
          <c:y val="0.19477374298553543"/>
          <c:w val="0.85651568606621076"/>
          <c:h val="0.62211314923738181"/>
        </c:manualLayout>
      </c:layout>
      <c:lineChart>
        <c:grouping val="standard"/>
        <c:varyColors val="0"/>
        <c:ser>
          <c:idx val="0"/>
          <c:order val="0"/>
          <c:tx>
            <c:strRef>
              <c:f>RAROC!$K$33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RAROC!$J$34:$J$38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RAROC!$K$34:$K$38</c:f>
              <c:numCache>
                <c:formatCode>#,##0</c:formatCode>
                <c:ptCount val="5"/>
                <c:pt idx="0">
                  <c:v>360.44761622378064</c:v>
                </c:pt>
                <c:pt idx="1">
                  <c:v>3374.8129976958198</c:v>
                </c:pt>
                <c:pt idx="2">
                  <c:v>6288.8793765469427</c:v>
                </c:pt>
                <c:pt idx="3">
                  <c:v>9122.0887625585674</c:v>
                </c:pt>
                <c:pt idx="4">
                  <c:v>11871.20082591919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6-4151-8BCE-841FC4EE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683456"/>
        <c:axId val="1"/>
      </c:lineChart>
      <c:catAx>
        <c:axId val="19736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Shift in Monhtly Volume</a:t>
                </a:r>
              </a:p>
            </c:rich>
          </c:tx>
          <c:layout>
            <c:manualLayout>
              <c:xMode val="edge"/>
              <c:yMode val="edge"/>
              <c:x val="0.43054799192633059"/>
              <c:y val="0.8953778035752972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4428254861068401E-2"/>
              <c:y val="0.421525264670188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68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504825</xdr:colOff>
          <xdr:row>2</xdr:row>
          <xdr:rowOff>47625</xdr:rowOff>
        </xdr:from>
        <xdr:to>
          <xdr:col>2</xdr:col>
          <xdr:colOff>676275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25B0090-5D30-AAE4-758C-8AB7ED032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2</xdr:row>
          <xdr:rowOff>38100</xdr:rowOff>
        </xdr:from>
        <xdr:to>
          <xdr:col>5</xdr:col>
          <xdr:colOff>609600</xdr:colOff>
          <xdr:row>4</xdr:row>
          <xdr:rowOff>66675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2E3322A-7F32-0AF5-57B2-821173ED0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Print Entire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2</xdr:row>
          <xdr:rowOff>57150</xdr:rowOff>
        </xdr:from>
        <xdr:to>
          <xdr:col>4</xdr:col>
          <xdr:colOff>209550</xdr:colOff>
          <xdr:row>4</xdr:row>
          <xdr:rowOff>66675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78DE3556-906F-0F04-3F6F-B66F31C5F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Commitment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733425</xdr:colOff>
          <xdr:row>2</xdr:row>
          <xdr:rowOff>38100</xdr:rowOff>
        </xdr:from>
        <xdr:to>
          <xdr:col>7</xdr:col>
          <xdr:colOff>752475</xdr:colOff>
          <xdr:row>4</xdr:row>
          <xdr:rowOff>57150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CC57BAC5-7D60-2423-322A-D35909C37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Appendix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371475</xdr:colOff>
      <xdr:row>1</xdr:row>
      <xdr:rowOff>104775</xdr:rowOff>
    </xdr:from>
    <xdr:to>
      <xdr:col>38</xdr:col>
      <xdr:colOff>514350</xdr:colOff>
      <xdr:row>21</xdr:row>
      <xdr:rowOff>85725</xdr:rowOff>
    </xdr:to>
    <xdr:graphicFrame macro="">
      <xdr:nvGraphicFramePr>
        <xdr:cNvPr id="24594" name="Chart 18">
          <a:extLst>
            <a:ext uri="{FF2B5EF4-FFF2-40B4-BE49-F238E27FC236}">
              <a16:creationId xmlns:a16="http://schemas.microsoft.com/office/drawing/2014/main" id="{839CB833-EFD7-5AB9-6AF9-427360AE7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371475</xdr:colOff>
      <xdr:row>22</xdr:row>
      <xdr:rowOff>85725</xdr:rowOff>
    </xdr:from>
    <xdr:to>
      <xdr:col>38</xdr:col>
      <xdr:colOff>514350</xdr:colOff>
      <xdr:row>43</xdr:row>
      <xdr:rowOff>0</xdr:rowOff>
    </xdr:to>
    <xdr:graphicFrame macro="">
      <xdr:nvGraphicFramePr>
        <xdr:cNvPr id="24595" name="Chart 19">
          <a:extLst>
            <a:ext uri="{FF2B5EF4-FFF2-40B4-BE49-F238E27FC236}">
              <a16:creationId xmlns:a16="http://schemas.microsoft.com/office/drawing/2014/main" id="{9C5F192D-DF5A-A92B-EA3B-E1CA9B97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419100</xdr:colOff>
      <xdr:row>44</xdr:row>
      <xdr:rowOff>85725</xdr:rowOff>
    </xdr:from>
    <xdr:to>
      <xdr:col>38</xdr:col>
      <xdr:colOff>561975</xdr:colOff>
      <xdr:row>62</xdr:row>
      <xdr:rowOff>123825</xdr:rowOff>
    </xdr:to>
    <xdr:graphicFrame macro="">
      <xdr:nvGraphicFramePr>
        <xdr:cNvPr id="24596" name="Chart 20">
          <a:extLst>
            <a:ext uri="{FF2B5EF4-FFF2-40B4-BE49-F238E27FC236}">
              <a16:creationId xmlns:a16="http://schemas.microsoft.com/office/drawing/2014/main" id="{044D7AA2-A9F4-B917-791B-AD000F5E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419100</xdr:colOff>
      <xdr:row>64</xdr:row>
      <xdr:rowOff>0</xdr:rowOff>
    </xdr:from>
    <xdr:to>
      <xdr:col>38</xdr:col>
      <xdr:colOff>561975</xdr:colOff>
      <xdr:row>84</xdr:row>
      <xdr:rowOff>47625</xdr:rowOff>
    </xdr:to>
    <xdr:graphicFrame macro="">
      <xdr:nvGraphicFramePr>
        <xdr:cNvPr id="24597" name="Chart 21">
          <a:extLst>
            <a:ext uri="{FF2B5EF4-FFF2-40B4-BE49-F238E27FC236}">
              <a16:creationId xmlns:a16="http://schemas.microsoft.com/office/drawing/2014/main" id="{5C972FF0-3F8E-9E55-5D5F-34551FF17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85</xdr:row>
      <xdr:rowOff>38100</xdr:rowOff>
    </xdr:from>
    <xdr:to>
      <xdr:col>38</xdr:col>
      <xdr:colOff>552450</xdr:colOff>
      <xdr:row>105</xdr:row>
      <xdr:rowOff>76200</xdr:rowOff>
    </xdr:to>
    <xdr:graphicFrame macro="">
      <xdr:nvGraphicFramePr>
        <xdr:cNvPr id="24598" name="Chart 22">
          <a:extLst>
            <a:ext uri="{FF2B5EF4-FFF2-40B4-BE49-F238E27FC236}">
              <a16:creationId xmlns:a16="http://schemas.microsoft.com/office/drawing/2014/main" id="{7E1D1EFB-AD59-4C95-A064-5887D4FB9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ons_04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urves_0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_TBS_0400MyCop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_EPE_0400My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C_ASSUMP"/>
      <sheetName val="RAC_RATIOS"/>
      <sheetName val="Summary WO-TBS"/>
      <sheetName val="Summary W-TBS"/>
      <sheetName val="Enron Summary W-TBS"/>
      <sheetName val="Shell &amp; Transredes"/>
      <sheetName val="Fin Stmts WO-TBS"/>
      <sheetName val="Current Finance"/>
      <sheetName val="IDC"/>
      <sheetName val="Senior Debt Split"/>
      <sheetName val="Default Payment"/>
      <sheetName val="Consolidated Project Cost"/>
      <sheetName val="Funded Project Cost"/>
    </sheetNames>
    <definedNames>
      <definedName name="GasBol_Disc" refersTo="='RAC_ASSUMP'!$C$5"/>
    </definedNames>
    <sheetDataSet>
      <sheetData sheetId="0" refreshError="1"/>
      <sheetData sheetId="1">
        <row r="5">
          <cell r="C5">
            <v>0.19</v>
          </cell>
        </row>
        <row r="15">
          <cell r="C15">
            <v>36770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 4-30-00"/>
      <sheetName val="Annual Curve Selection"/>
      <sheetName val="Monthly Curve Calc."/>
      <sheetName val="11-17-99 CPI &amp; PPI"/>
      <sheetName val="1-28-2000 WTI"/>
      <sheetName val="012600 cpi-ppi"/>
      <sheetName val="02112000 USD-CPI-IGPM"/>
    </sheetNames>
    <sheetDataSet>
      <sheetData sheetId="0"/>
      <sheetData sheetId="1"/>
      <sheetData sheetId="2">
        <row r="12">
          <cell r="F12">
            <v>0</v>
          </cell>
        </row>
        <row r="22">
          <cell r="B22">
            <v>134.68899999999999</v>
          </cell>
          <cell r="C22">
            <v>159.1</v>
          </cell>
          <cell r="D22">
            <v>133</v>
          </cell>
          <cell r="E22">
            <v>25.92</v>
          </cell>
          <cell r="F22">
            <v>1.0385</v>
          </cell>
        </row>
        <row r="23">
          <cell r="B23">
            <v>136.81399999999999</v>
          </cell>
          <cell r="C23">
            <v>159.1</v>
          </cell>
          <cell r="D23">
            <v>133</v>
          </cell>
          <cell r="E23">
            <v>24.15</v>
          </cell>
          <cell r="F23">
            <v>1.0456000000000001</v>
          </cell>
        </row>
        <row r="24">
          <cell r="B24">
            <v>137.38999999999999</v>
          </cell>
          <cell r="C24">
            <v>159.6</v>
          </cell>
          <cell r="D24">
            <v>132.69999999999999</v>
          </cell>
          <cell r="E24">
            <v>20.3</v>
          </cell>
          <cell r="F24">
            <v>1.0509999999999999</v>
          </cell>
        </row>
        <row r="25">
          <cell r="B25">
            <v>138.99</v>
          </cell>
          <cell r="C25">
            <v>160</v>
          </cell>
          <cell r="D25">
            <v>132.5</v>
          </cell>
          <cell r="E25">
            <v>20.41</v>
          </cell>
          <cell r="F25">
            <v>1.0593999999999999</v>
          </cell>
        </row>
        <row r="26">
          <cell r="B26">
            <v>139.80699999999999</v>
          </cell>
          <cell r="C26">
            <v>160.19999999999999</v>
          </cell>
          <cell r="D26">
            <v>131.9</v>
          </cell>
          <cell r="E26">
            <v>19.747730000000001</v>
          </cell>
          <cell r="F26">
            <v>1.0634999999999999</v>
          </cell>
        </row>
        <row r="27">
          <cell r="B27">
            <v>140.22</v>
          </cell>
          <cell r="C27">
            <v>160.1</v>
          </cell>
          <cell r="D27">
            <v>131.6</v>
          </cell>
          <cell r="E27">
            <v>20.91</v>
          </cell>
          <cell r="F27">
            <v>1.0703</v>
          </cell>
        </row>
        <row r="28">
          <cell r="B28">
            <v>141.20699999999999</v>
          </cell>
          <cell r="C28">
            <v>160.30000000000001</v>
          </cell>
          <cell r="D28">
            <v>131.30000000000001</v>
          </cell>
          <cell r="E28">
            <v>19.277380000000001</v>
          </cell>
          <cell r="F28">
            <v>1.0766</v>
          </cell>
        </row>
        <row r="29">
          <cell r="B29">
            <v>141.33000000000001</v>
          </cell>
          <cell r="C29">
            <v>160.5</v>
          </cell>
          <cell r="D29">
            <v>131</v>
          </cell>
          <cell r="E29">
            <v>19.63409</v>
          </cell>
          <cell r="F29">
            <v>1.0829</v>
          </cell>
        </row>
        <row r="30">
          <cell r="B30">
            <v>141.26</v>
          </cell>
          <cell r="C30">
            <v>160.80000000000001</v>
          </cell>
          <cell r="D30">
            <v>131.30000000000001</v>
          </cell>
          <cell r="E30">
            <v>19.932859999999998</v>
          </cell>
          <cell r="F30">
            <v>1.0912999999999999</v>
          </cell>
        </row>
        <row r="31">
          <cell r="B31">
            <v>142.101</v>
          </cell>
          <cell r="C31">
            <v>161.19999999999999</v>
          </cell>
          <cell r="D31">
            <v>131.69999999999999</v>
          </cell>
          <cell r="E31">
            <v>19.775955000000003</v>
          </cell>
          <cell r="F31">
            <v>1.0960000000000001</v>
          </cell>
        </row>
        <row r="32">
          <cell r="B32">
            <v>142.58699999999999</v>
          </cell>
          <cell r="C32">
            <v>161.6</v>
          </cell>
          <cell r="D32">
            <v>131.80000000000001</v>
          </cell>
          <cell r="E32">
            <v>21.271304999999998</v>
          </cell>
          <cell r="F32">
            <v>1.1027</v>
          </cell>
        </row>
        <row r="33">
          <cell r="B33">
            <v>143.77099999999999</v>
          </cell>
          <cell r="C33">
            <v>161.5</v>
          </cell>
          <cell r="D33">
            <v>131.5</v>
          </cell>
          <cell r="E33">
            <v>20.176945</v>
          </cell>
          <cell r="F33">
            <v>1.1094999999999999</v>
          </cell>
        </row>
        <row r="34">
          <cell r="B34">
            <v>144.76499999999999</v>
          </cell>
          <cell r="C34">
            <v>161.30000000000001</v>
          </cell>
          <cell r="D34">
            <v>131.4</v>
          </cell>
          <cell r="E34">
            <v>18.299775</v>
          </cell>
          <cell r="F34">
            <v>1.1160000000000001</v>
          </cell>
        </row>
        <row r="35">
          <cell r="B35">
            <v>146.03800000000001</v>
          </cell>
          <cell r="C35">
            <v>161.6</v>
          </cell>
          <cell r="D35">
            <v>130.6</v>
          </cell>
          <cell r="E35">
            <v>16.688499999999998</v>
          </cell>
          <cell r="F35">
            <v>1.1234</v>
          </cell>
        </row>
        <row r="36">
          <cell r="B36">
            <v>146.06700000000001</v>
          </cell>
          <cell r="C36">
            <v>161.9</v>
          </cell>
          <cell r="D36">
            <v>130.5</v>
          </cell>
          <cell r="E36">
            <v>16.072895000000003</v>
          </cell>
          <cell r="F36">
            <v>1.1299999999999999</v>
          </cell>
        </row>
        <row r="37">
          <cell r="B37">
            <v>146.40600000000001</v>
          </cell>
          <cell r="C37">
            <v>162.19999999999999</v>
          </cell>
          <cell r="D37">
            <v>130.5</v>
          </cell>
          <cell r="E37">
            <v>15.098635000000002</v>
          </cell>
          <cell r="F37">
            <v>1.137</v>
          </cell>
        </row>
        <row r="38">
          <cell r="B38">
            <v>146.21100000000001</v>
          </cell>
          <cell r="C38">
            <v>162.5</v>
          </cell>
          <cell r="D38">
            <v>130.69999999999999</v>
          </cell>
          <cell r="E38">
            <v>15.31643</v>
          </cell>
          <cell r="F38">
            <v>1.1443000000000001</v>
          </cell>
        </row>
        <row r="39">
          <cell r="B39">
            <v>146.54400000000001</v>
          </cell>
          <cell r="C39">
            <v>162.80000000000001</v>
          </cell>
          <cell r="D39">
            <v>130.6</v>
          </cell>
          <cell r="E39">
            <v>14.92775</v>
          </cell>
          <cell r="F39">
            <v>1.1500999999999999</v>
          </cell>
        </row>
        <row r="40">
          <cell r="B40">
            <v>146.95099999999999</v>
          </cell>
          <cell r="C40">
            <v>163</v>
          </cell>
          <cell r="D40">
            <v>130.4</v>
          </cell>
          <cell r="E40">
            <v>13.686139999999998</v>
          </cell>
          <cell r="F40">
            <v>1.1565000000000001</v>
          </cell>
        </row>
        <row r="41">
          <cell r="B41">
            <v>146.38999999999999</v>
          </cell>
          <cell r="C41">
            <v>163.19999999999999</v>
          </cell>
          <cell r="D41">
            <v>130.69999999999999</v>
          </cell>
          <cell r="E41">
            <v>14.26</v>
          </cell>
          <cell r="F41">
            <v>1.163</v>
          </cell>
        </row>
        <row r="42">
          <cell r="B42">
            <v>146.14400000000001</v>
          </cell>
          <cell r="C42">
            <v>163.4</v>
          </cell>
          <cell r="D42">
            <v>130.30000000000001</v>
          </cell>
          <cell r="E42">
            <v>13.38</v>
          </cell>
          <cell r="F42">
            <v>1.1765000000000001</v>
          </cell>
        </row>
        <row r="43">
          <cell r="B43">
            <v>146.11099999999999</v>
          </cell>
          <cell r="C43">
            <v>163.6</v>
          </cell>
          <cell r="D43">
            <v>130.6</v>
          </cell>
          <cell r="E43">
            <v>16.170000000000002</v>
          </cell>
          <cell r="F43">
            <v>1.1856</v>
          </cell>
        </row>
        <row r="44">
          <cell r="B44">
            <v>146.06299999999999</v>
          </cell>
          <cell r="C44">
            <v>164</v>
          </cell>
          <cell r="D44">
            <v>131</v>
          </cell>
          <cell r="E44">
            <v>14.45</v>
          </cell>
          <cell r="F44">
            <v>1.1928000000000001</v>
          </cell>
        </row>
        <row r="45">
          <cell r="B45">
            <v>145.797</v>
          </cell>
          <cell r="C45">
            <v>164</v>
          </cell>
          <cell r="D45">
            <v>130.69999999999999</v>
          </cell>
          <cell r="E45">
            <v>11.26</v>
          </cell>
          <cell r="F45">
            <v>1.2008000000000001</v>
          </cell>
        </row>
        <row r="46">
          <cell r="B46">
            <v>147.22999999999999</v>
          </cell>
          <cell r="C46">
            <v>163.9</v>
          </cell>
          <cell r="D46">
            <v>131.30000000000001</v>
          </cell>
          <cell r="E46">
            <v>12.09</v>
          </cell>
          <cell r="F46">
            <v>1.2082999999999999</v>
          </cell>
        </row>
        <row r="47">
          <cell r="B47">
            <v>148.91999999999999</v>
          </cell>
          <cell r="C47">
            <v>164.3</v>
          </cell>
          <cell r="D47">
            <v>131.69999999999999</v>
          </cell>
          <cell r="E47">
            <v>12.76</v>
          </cell>
          <cell r="F47">
            <v>2.0499999999999998</v>
          </cell>
        </row>
        <row r="48">
          <cell r="B48">
            <v>155.53</v>
          </cell>
          <cell r="C48">
            <v>164.5</v>
          </cell>
          <cell r="D48">
            <v>131.1</v>
          </cell>
          <cell r="E48">
            <v>12.28</v>
          </cell>
          <cell r="F48">
            <v>2.0350000000000001</v>
          </cell>
        </row>
        <row r="49">
          <cell r="B49">
            <v>158.6</v>
          </cell>
          <cell r="C49">
            <v>165</v>
          </cell>
          <cell r="D49">
            <v>131.5</v>
          </cell>
          <cell r="E49">
            <v>16.760000000000002</v>
          </cell>
          <cell r="F49">
            <v>1.7175</v>
          </cell>
        </row>
        <row r="50">
          <cell r="B50">
            <v>158.65</v>
          </cell>
          <cell r="C50">
            <v>166.2</v>
          </cell>
          <cell r="D50">
            <v>132.19999999999999</v>
          </cell>
          <cell r="E50">
            <v>18.66</v>
          </cell>
          <cell r="F50">
            <v>1.665</v>
          </cell>
        </row>
        <row r="51">
          <cell r="B51">
            <v>158.1</v>
          </cell>
          <cell r="C51">
            <v>166.2</v>
          </cell>
          <cell r="D51">
            <v>132.4</v>
          </cell>
          <cell r="E51">
            <v>16.84</v>
          </cell>
          <cell r="F51">
            <v>1.7210000000000001</v>
          </cell>
        </row>
        <row r="52">
          <cell r="B52">
            <v>159.71</v>
          </cell>
          <cell r="C52">
            <v>166.2</v>
          </cell>
          <cell r="D52">
            <v>132.30000000000001</v>
          </cell>
          <cell r="E52">
            <v>19.29</v>
          </cell>
          <cell r="F52">
            <v>1.7524999999999999</v>
          </cell>
        </row>
        <row r="53">
          <cell r="B53">
            <v>162.25</v>
          </cell>
          <cell r="C53">
            <v>166.7</v>
          </cell>
          <cell r="D53">
            <v>132.6</v>
          </cell>
          <cell r="E53">
            <v>20.53</v>
          </cell>
          <cell r="F53">
            <v>1.8009999999999999</v>
          </cell>
        </row>
        <row r="54">
          <cell r="B54">
            <v>164.61</v>
          </cell>
          <cell r="C54">
            <v>167.1</v>
          </cell>
          <cell r="D54">
            <v>133.4</v>
          </cell>
          <cell r="E54">
            <v>22.11</v>
          </cell>
          <cell r="F54">
            <v>1.919</v>
          </cell>
        </row>
        <row r="55">
          <cell r="B55">
            <v>167.03</v>
          </cell>
          <cell r="C55">
            <v>167.9</v>
          </cell>
          <cell r="D55">
            <v>134.69999999999999</v>
          </cell>
          <cell r="E55">
            <v>24.51</v>
          </cell>
          <cell r="F55">
            <v>1.9375</v>
          </cell>
        </row>
        <row r="56">
          <cell r="B56">
            <v>170.18</v>
          </cell>
          <cell r="C56">
            <v>168.2</v>
          </cell>
          <cell r="D56">
            <v>134.5</v>
          </cell>
          <cell r="E56">
            <v>21.75</v>
          </cell>
          <cell r="F56">
            <v>1.9490000000000001</v>
          </cell>
        </row>
        <row r="57">
          <cell r="B57">
            <v>174.5</v>
          </cell>
          <cell r="C57">
            <v>168.3</v>
          </cell>
          <cell r="D57">
            <v>134.80000000000001</v>
          </cell>
          <cell r="E57">
            <v>24.59</v>
          </cell>
          <cell r="F57">
            <v>1.923</v>
          </cell>
        </row>
        <row r="58">
          <cell r="B58">
            <v>176.65</v>
          </cell>
          <cell r="C58">
            <v>168.3</v>
          </cell>
          <cell r="D58">
            <v>135.19999999999999</v>
          </cell>
          <cell r="E58">
            <v>25.6</v>
          </cell>
          <cell r="F58">
            <v>1.7989999999999999</v>
          </cell>
        </row>
        <row r="59">
          <cell r="B59">
            <v>177.96266761992723</v>
          </cell>
          <cell r="C59">
            <v>168.75941921656877</v>
          </cell>
          <cell r="D59">
            <v>135.6398759862023</v>
          </cell>
          <cell r="E59">
            <v>26.192083333333336</v>
          </cell>
          <cell r="F59">
            <v>1.7947506486897897</v>
          </cell>
        </row>
        <row r="60">
          <cell r="B60">
            <v>179.28508953524309</v>
          </cell>
          <cell r="C60">
            <v>169.22009253899941</v>
          </cell>
          <cell r="D60">
            <v>136.08118311799069</v>
          </cell>
          <cell r="E60">
            <v>26.784166666666671</v>
          </cell>
          <cell r="F60">
            <v>1.7905113346150201</v>
          </cell>
        </row>
        <row r="61">
          <cell r="B61">
            <v>180.61733822909343</v>
          </cell>
          <cell r="C61">
            <v>169.68202339070447</v>
          </cell>
          <cell r="D61">
            <v>136.52392605162683</v>
          </cell>
          <cell r="E61">
            <v>27.376250000000006</v>
          </cell>
          <cell r="F61">
            <v>1.7862820340671086</v>
          </cell>
        </row>
        <row r="62">
          <cell r="B62">
            <v>181.95948672323877</v>
          </cell>
          <cell r="C62">
            <v>170.1452152044416</v>
          </cell>
          <cell r="D62">
            <v>136.96810945852158</v>
          </cell>
          <cell r="E62">
            <v>27.968333333333341</v>
          </cell>
          <cell r="F62">
            <v>1.7820627233934743</v>
          </cell>
        </row>
        <row r="63">
          <cell r="B63">
            <v>183.31160858205661</v>
          </cell>
          <cell r="C63">
            <v>170.60967142233909</v>
          </cell>
          <cell r="D63">
            <v>137.4137380252844</v>
          </cell>
          <cell r="E63">
            <v>28.560416666666676</v>
          </cell>
          <cell r="F63">
            <v>1.7778533789974047</v>
          </cell>
        </row>
        <row r="64">
          <cell r="B64">
            <v>184.67377791657367</v>
          </cell>
          <cell r="C64">
            <v>171.07539549592141</v>
          </cell>
          <cell r="D64">
            <v>137.86081645377271</v>
          </cell>
          <cell r="E64">
            <v>29.152500000000011</v>
          </cell>
          <cell r="F64">
            <v>1.7736539773379247</v>
          </cell>
        </row>
        <row r="65">
          <cell r="B65">
            <v>186.04606938852791</v>
          </cell>
          <cell r="C65">
            <v>171.54239088613488</v>
          </cell>
          <cell r="D65">
            <v>138.30934946114149</v>
          </cell>
          <cell r="E65">
            <v>29.744583333333345</v>
          </cell>
          <cell r="F65">
            <v>1.7694644949296643</v>
          </cell>
        </row>
        <row r="66">
          <cell r="B66">
            <v>187.42855821446085</v>
          </cell>
          <cell r="C66">
            <v>172.01066106337339</v>
          </cell>
          <cell r="D66">
            <v>138.75934177989313</v>
          </cell>
          <cell r="E66">
            <v>30.33666666666668</v>
          </cell>
          <cell r="F66">
            <v>1.7652849083427271</v>
          </cell>
        </row>
        <row r="67">
          <cell r="B67">
            <v>188.82132016984022</v>
          </cell>
          <cell r="C67">
            <v>172.48020950750416</v>
          </cell>
          <cell r="D67">
            <v>139.21079815792726</v>
          </cell>
          <cell r="E67">
            <v>30.928750000000015</v>
          </cell>
          <cell r="F67">
            <v>1.76111519420256</v>
          </cell>
        </row>
        <row r="68">
          <cell r="B68">
            <v>190.22443159321332</v>
          </cell>
          <cell r="C68">
            <v>172.95103970789367</v>
          </cell>
          <cell r="D68">
            <v>139.66372335859094</v>
          </cell>
          <cell r="E68">
            <v>31.52083333333335</v>
          </cell>
          <cell r="F68">
            <v>1.7569553291898219</v>
          </cell>
        </row>
        <row r="69">
          <cell r="B69">
            <v>191.63796939039119</v>
          </cell>
          <cell r="C69">
            <v>173.42315516343351</v>
          </cell>
          <cell r="D69">
            <v>140.11812216072886</v>
          </cell>
          <cell r="E69">
            <v>32.112916666666685</v>
          </cell>
          <cell r="F69">
            <v>1.7528052900402533</v>
          </cell>
        </row>
        <row r="70">
          <cell r="B70">
            <v>193.06201103866388</v>
          </cell>
          <cell r="C70">
            <v>173.89655938256641</v>
          </cell>
          <cell r="D70">
            <v>140.5739993587338</v>
          </cell>
          <cell r="E70">
            <v>26.745000000000001</v>
          </cell>
          <cell r="F70">
            <v>1.8038677232680336</v>
          </cell>
        </row>
        <row r="71">
          <cell r="B71">
            <v>194.45347137228308</v>
          </cell>
          <cell r="C71">
            <v>174.3626262314074</v>
          </cell>
          <cell r="D71">
            <v>140.99652459526345</v>
          </cell>
          <cell r="E71">
            <v>26.422152777777779</v>
          </cell>
          <cell r="F71">
            <v>1.8188212690525873</v>
          </cell>
        </row>
        <row r="72">
          <cell r="B72">
            <v>195.85496041040827</v>
          </cell>
          <cell r="C72">
            <v>174.82994220391342</v>
          </cell>
          <cell r="D72">
            <v>141.42031982180777</v>
          </cell>
          <cell r="E72">
            <v>26.099305555555556</v>
          </cell>
          <cell r="F72">
            <v>1.8338987754405969</v>
          </cell>
        </row>
        <row r="73">
          <cell r="B73">
            <v>197.26655043315523</v>
          </cell>
          <cell r="C73">
            <v>175.29851064790876</v>
          </cell>
          <cell r="D73">
            <v>141.84538885559348</v>
          </cell>
          <cell r="E73">
            <v>25.776458333333334</v>
          </cell>
          <cell r="F73">
            <v>1.849101270029893</v>
          </cell>
        </row>
        <row r="74">
          <cell r="B74">
            <v>198.68831424158597</v>
          </cell>
          <cell r="C74">
            <v>175.76833492019037</v>
          </cell>
          <cell r="D74">
            <v>142.27173552532085</v>
          </cell>
          <cell r="E74">
            <v>25.453611111111112</v>
          </cell>
          <cell r="F74">
            <v>1.8644297889367973</v>
          </cell>
        </row>
        <row r="75">
          <cell r="B75">
            <v>200.12032516146326</v>
          </cell>
          <cell r="C75">
            <v>176.23941838655188</v>
          </cell>
          <cell r="D75">
            <v>142.69936367119809</v>
          </cell>
          <cell r="E75">
            <v>25.13076388888889</v>
          </cell>
          <cell r="F75">
            <v>1.8798853768667387</v>
          </cell>
        </row>
        <row r="76">
          <cell r="B76">
            <v>201.56265704703233</v>
          </cell>
          <cell r="C76">
            <v>176.71176442180774</v>
          </cell>
          <cell r="D76">
            <v>143.12827714497598</v>
          </cell>
          <cell r="E76">
            <v>24.807916666666667</v>
          </cell>
          <cell r="F76">
            <v>1.8954690871854543</v>
          </cell>
        </row>
        <row r="77">
          <cell r="B77">
            <v>203.01538428482988</v>
          </cell>
          <cell r="C77">
            <v>177.18537640981734</v>
          </cell>
          <cell r="D77">
            <v>143.5584798099826</v>
          </cell>
          <cell r="E77">
            <v>24.485069444444445</v>
          </cell>
          <cell r="F77">
            <v>1.9111819819907805</v>
          </cell>
        </row>
        <row r="78">
          <cell r="B78">
            <v>204.47858179752038</v>
          </cell>
          <cell r="C78">
            <v>177.66025774350925</v>
          </cell>
          <cell r="D78">
            <v>143.98997554115803</v>
          </cell>
          <cell r="E78">
            <v>24.162222222222223</v>
          </cell>
          <cell r="F78">
            <v>1.9270251321850405</v>
          </cell>
        </row>
        <row r="79">
          <cell r="B79">
            <v>205.95232504776021</v>
          </cell>
          <cell r="C79">
            <v>178.13641182490562</v>
          </cell>
          <cell r="D79">
            <v>144.42276822508936</v>
          </cell>
          <cell r="E79">
            <v>23.839375</v>
          </cell>
          <cell r="F79">
            <v>1.9429996175480302</v>
          </cell>
        </row>
        <row r="80">
          <cell r="B80">
            <v>207.43669004208951</v>
          </cell>
          <cell r="C80">
            <v>178.61384206514646</v>
          </cell>
          <cell r="D80">
            <v>144.85686176004563</v>
          </cell>
          <cell r="E80">
            <v>23.516527777777778</v>
          </cell>
          <cell r="F80">
            <v>1.95910652681061</v>
          </cell>
        </row>
        <row r="81">
          <cell r="B81">
            <v>208.93175333485209</v>
          </cell>
          <cell r="C81">
            <v>179.09255188451411</v>
          </cell>
          <cell r="D81">
            <v>145.29226005601299</v>
          </cell>
          <cell r="E81">
            <v>23.193680555555556</v>
          </cell>
          <cell r="F81">
            <v>1.9753469577289071</v>
          </cell>
        </row>
        <row r="82">
          <cell r="B82">
            <v>210.4375920321437</v>
          </cell>
          <cell r="C82">
            <v>179.57254471245776</v>
          </cell>
          <cell r="D82">
            <v>145.72896703472983</v>
          </cell>
          <cell r="E82">
            <v>22.870833333333337</v>
          </cell>
          <cell r="F82">
            <v>1.9917220171591306</v>
          </cell>
        </row>
        <row r="83">
          <cell r="B83">
            <v>211.87309067014004</v>
          </cell>
          <cell r="C83">
            <v>180.02195483939127</v>
          </cell>
          <cell r="D83">
            <v>146.09280126420066</v>
          </cell>
          <cell r="E83">
            <v>22.712152777777781</v>
          </cell>
          <cell r="F83">
            <v>2.0024865610216462</v>
          </cell>
        </row>
        <row r="84">
          <cell r="B84">
            <v>213.31838155257233</v>
          </cell>
          <cell r="C84">
            <v>180.47248968983146</v>
          </cell>
          <cell r="D84">
            <v>146.45754386041028</v>
          </cell>
          <cell r="E84">
            <v>22.553472222222226</v>
          </cell>
          <cell r="F84">
            <v>2.0133092833867692</v>
          </cell>
        </row>
        <row r="85">
          <cell r="B85">
            <v>214.77353147717102</v>
          </cell>
          <cell r="C85">
            <v>180.92415207858576</v>
          </cell>
          <cell r="D85">
            <v>146.82319709123254</v>
          </cell>
          <cell r="E85">
            <v>22.39479166666667</v>
          </cell>
          <cell r="F85">
            <v>2.0241904986884602</v>
          </cell>
        </row>
        <row r="86">
          <cell r="B86">
            <v>216.23860769732684</v>
          </cell>
          <cell r="C86">
            <v>181.37694482750612</v>
          </cell>
          <cell r="D86">
            <v>147.1897632302034</v>
          </cell>
          <cell r="E86">
            <v>22.236111111111114</v>
          </cell>
          <cell r="F86">
            <v>2.0351305230600838</v>
          </cell>
        </row>
        <row r="87">
          <cell r="B87">
            <v>217.71367792519908</v>
          </cell>
          <cell r="C87">
            <v>181.83087076550666</v>
          </cell>
          <cell r="D87">
            <v>147.55724455653498</v>
          </cell>
          <cell r="E87">
            <v>22.077430555555559</v>
          </cell>
          <cell r="F87">
            <v>2.0461296743435908</v>
          </cell>
        </row>
        <row r="88">
          <cell r="B88">
            <v>219.19881033484506</v>
          </cell>
          <cell r="C88">
            <v>182.28593272858129</v>
          </cell>
          <cell r="D88">
            <v>147.92564335512984</v>
          </cell>
          <cell r="E88">
            <v>21.918750000000003</v>
          </cell>
          <cell r="F88">
            <v>2.0571882720987551</v>
          </cell>
        </row>
        <row r="89">
          <cell r="B89">
            <v>220.69407356537104</v>
          </cell>
          <cell r="C89">
            <v>182.74213355982153</v>
          </cell>
          <cell r="D89">
            <v>148.29496191659513</v>
          </cell>
          <cell r="E89">
            <v>21.760069444444447</v>
          </cell>
          <cell r="F89">
            <v>2.0683066376124559</v>
          </cell>
        </row>
        <row r="90">
          <cell r="B90">
            <v>222.19953672410441</v>
          </cell>
          <cell r="C90">
            <v>183.19947610943416</v>
          </cell>
          <cell r="D90">
            <v>148.66520253725685</v>
          </cell>
          <cell r="E90">
            <v>21.601388888888891</v>
          </cell>
          <cell r="F90">
            <v>2.0794850939080129</v>
          </cell>
        </row>
        <row r="91">
          <cell r="B91">
            <v>223.71526938978778</v>
          </cell>
          <cell r="C91">
            <v>183.65796323475908</v>
          </cell>
          <cell r="D91">
            <v>149.03636751917409</v>
          </cell>
          <cell r="E91">
            <v>21.442708333333336</v>
          </cell>
          <cell r="F91">
            <v>2.0907239657545715</v>
          </cell>
        </row>
        <row r="92">
          <cell r="B92">
            <v>225.24134161579468</v>
          </cell>
          <cell r="C92">
            <v>184.11759780028717</v>
          </cell>
          <cell r="D92">
            <v>149.40845917015344</v>
          </cell>
          <cell r="E92">
            <v>21.28402777777778</v>
          </cell>
          <cell r="F92">
            <v>2.1020235796765379</v>
          </cell>
        </row>
        <row r="93">
          <cell r="B93">
            <v>226.77782393336727</v>
          </cell>
          <cell r="C93">
            <v>184.57838267767818</v>
          </cell>
          <cell r="D93">
            <v>149.78147980376323</v>
          </cell>
          <cell r="E93">
            <v>21.125347222222224</v>
          </cell>
          <cell r="F93">
            <v>2.1133842639630656</v>
          </cell>
        </row>
        <row r="94">
          <cell r="B94">
            <v>228.32478735487609</v>
          </cell>
          <cell r="C94">
            <v>185.04032074577864</v>
          </cell>
          <cell r="D94">
            <v>150.15543173934796</v>
          </cell>
          <cell r="E94">
            <v>20.966666666666665</v>
          </cell>
          <cell r="F94">
            <v>2.1248063486775925</v>
          </cell>
        </row>
        <row r="95">
          <cell r="B95">
            <v>229.7938359115775</v>
          </cell>
          <cell r="C95">
            <v>185.48840652139788</v>
          </cell>
          <cell r="D95">
            <v>150.50035823592538</v>
          </cell>
          <cell r="E95">
            <v>20.894791666666666</v>
          </cell>
          <cell r="F95">
            <v>2.1308778783404252</v>
          </cell>
        </row>
        <row r="96">
          <cell r="B96">
            <v>231.27233637092579</v>
          </cell>
          <cell r="C96">
            <v>185.93757736248557</v>
          </cell>
          <cell r="D96">
            <v>150.84607707339023</v>
          </cell>
          <cell r="E96">
            <v>20.822916666666668</v>
          </cell>
          <cell r="F96">
            <v>2.1369667571007271</v>
          </cell>
        </row>
        <row r="97">
          <cell r="B97">
            <v>232.76034954674716</v>
          </cell>
          <cell r="C97">
            <v>186.38783589659013</v>
          </cell>
          <cell r="D97">
            <v>151.19259007185232</v>
          </cell>
          <cell r="E97">
            <v>20.751041666666669</v>
          </cell>
          <cell r="F97">
            <v>2.1430730345326912</v>
          </cell>
        </row>
        <row r="98">
          <cell r="B98">
            <v>234.25793664414587</v>
          </cell>
          <cell r="C98">
            <v>186.83918475762275</v>
          </cell>
          <cell r="D98">
            <v>151.5398990556024</v>
          </cell>
          <cell r="E98">
            <v>20.679166666666671</v>
          </cell>
          <cell r="F98">
            <v>2.1491967603521664</v>
          </cell>
        </row>
        <row r="99">
          <cell r="B99">
            <v>235.76515926202157</v>
          </cell>
          <cell r="C99">
            <v>187.29162658587273</v>
          </cell>
          <cell r="D99">
            <v>151.88800585312191</v>
          </cell>
          <cell r="E99">
            <v>20.607291666666672</v>
          </cell>
          <cell r="F99">
            <v>2.1553379844170619</v>
          </cell>
        </row>
        <row r="100">
          <cell r="B100">
            <v>237.28207939560318</v>
          </cell>
          <cell r="C100">
            <v>187.74516402802308</v>
          </cell>
          <cell r="D100">
            <v>152.23691229709252</v>
          </cell>
          <cell r="E100">
            <v>20.535416666666674</v>
          </cell>
          <cell r="F100">
            <v>2.1614967567277539</v>
          </cell>
        </row>
        <row r="101">
          <cell r="B101">
            <v>238.80875943899872</v>
          </cell>
          <cell r="C101">
            <v>188.19979973716582</v>
          </cell>
          <cell r="D101">
            <v>152.58662022440581</v>
          </cell>
          <cell r="E101">
            <v>20.463541666666675</v>
          </cell>
          <cell r="F101">
            <v>2.1676731274274914</v>
          </cell>
        </row>
        <row r="102">
          <cell r="B102">
            <v>240.34526218776179</v>
          </cell>
          <cell r="C102">
            <v>188.65553637281764</v>
          </cell>
          <cell r="D102">
            <v>152.93713147617294</v>
          </cell>
          <cell r="E102">
            <v>20.391666666666676</v>
          </cell>
          <cell r="F102">
            <v>2.1738671468028063</v>
          </cell>
        </row>
        <row r="103">
          <cell r="B103">
            <v>241.89165084147453</v>
          </cell>
          <cell r="C103">
            <v>189.11237660093536</v>
          </cell>
          <cell r="D103">
            <v>153.28844789773433</v>
          </cell>
          <cell r="E103">
            <v>20.319791666666678</v>
          </cell>
          <cell r="F103">
            <v>2.1800788652839209</v>
          </cell>
        </row>
        <row r="104">
          <cell r="B104">
            <v>243.447989006347</v>
          </cell>
          <cell r="C104">
            <v>189.57032309393159</v>
          </cell>
          <cell r="D104">
            <v>153.64057133866942</v>
          </cell>
          <cell r="E104">
            <v>20.247916666666679</v>
          </cell>
          <cell r="F104">
            <v>2.1863083334451598</v>
          </cell>
        </row>
        <row r="105">
          <cell r="B105">
            <v>245.01434069783363</v>
          </cell>
          <cell r="C105">
            <v>190.02937853069034</v>
          </cell>
          <cell r="D105">
            <v>153.99350365280634</v>
          </cell>
          <cell r="E105">
            <v>20.176041666666681</v>
          </cell>
          <cell r="F105">
            <v>2.1925556020053616</v>
          </cell>
        </row>
        <row r="106">
          <cell r="B106">
            <v>246.59077034326614</v>
          </cell>
          <cell r="C106">
            <v>190.4895455965827</v>
          </cell>
          <cell r="D106">
            <v>154.34724669823174</v>
          </cell>
          <cell r="E106">
            <v>20.104166666666668</v>
          </cell>
          <cell r="F106">
            <v>2.1988207218282909</v>
          </cell>
        </row>
        <row r="107">
          <cell r="B107">
            <v>248.17734278450365</v>
          </cell>
          <cell r="C107">
            <v>190.93955289546653</v>
          </cell>
          <cell r="D107">
            <v>154.67873862562061</v>
          </cell>
          <cell r="E107">
            <v>20.072812500000001</v>
          </cell>
          <cell r="F107">
            <v>2.2045030649335842</v>
          </cell>
        </row>
        <row r="108">
          <cell r="B108">
            <v>249.77412328059978</v>
          </cell>
          <cell r="C108">
            <v>191.39062327930031</v>
          </cell>
          <cell r="D108">
            <v>155.01094249896428</v>
          </cell>
          <cell r="E108">
            <v>20.041458333333335</v>
          </cell>
          <cell r="F108">
            <v>2.2102000927391106</v>
          </cell>
        </row>
        <row r="109">
          <cell r="B109">
            <v>251.38117751048688</v>
          </cell>
          <cell r="C109">
            <v>191.84275925948691</v>
          </cell>
          <cell r="D109">
            <v>155.34385984731071</v>
          </cell>
          <cell r="E109">
            <v>20.010104166666668</v>
          </cell>
          <cell r="F109">
            <v>2.2159118431940779</v>
          </cell>
        </row>
        <row r="110">
          <cell r="B110">
            <v>252.99857157567746</v>
          </cell>
          <cell r="C110">
            <v>192.29596335336203</v>
          </cell>
          <cell r="D110">
            <v>155.67749220299174</v>
          </cell>
          <cell r="E110">
            <v>19.978750000000002</v>
          </cell>
          <cell r="F110">
            <v>2.2216383543457656</v>
          </cell>
        </row>
        <row r="111">
          <cell r="B111">
            <v>254.62637200298323</v>
          </cell>
          <cell r="C111">
            <v>192.75023808420826</v>
          </cell>
          <cell r="D111">
            <v>156.01184110163021</v>
          </cell>
          <cell r="E111">
            <v>19.947395833333335</v>
          </cell>
          <cell r="F111">
            <v>2.227379664339777</v>
          </cell>
        </row>
        <row r="112">
          <cell r="B112">
            <v>256.26464574725134</v>
          </cell>
          <cell r="C112">
            <v>193.20558598126917</v>
          </cell>
          <cell r="D112">
            <v>156.34690808214705</v>
          </cell>
          <cell r="E112">
            <v>19.916041666666668</v>
          </cell>
          <cell r="F112">
            <v>2.2331358114202935</v>
          </cell>
        </row>
        <row r="113">
          <cell r="B113">
            <v>257.9134601941185</v>
          </cell>
          <cell r="C113">
            <v>193.66200957976326</v>
          </cell>
          <cell r="D113">
            <v>156.68269468676831</v>
          </cell>
          <cell r="E113">
            <v>19.884687500000002</v>
          </cell>
          <cell r="F113">
            <v>2.2389068339303306</v>
          </cell>
        </row>
        <row r="114">
          <cell r="B114">
            <v>259.5728831627826</v>
          </cell>
          <cell r="C114">
            <v>194.11951142089825</v>
          </cell>
          <cell r="D114">
            <v>157.01920246103231</v>
          </cell>
          <cell r="E114">
            <v>19.853333333333335</v>
          </cell>
          <cell r="F114">
            <v>2.2446927703119925</v>
          </cell>
        </row>
        <row r="115">
          <cell r="B115">
            <v>261.24298290879233</v>
          </cell>
          <cell r="C115">
            <v>194.57809405188507</v>
          </cell>
          <cell r="D115">
            <v>157.35643295379668</v>
          </cell>
          <cell r="E115">
            <v>19.821979166666669</v>
          </cell>
          <cell r="F115">
            <v>2.2504936591067271</v>
          </cell>
        </row>
        <row r="116">
          <cell r="B116">
            <v>262.92382812685463</v>
          </cell>
          <cell r="C116">
            <v>195.03776002595217</v>
          </cell>
          <cell r="D116">
            <v>157.6943877172456</v>
          </cell>
          <cell r="E116">
            <v>19.790625000000002</v>
          </cell>
          <cell r="F116">
            <v>2.2563095389555845</v>
          </cell>
        </row>
        <row r="117">
          <cell r="B117">
            <v>264.61548795366019</v>
          </cell>
          <cell r="C117">
            <v>195.49851190235964</v>
          </cell>
          <cell r="D117">
            <v>158.03306830689681</v>
          </cell>
          <cell r="E117">
            <v>19.759270833333336</v>
          </cell>
          <cell r="F117">
            <v>2.2621404485994736</v>
          </cell>
        </row>
        <row r="118">
          <cell r="B118">
            <v>266.3180319707273</v>
          </cell>
          <cell r="C118">
            <v>195.96035224641349</v>
          </cell>
          <cell r="D118">
            <v>158.37247628160887</v>
          </cell>
          <cell r="E118">
            <v>19.727916666666669</v>
          </cell>
          <cell r="F118">
            <v>2.2679864268794208</v>
          </cell>
        </row>
        <row r="119">
          <cell r="B119">
            <v>267.92790290869908</v>
          </cell>
          <cell r="C119">
            <v>196.41532611484243</v>
          </cell>
          <cell r="D119">
            <v>158.69348113586753</v>
          </cell>
          <cell r="E119">
            <v>19.718263888888892</v>
          </cell>
          <cell r="F119">
            <v>2.2732944230483629</v>
          </cell>
        </row>
        <row r="120">
          <cell r="B120">
            <v>269.54750538613047</v>
          </cell>
          <cell r="C120">
            <v>196.87135632563133</v>
          </cell>
          <cell r="D120">
            <v>159.01513663422091</v>
          </cell>
          <cell r="E120">
            <v>19.708611111111114</v>
          </cell>
          <cell r="F120">
            <v>2.2786148420532601</v>
          </cell>
        </row>
        <row r="121">
          <cell r="B121">
            <v>271.17689822938945</v>
          </cell>
          <cell r="C121">
            <v>197.32844533135884</v>
          </cell>
          <cell r="D121">
            <v>159.33744409545821</v>
          </cell>
          <cell r="E121">
            <v>19.698958333333337</v>
          </cell>
          <cell r="F121">
            <v>2.2839477129685219</v>
          </cell>
        </row>
        <row r="122">
          <cell r="B122">
            <v>272.81614062044468</v>
          </cell>
          <cell r="C122">
            <v>197.78659559029785</v>
          </cell>
          <cell r="D122">
            <v>159.6604048410417</v>
          </cell>
          <cell r="E122">
            <v>19.68930555555556</v>
          </cell>
          <cell r="F122">
            <v>2.289293064936603</v>
          </cell>
        </row>
        <row r="123">
          <cell r="B123">
            <v>274.46529209901507</v>
          </cell>
          <cell r="C123">
            <v>198.24580956642885</v>
          </cell>
          <cell r="D123">
            <v>159.98402019511209</v>
          </cell>
          <cell r="E123">
            <v>19.679652777777783</v>
          </cell>
          <cell r="F123">
            <v>2.2946509271681639</v>
          </cell>
        </row>
        <row r="124">
          <cell r="B124">
            <v>276.12441256473221</v>
          </cell>
          <cell r="C124">
            <v>198.70608972945308</v>
          </cell>
          <cell r="D124">
            <v>160.30829148449402</v>
          </cell>
          <cell r="E124">
            <v>19.670000000000005</v>
          </cell>
          <cell r="F124">
            <v>2.3000213289422287</v>
          </cell>
        </row>
        <row r="125">
          <cell r="B125">
            <v>277.79356227931612</v>
          </cell>
          <cell r="C125">
            <v>199.16743855480584</v>
          </cell>
          <cell r="D125">
            <v>160.63322003870147</v>
          </cell>
          <cell r="E125">
            <v>19.660347222222228</v>
          </cell>
          <cell r="F125">
            <v>2.3054042996063471</v>
          </cell>
        </row>
        <row r="126">
          <cell r="B126">
            <v>279.47280186876412</v>
          </cell>
          <cell r="C126">
            <v>199.62985852366984</v>
          </cell>
          <cell r="D126">
            <v>160.95880718994317</v>
          </cell>
          <cell r="E126">
            <v>19.650694444444451</v>
          </cell>
          <cell r="F126">
            <v>2.3107998685767535</v>
          </cell>
        </row>
        <row r="127">
          <cell r="B127">
            <v>281.16219232555272</v>
          </cell>
          <cell r="C127">
            <v>200.09335212298845</v>
          </cell>
          <cell r="D127">
            <v>161.28505427312814</v>
          </cell>
          <cell r="E127">
            <v>19.641041666666673</v>
          </cell>
          <cell r="F127">
            <v>2.316208065338528</v>
          </cell>
        </row>
        <row r="128">
          <cell r="B128">
            <v>282.86179501085303</v>
          </cell>
          <cell r="C128">
            <v>200.5579218454792</v>
          </cell>
          <cell r="D128">
            <v>161.61196262587112</v>
          </cell>
          <cell r="E128">
            <v>19.631388888888896</v>
          </cell>
          <cell r="F128">
            <v>2.3216289194457573</v>
          </cell>
        </row>
        <row r="129">
          <cell r="B129">
            <v>284.57167165675946</v>
          </cell>
          <cell r="C129">
            <v>201.02357018964713</v>
          </cell>
          <cell r="D129">
            <v>161.93953358849802</v>
          </cell>
          <cell r="E129">
            <v>19.621736111111119</v>
          </cell>
          <cell r="F129">
            <v>2.3270624605216974</v>
          </cell>
        </row>
        <row r="130">
          <cell r="B130">
            <v>286.2918843685319</v>
          </cell>
          <cell r="C130">
            <v>201.49029965979815</v>
          </cell>
          <cell r="D130">
            <v>162.2677685040515</v>
          </cell>
          <cell r="E130">
            <v>19.612083333333334</v>
          </cell>
          <cell r="F130">
            <v>2.3325087182589361</v>
          </cell>
        </row>
        <row r="131">
          <cell r="B131">
            <v>288.02249562685154</v>
          </cell>
          <cell r="C131">
            <v>201.94726564185683</v>
          </cell>
          <cell r="D131">
            <v>162.57803223037317</v>
          </cell>
          <cell r="E131">
            <v>19.609409722222225</v>
          </cell>
          <cell r="F131">
            <v>2.3378826174225127</v>
          </cell>
        </row>
        <row r="132">
          <cell r="B132">
            <v>289.76356829009029</v>
          </cell>
          <cell r="C132">
            <v>202.40526799097196</v>
          </cell>
          <cell r="D132">
            <v>162.88888919576357</v>
          </cell>
          <cell r="E132">
            <v>19.606736111111111</v>
          </cell>
          <cell r="F132">
            <v>2.3432688975868521</v>
          </cell>
        </row>
        <row r="133">
          <cell r="B133">
            <v>291.5151655965937</v>
          </cell>
          <cell r="C133">
            <v>202.86430905755191</v>
          </cell>
          <cell r="D133">
            <v>163.20034053452412</v>
          </cell>
          <cell r="E133">
            <v>19.604062499999998</v>
          </cell>
          <cell r="F133">
            <v>2.3486675872767138</v>
          </cell>
        </row>
        <row r="134">
          <cell r="B134">
            <v>293.27735116697812</v>
          </cell>
          <cell r="C134">
            <v>203.32439119733561</v>
          </cell>
          <cell r="D134">
            <v>163.51238738312512</v>
          </cell>
          <cell r="E134">
            <v>19.601388888888884</v>
          </cell>
          <cell r="F134">
            <v>2.3540787150825753</v>
          </cell>
        </row>
        <row r="135">
          <cell r="B135">
            <v>295.05018900644126</v>
          </cell>
          <cell r="C135">
            <v>203.7855167714047</v>
          </cell>
          <cell r="D135">
            <v>163.82503088020982</v>
          </cell>
          <cell r="E135">
            <v>19.598715277777771</v>
          </cell>
          <cell r="F135">
            <v>2.3595023096607846</v>
          </cell>
        </row>
        <row r="136">
          <cell r="B136">
            <v>296.83374350708715</v>
          </cell>
          <cell r="C136">
            <v>204.24768814619551</v>
          </cell>
          <cell r="D136">
            <v>164.13827216659865</v>
          </cell>
          <cell r="E136">
            <v>19.596041666666657</v>
          </cell>
          <cell r="F136">
            <v>2.3649383997337114</v>
          </cell>
        </row>
        <row r="137">
          <cell r="B137">
            <v>298.62807945026486</v>
          </cell>
          <cell r="C137">
            <v>204.71090769351133</v>
          </cell>
          <cell r="D137">
            <v>164.45211238529333</v>
          </cell>
          <cell r="E137">
            <v>19.593368055555544</v>
          </cell>
          <cell r="F137">
            <v>2.370387014089899</v>
          </cell>
        </row>
        <row r="138">
          <cell r="B138">
            <v>300.43326200892147</v>
          </cell>
          <cell r="C138">
            <v>205.17517779053455</v>
          </cell>
          <cell r="D138">
            <v>164.76655268148102</v>
          </cell>
          <cell r="E138">
            <v>19.590694444444431</v>
          </cell>
          <cell r="F138">
            <v>2.3758481815842174</v>
          </cell>
        </row>
        <row r="139">
          <cell r="B139">
            <v>302.24935674996919</v>
          </cell>
          <cell r="C139">
            <v>205.64050081983879</v>
          </cell>
          <cell r="D139">
            <v>165.08159420253855</v>
          </cell>
          <cell r="E139">
            <v>19.588020833333317</v>
          </cell>
          <cell r="F139">
            <v>2.3813219311380154</v>
          </cell>
        </row>
        <row r="140">
          <cell r="B140">
            <v>304.076429636667</v>
          </cell>
          <cell r="C140">
            <v>206.10687916940122</v>
          </cell>
          <cell r="D140">
            <v>165.39723809803664</v>
          </cell>
          <cell r="E140">
            <v>19.585347222222204</v>
          </cell>
          <cell r="F140">
            <v>2.3868082917392743</v>
          </cell>
        </row>
        <row r="141">
          <cell r="B141">
            <v>305.91454703101641</v>
          </cell>
          <cell r="C141">
            <v>206.57431523261479</v>
          </cell>
          <cell r="D141">
            <v>165.71348551974395</v>
          </cell>
          <cell r="E141">
            <v>19.58267361111109</v>
          </cell>
          <cell r="F141">
            <v>2.3923072924427613</v>
          </cell>
        </row>
        <row r="142">
          <cell r="B142">
            <v>307.76377569617176</v>
          </cell>
          <cell r="C142">
            <v>207.04281140830045</v>
          </cell>
          <cell r="D142">
            <v>166.03033762163147</v>
          </cell>
          <cell r="E142">
            <v>19.579999999999995</v>
          </cell>
          <cell r="F142">
            <v>2.39781896237018</v>
          </cell>
        </row>
        <row r="143">
          <cell r="B143">
            <v>309.62418279886538</v>
          </cell>
          <cell r="C143">
            <v>207.50163896315578</v>
          </cell>
          <cell r="D143">
            <v>166.32745963630512</v>
          </cell>
          <cell r="E143">
            <v>19.604999999999997</v>
          </cell>
          <cell r="F143">
            <v>2.4031820782557931</v>
          </cell>
        </row>
        <row r="144">
          <cell r="B144">
            <v>311.495835911847</v>
          </cell>
          <cell r="C144">
            <v>207.96148332571221</v>
          </cell>
          <cell r="D144">
            <v>166.625113370018</v>
          </cell>
          <cell r="E144">
            <v>19.629999999999995</v>
          </cell>
          <cell r="F144">
            <v>2.4085571896308298</v>
          </cell>
        </row>
        <row r="145">
          <cell r="B145">
            <v>313.37880301633817</v>
          </cell>
          <cell r="C145">
            <v>208.42234674931717</v>
          </cell>
          <cell r="D145">
            <v>166.92329977431569</v>
          </cell>
          <cell r="E145">
            <v>19.654999999999994</v>
          </cell>
          <cell r="F145">
            <v>2.4139443233251718</v>
          </cell>
        </row>
        <row r="146">
          <cell r="B146">
            <v>315.27315250450141</v>
          </cell>
          <cell r="C146">
            <v>208.88423149231176</v>
          </cell>
          <cell r="D146">
            <v>167.2220198024466</v>
          </cell>
          <cell r="E146">
            <v>19.679999999999993</v>
          </cell>
          <cell r="F146">
            <v>2.419343506228711</v>
          </cell>
        </row>
        <row r="147">
          <cell r="B147">
            <v>317.17895318192427</v>
          </cell>
          <cell r="C147">
            <v>209.3471398180418</v>
          </cell>
          <cell r="D147">
            <v>167.52127440936505</v>
          </cell>
          <cell r="E147">
            <v>19.704999999999991</v>
          </cell>
          <cell r="F147">
            <v>2.4247547652914823</v>
          </cell>
        </row>
        <row r="148">
          <cell r="B148">
            <v>319.09627427011861</v>
          </cell>
          <cell r="C148">
            <v>209.81107399486888</v>
          </cell>
          <cell r="D148">
            <v>167.82106455173434</v>
          </cell>
          <cell r="E148">
            <v>19.72999999999999</v>
          </cell>
          <cell r="F148">
            <v>2.4301781275237988</v>
          </cell>
        </row>
        <row r="149">
          <cell r="B149">
            <v>321.02518540903463</v>
          </cell>
          <cell r="C149">
            <v>210.2760362961815</v>
          </cell>
          <cell r="D149">
            <v>168.12139118792973</v>
          </cell>
          <cell r="E149">
            <v>19.754999999999988</v>
          </cell>
          <cell r="F149">
            <v>2.4356136199963871</v>
          </cell>
        </row>
        <row r="150">
          <cell r="B150">
            <v>322.96575665959051</v>
          </cell>
          <cell r="C150">
            <v>210.74202900040626</v>
          </cell>
          <cell r="D150">
            <v>168.42225527804158</v>
          </cell>
          <cell r="E150">
            <v>19.779999999999987</v>
          </cell>
          <cell r="F150">
            <v>2.4410612698405219</v>
          </cell>
        </row>
        <row r="151">
          <cell r="B151">
            <v>324.91805850621682</v>
          </cell>
          <cell r="C151">
            <v>211.20905439101895</v>
          </cell>
          <cell r="D151">
            <v>168.72365778387839</v>
          </cell>
          <cell r="E151">
            <v>19.804999999999986</v>
          </cell>
          <cell r="F151">
            <v>2.4465211042481605</v>
          </cell>
        </row>
        <row r="152">
          <cell r="B152">
            <v>326.88216185941701</v>
          </cell>
          <cell r="C152">
            <v>211.67711475655577</v>
          </cell>
          <cell r="D152">
            <v>169.0255996689699</v>
          </cell>
          <cell r="E152">
            <v>19.829999999999984</v>
          </cell>
          <cell r="F152">
            <v>2.4519931504720804</v>
          </cell>
        </row>
        <row r="153">
          <cell r="B153">
            <v>328.8581380583426</v>
          </cell>
          <cell r="C153">
            <v>212.14621239062456</v>
          </cell>
          <cell r="D153">
            <v>169.3280818985701</v>
          </cell>
          <cell r="E153">
            <v>19.854999999999983</v>
          </cell>
          <cell r="F153">
            <v>2.4574774358260143</v>
          </cell>
        </row>
        <row r="154">
          <cell r="B154">
            <v>330.84605887338461</v>
          </cell>
          <cell r="C154">
            <v>212.61634959191602</v>
          </cell>
          <cell r="D154">
            <v>169.63110543966042</v>
          </cell>
          <cell r="E154">
            <v>19.88</v>
          </cell>
          <cell r="F154">
            <v>2.4629739876847867</v>
          </cell>
        </row>
        <row r="155">
          <cell r="B155">
            <v>332.84599650878027</v>
          </cell>
          <cell r="C155">
            <v>213.07888091182747</v>
          </cell>
          <cell r="D155">
            <v>169.91762554703541</v>
          </cell>
          <cell r="E155">
            <v>19.932083333333331</v>
          </cell>
          <cell r="F155">
            <v>2.4681826378384035</v>
          </cell>
        </row>
        <row r="156">
          <cell r="B156">
            <v>334.85802360523553</v>
          </cell>
          <cell r="C156">
            <v>213.54241843480051</v>
          </cell>
          <cell r="D156">
            <v>170.2046296091174</v>
          </cell>
          <cell r="E156">
            <v>19.984166666666663</v>
          </cell>
          <cell r="F156">
            <v>2.4734023031454724</v>
          </cell>
        </row>
        <row r="157">
          <cell r="B157">
            <v>336.88221324256352</v>
          </cell>
          <cell r="C157">
            <v>214.00696434975629</v>
          </cell>
          <cell r="D157">
            <v>170.49211844334346</v>
          </cell>
          <cell r="E157">
            <v>20.036249999999995</v>
          </cell>
          <cell r="F157">
            <v>2.4786330069006288</v>
          </cell>
        </row>
        <row r="158">
          <cell r="B158">
            <v>338.91863894233899</v>
          </cell>
          <cell r="C158">
            <v>214.47252085037783</v>
          </cell>
          <cell r="D158">
            <v>170.78009286853137</v>
          </cell>
          <cell r="E158">
            <v>20.088333333333328</v>
          </cell>
          <cell r="F158">
            <v>2.4838747724477708</v>
          </cell>
        </row>
        <row r="159">
          <cell r="B159">
            <v>340.96737467056857</v>
          </cell>
          <cell r="C159">
            <v>214.93909013512035</v>
          </cell>
          <cell r="D159">
            <v>171.06855370488196</v>
          </cell>
          <cell r="E159">
            <v>20.14041666666666</v>
          </cell>
          <cell r="F159">
            <v>2.4891276231801638</v>
          </cell>
        </row>
        <row r="160">
          <cell r="B160">
            <v>343.0284948403775</v>
          </cell>
          <cell r="C160">
            <v>215.40667440722163</v>
          </cell>
          <cell r="D160">
            <v>171.35750177398148</v>
          </cell>
          <cell r="E160">
            <v>20.192499999999992</v>
          </cell>
          <cell r="F160">
            <v>2.4943915825405454</v>
          </cell>
        </row>
        <row r="161">
          <cell r="B161">
            <v>345.10207431471224</v>
          </cell>
          <cell r="C161">
            <v>215.87527587471243</v>
          </cell>
          <cell r="D161">
            <v>171.64693789880386</v>
          </cell>
          <cell r="E161">
            <v>20.244583333333324</v>
          </cell>
          <cell r="F161">
            <v>2.4996666740212286</v>
          </cell>
        </row>
        <row r="162">
          <cell r="B162">
            <v>347.18818840905976</v>
          </cell>
          <cell r="C162">
            <v>216.34489675042695</v>
          </cell>
          <cell r="D162">
            <v>171.93686290371309</v>
          </cell>
          <cell r="E162">
            <v>20.296666666666656</v>
          </cell>
          <cell r="F162">
            <v>2.5049529211642083</v>
          </cell>
        </row>
        <row r="163">
          <cell r="B163">
            <v>349.28691289418305</v>
          </cell>
          <cell r="C163">
            <v>216.81553925201325</v>
          </cell>
          <cell r="D163">
            <v>172.22727761446561</v>
          </cell>
          <cell r="E163">
            <v>20.348749999999988</v>
          </cell>
          <cell r="F163">
            <v>2.5102503475612647</v>
          </cell>
        </row>
        <row r="164">
          <cell r="B164">
            <v>351.3983239988732</v>
          </cell>
          <cell r="C164">
            <v>217.28720560194367</v>
          </cell>
          <cell r="D164">
            <v>172.51818285821261</v>
          </cell>
          <cell r="E164">
            <v>20.40083333333332</v>
          </cell>
          <cell r="F164">
            <v>2.5155589768540705</v>
          </cell>
        </row>
        <row r="165">
          <cell r="B165">
            <v>353.52249841271822</v>
          </cell>
          <cell r="C165">
            <v>217.75989802752542</v>
          </cell>
          <cell r="D165">
            <v>172.80957946350242</v>
          </cell>
          <cell r="E165">
            <v>20.452916666666653</v>
          </cell>
          <cell r="F165">
            <v>2.5208788327342946</v>
          </cell>
        </row>
        <row r="166">
          <cell r="B166">
            <v>355.65951328888838</v>
          </cell>
          <cell r="C166">
            <v>218.23361876091104</v>
          </cell>
          <cell r="D166">
            <v>173.10146826028279</v>
          </cell>
          <cell r="E166">
            <v>20.504999999999999</v>
          </cell>
          <cell r="F166">
            <v>2.5262099389437069</v>
          </cell>
        </row>
        <row r="167">
          <cell r="B167">
            <v>357.72612812434687</v>
          </cell>
          <cell r="C167">
            <v>218.70045212737875</v>
          </cell>
          <cell r="D167">
            <v>173.38121940356976</v>
          </cell>
          <cell r="E167">
            <v>20.555</v>
          </cell>
          <cell r="F167">
            <v>2.5314135178011798</v>
          </cell>
        </row>
        <row r="168">
          <cell r="B168">
            <v>359.80475134624959</v>
          </cell>
          <cell r="C168">
            <v>219.16828411813398</v>
          </cell>
          <cell r="D168">
            <v>173.66142265568607</v>
          </cell>
          <cell r="E168">
            <v>20.605</v>
          </cell>
          <cell r="F168">
            <v>2.5366278151791164</v>
          </cell>
        </row>
        <row r="169">
          <cell r="B169">
            <v>361.89545273119086</v>
          </cell>
          <cell r="C169">
            <v>219.63711686937893</v>
          </cell>
          <cell r="D169">
            <v>173.94207874728966</v>
          </cell>
          <cell r="E169">
            <v>20.655000000000001</v>
          </cell>
          <cell r="F169">
            <v>2.5418528531559139</v>
          </cell>
        </row>
        <row r="170">
          <cell r="B170">
            <v>363.99830246121275</v>
          </cell>
          <cell r="C170">
            <v>220.10695252188546</v>
          </cell>
          <cell r="D170">
            <v>174.22318841021925</v>
          </cell>
          <cell r="E170">
            <v>20.705000000000002</v>
          </cell>
          <cell r="F170">
            <v>2.5470886538554471</v>
          </cell>
        </row>
        <row r="171">
          <cell r="B171">
            <v>366.11337112616093</v>
          </cell>
          <cell r="C171">
            <v>220.57779322100484</v>
          </cell>
          <cell r="D171">
            <v>174.50475237749637</v>
          </cell>
          <cell r="E171">
            <v>20.755000000000003</v>
          </cell>
          <cell r="F171">
            <v>2.5523352394471628</v>
          </cell>
        </row>
        <row r="172">
          <cell r="B172">
            <v>368.24072972605438</v>
          </cell>
          <cell r="C172">
            <v>221.04964111667758</v>
          </cell>
          <cell r="D172">
            <v>174.78677138332716</v>
          </cell>
          <cell r="E172">
            <v>20.805000000000003</v>
          </cell>
          <cell r="F172">
            <v>2.5575926321461733</v>
          </cell>
        </row>
        <row r="173">
          <cell r="B173">
            <v>370.38044967346877</v>
          </cell>
          <cell r="C173">
            <v>221.52249836344316</v>
          </cell>
          <cell r="D173">
            <v>175.06924616310431</v>
          </cell>
          <cell r="E173">
            <v>20.855000000000004</v>
          </cell>
          <cell r="F173">
            <v>2.56286085421335</v>
          </cell>
        </row>
        <row r="174">
          <cell r="B174">
            <v>372.53260279593354</v>
          </cell>
          <cell r="C174">
            <v>221.99636712045003</v>
          </cell>
          <cell r="D174">
            <v>175.35217745340901</v>
          </cell>
          <cell r="E174">
            <v>20.905000000000005</v>
          </cell>
          <cell r="F174">
            <v>2.5681399279554182</v>
          </cell>
        </row>
        <row r="175">
          <cell r="B175">
            <v>374.69726133834314</v>
          </cell>
          <cell r="C175">
            <v>222.47124955146529</v>
          </cell>
          <cell r="D175">
            <v>175.6355659920128</v>
          </cell>
          <cell r="E175">
            <v>20.955000000000005</v>
          </cell>
          <cell r="F175">
            <v>2.5734298757250516</v>
          </cell>
        </row>
        <row r="176">
          <cell r="B176">
            <v>376.87449796538232</v>
          </cell>
          <cell r="C176">
            <v>222.94714782488469</v>
          </cell>
          <cell r="D176">
            <v>175.91941251787958</v>
          </cell>
          <cell r="E176">
            <v>21.005000000000006</v>
          </cell>
          <cell r="F176">
            <v>2.5787307199209661</v>
          </cell>
        </row>
        <row r="177">
          <cell r="B177">
            <v>379.06438576396511</v>
          </cell>
          <cell r="C177">
            <v>223.4240641137425</v>
          </cell>
          <cell r="D177">
            <v>176.2037177711675</v>
          </cell>
          <cell r="E177">
            <v>21.055000000000007</v>
          </cell>
          <cell r="F177">
            <v>2.5840424829880164</v>
          </cell>
        </row>
        <row r="178">
          <cell r="B178">
            <v>381.26699824568851</v>
          </cell>
          <cell r="C178">
            <v>223.9020005957214</v>
          </cell>
          <cell r="D178">
            <v>176.48848249323086</v>
          </cell>
          <cell r="E178">
            <v>21.105</v>
          </cell>
          <cell r="F178">
            <v>2.5893651874172878</v>
          </cell>
        </row>
        <row r="179">
          <cell r="B179">
            <v>383.48240934930004</v>
          </cell>
          <cell r="C179">
            <v>224.37366820194069</v>
          </cell>
          <cell r="D179">
            <v>176.7590109963586</v>
          </cell>
          <cell r="E179">
            <v>21.155000000000001</v>
          </cell>
          <cell r="F179">
            <v>2.5944082870946334</v>
          </cell>
        </row>
        <row r="180">
          <cell r="B180">
            <v>385.71069344317976</v>
          </cell>
          <cell r="C180">
            <v>224.84632941397933</v>
          </cell>
          <cell r="D180">
            <v>177.02995417624015</v>
          </cell>
          <cell r="E180">
            <v>21.205000000000002</v>
          </cell>
          <cell r="F180">
            <v>2.5994612088142612</v>
          </cell>
        </row>
        <row r="181">
          <cell r="B181">
            <v>387.95192532783682</v>
          </cell>
          <cell r="C181">
            <v>225.31998632494805</v>
          </cell>
          <cell r="D181">
            <v>177.30131266850839</v>
          </cell>
          <cell r="E181">
            <v>21.255000000000003</v>
          </cell>
          <cell r="F181">
            <v>2.6045239717057789</v>
          </cell>
        </row>
        <row r="182">
          <cell r="B182">
            <v>390.20618023842025</v>
          </cell>
          <cell r="C182">
            <v>225.79464103236685</v>
          </cell>
          <cell r="D182">
            <v>177.57308710977048</v>
          </cell>
          <cell r="E182">
            <v>21.305000000000003</v>
          </cell>
          <cell r="F182">
            <v>2.60959659493605</v>
          </cell>
        </row>
        <row r="183">
          <cell r="B183">
            <v>392.47353384724471</v>
          </cell>
          <cell r="C183">
            <v>226.27029563817439</v>
          </cell>
          <cell r="D183">
            <v>177.84527813760948</v>
          </cell>
          <cell r="E183">
            <v>21.355000000000004</v>
          </cell>
          <cell r="F183">
            <v>2.6146790977092684</v>
          </cell>
        </row>
        <row r="184">
          <cell r="B184">
            <v>394.75406226633049</v>
          </cell>
          <cell r="C184">
            <v>226.74695224873719</v>
          </cell>
          <cell r="D184">
            <v>178.11788639058571</v>
          </cell>
          <cell r="E184">
            <v>21.405000000000005</v>
          </cell>
          <cell r="F184">
            <v>2.6197714992670309</v>
          </cell>
        </row>
        <row r="185">
          <cell r="B185">
            <v>397.04784204995872</v>
          </cell>
          <cell r="C185">
            <v>227.22461297485901</v>
          </cell>
          <cell r="D185">
            <v>178.3909125082383</v>
          </cell>
          <cell r="E185">
            <v>21.455000000000005</v>
          </cell>
          <cell r="F185">
            <v>2.6248738188884091</v>
          </cell>
        </row>
        <row r="186">
          <cell r="B186">
            <v>399.35495019724095</v>
          </cell>
          <cell r="C186">
            <v>227.70327993179018</v>
          </cell>
          <cell r="D186">
            <v>178.66435713108669</v>
          </cell>
          <cell r="E186">
            <v>21.505000000000006</v>
          </cell>
          <cell r="F186">
            <v>2.6299860758900229</v>
          </cell>
        </row>
        <row r="187">
          <cell r="B187">
            <v>401.67546415470406</v>
          </cell>
          <cell r="C187">
            <v>228.18295523923697</v>
          </cell>
          <cell r="D187">
            <v>178.93822090063213</v>
          </cell>
          <cell r="E187">
            <v>21.555000000000007</v>
          </cell>
          <cell r="F187">
            <v>2.6351082896261135</v>
          </cell>
        </row>
        <row r="188">
          <cell r="B188">
            <v>404.00946181889003</v>
          </cell>
          <cell r="C188">
            <v>228.66364102137103</v>
          </cell>
          <cell r="D188">
            <v>179.21250445935922</v>
          </cell>
          <cell r="E188">
            <v>21.605000000000008</v>
          </cell>
          <cell r="F188">
            <v>2.6402404794886176</v>
          </cell>
        </row>
        <row r="189">
          <cell r="B189">
            <v>406.3570215389708</v>
          </cell>
          <cell r="C189">
            <v>229.14533940683867</v>
          </cell>
          <cell r="D189">
            <v>179.48720845073737</v>
          </cell>
          <cell r="E189">
            <v>21.655000000000008</v>
          </cell>
          <cell r="F189">
            <v>2.6453826649072392</v>
          </cell>
        </row>
        <row r="190">
          <cell r="B190">
            <v>408.71822211937825</v>
          </cell>
          <cell r="C190">
            <v>229.62805252877044</v>
          </cell>
          <cell r="D190">
            <v>179.76233351922232</v>
          </cell>
          <cell r="E190">
            <v>21.704999999999998</v>
          </cell>
          <cell r="F190">
            <v>2.6505348653495227</v>
          </cell>
        </row>
        <row r="191">
          <cell r="B191">
            <v>411.09314282244981</v>
          </cell>
          <cell r="C191">
            <v>230.10632842772247</v>
          </cell>
          <cell r="D191">
            <v>180.02099370792212</v>
          </cell>
          <cell r="E191">
            <v>21.754999999999999</v>
          </cell>
          <cell r="F191">
            <v>2.6551333521534075</v>
          </cell>
        </row>
        <row r="192">
          <cell r="B192">
            <v>413.48186337108888</v>
          </cell>
          <cell r="C192">
            <v>230.58560049344507</v>
          </cell>
          <cell r="D192">
            <v>180.28002608300773</v>
          </cell>
          <cell r="E192">
            <v>21.805</v>
          </cell>
          <cell r="F192">
            <v>2.6597398170002005</v>
          </cell>
        </row>
        <row r="193">
          <cell r="B193">
            <v>415.88446395144121</v>
          </cell>
          <cell r="C193">
            <v>231.06587080078299</v>
          </cell>
          <cell r="D193">
            <v>180.53943118001848</v>
          </cell>
          <cell r="E193">
            <v>21.855</v>
          </cell>
          <cell r="F193">
            <v>2.6643542737312305</v>
          </cell>
        </row>
        <row r="194">
          <cell r="B194">
            <v>418.30102521558666</v>
          </cell>
          <cell r="C194">
            <v>231.54714142890248</v>
          </cell>
          <cell r="D194">
            <v>180.79920953526431</v>
          </cell>
          <cell r="E194">
            <v>21.905000000000001</v>
          </cell>
          <cell r="F194">
            <v>2.6689767362118406</v>
          </cell>
        </row>
        <row r="195">
          <cell r="B195">
            <v>420.73162828424648</v>
          </cell>
          <cell r="C195">
            <v>232.02941446130041</v>
          </cell>
          <cell r="D195">
            <v>181.05936168582684</v>
          </cell>
          <cell r="E195">
            <v>21.955000000000002</v>
          </cell>
          <cell r="F195">
            <v>2.6736072183314286</v>
          </cell>
        </row>
        <row r="196">
          <cell r="B196">
            <v>423.17635474950646</v>
          </cell>
          <cell r="C196">
            <v>232.51269198581318</v>
          </cell>
          <cell r="D196">
            <v>181.3198881695605</v>
          </cell>
          <cell r="E196">
            <v>22.005000000000003</v>
          </cell>
          <cell r="F196">
            <v>2.6782457340034895</v>
          </cell>
        </row>
        <row r="197">
          <cell r="B197">
            <v>425.63528667755588</v>
          </cell>
          <cell r="C197">
            <v>232.99697609462581</v>
          </cell>
          <cell r="D197">
            <v>181.58078952509365</v>
          </cell>
          <cell r="E197">
            <v>22.055000000000003</v>
          </cell>
          <cell r="F197">
            <v>2.6828922971656577</v>
          </cell>
        </row>
        <row r="198">
          <cell r="B198">
            <v>428.10850661144241</v>
          </cell>
          <cell r="C198">
            <v>233.48226888428096</v>
          </cell>
          <cell r="D198">
            <v>181.84206629182964</v>
          </cell>
          <cell r="E198">
            <v>22.105000000000004</v>
          </cell>
          <cell r="F198">
            <v>2.6875469217797479</v>
          </cell>
        </row>
        <row r="199">
          <cell r="B199">
            <v>430.59609757384288</v>
          </cell>
          <cell r="C199">
            <v>233.96857245568802</v>
          </cell>
          <cell r="D199">
            <v>182.10371900994801</v>
          </cell>
          <cell r="E199">
            <v>22.155000000000005</v>
          </cell>
          <cell r="F199">
            <v>2.6922096218317977</v>
          </cell>
        </row>
        <row r="200">
          <cell r="B200">
            <v>433.09814306985027</v>
          </cell>
          <cell r="C200">
            <v>234.45588891413226</v>
          </cell>
          <cell r="D200">
            <v>182.36574822040555</v>
          </cell>
          <cell r="E200">
            <v>22.205000000000005</v>
          </cell>
          <cell r="F200">
            <v>2.6968804113321094</v>
          </cell>
        </row>
        <row r="201">
          <cell r="B201">
            <v>435.61472708977681</v>
          </cell>
          <cell r="C201">
            <v>234.94422036928387</v>
          </cell>
          <cell r="D201">
            <v>182.62815446493744</v>
          </cell>
          <cell r="E201">
            <v>22.255000000000006</v>
          </cell>
          <cell r="F201">
            <v>2.7015593043152926</v>
          </cell>
        </row>
        <row r="202">
          <cell r="B202">
            <v>438.14593411197365</v>
          </cell>
          <cell r="C202">
            <v>235.43356893520712</v>
          </cell>
          <cell r="D202">
            <v>182.89093828605837</v>
          </cell>
          <cell r="E202">
            <v>22.304999999999996</v>
          </cell>
          <cell r="F202">
            <v>2.7062463148403069</v>
          </cell>
        </row>
        <row r="203">
          <cell r="B203">
            <v>440.69184910566634</v>
          </cell>
          <cell r="C203">
            <v>235.92010131714585</v>
          </cell>
          <cell r="D203">
            <v>183.1392170857919</v>
          </cell>
          <cell r="E203">
            <v>22.354999999999997</v>
          </cell>
          <cell r="F203">
            <v>2.7107133756643873</v>
          </cell>
        </row>
        <row r="204">
          <cell r="B204">
            <v>443.25255753380742</v>
          </cell>
          <cell r="C204">
            <v>236.40763913666828</v>
          </cell>
          <cell r="D204">
            <v>183.38783292990266</v>
          </cell>
          <cell r="E204">
            <v>22.404999999999998</v>
          </cell>
          <cell r="F204">
            <v>2.7151878100347324</v>
          </cell>
        </row>
        <row r="205">
          <cell r="B205">
            <v>445.82814535594514</v>
          </cell>
          <cell r="C205">
            <v>236.89618447154925</v>
          </cell>
          <cell r="D205">
            <v>183.63678627593643</v>
          </cell>
          <cell r="E205">
            <v>22.454999999999998</v>
          </cell>
          <cell r="F205">
            <v>2.7196696301224734</v>
          </cell>
        </row>
        <row r="206">
          <cell r="B206">
            <v>448.41869903110904</v>
          </cell>
          <cell r="C206">
            <v>237.38573940385737</v>
          </cell>
          <cell r="D206">
            <v>183.88607758206007</v>
          </cell>
          <cell r="E206">
            <v>22.504999999999999</v>
          </cell>
          <cell r="F206">
            <v>2.7241588481188321</v>
          </cell>
        </row>
        <row r="207">
          <cell r="B207">
            <v>451.02430552071235</v>
          </cell>
          <cell r="C207">
            <v>237.87630601996395</v>
          </cell>
          <cell r="D207">
            <v>184.13570730706246</v>
          </cell>
          <cell r="E207">
            <v>22.555</v>
          </cell>
          <cell r="F207">
            <v>2.7286554762351538</v>
          </cell>
        </row>
        <row r="208">
          <cell r="B208">
            <v>453.64505229147107</v>
          </cell>
          <cell r="C208">
            <v>238.36788641055188</v>
          </cell>
          <cell r="D208">
            <v>184.3856759103553</v>
          </cell>
          <cell r="E208">
            <v>22.605</v>
          </cell>
          <cell r="F208">
            <v>2.7331595267029405</v>
          </cell>
        </row>
        <row r="209">
          <cell r="B209">
            <v>456.28102731834008</v>
          </cell>
          <cell r="C209">
            <v>238.86048267062446</v>
          </cell>
          <cell r="D209">
            <v>184.63598385197389</v>
          </cell>
          <cell r="E209">
            <v>22.655000000000001</v>
          </cell>
          <cell r="F209">
            <v>2.7376710117738834</v>
          </cell>
        </row>
        <row r="210">
          <cell r="B210">
            <v>458.93231908746645</v>
          </cell>
          <cell r="C210">
            <v>239.35409689951445</v>
          </cell>
          <cell r="D210">
            <v>184.88663159257811</v>
          </cell>
          <cell r="E210">
            <v>22.705000000000002</v>
          </cell>
          <cell r="F210">
            <v>2.7421899437198975</v>
          </cell>
        </row>
        <row r="211">
          <cell r="B211">
            <v>461.59901659915977</v>
          </cell>
          <cell r="C211">
            <v>239.84873120089293</v>
          </cell>
          <cell r="D211">
            <v>185.13761959345317</v>
          </cell>
          <cell r="E211">
            <v>22.755000000000003</v>
          </cell>
          <cell r="F211">
            <v>2.7467163348331547</v>
          </cell>
        </row>
        <row r="212">
          <cell r="B212">
            <v>464.28120937087965</v>
          </cell>
          <cell r="C212">
            <v>240.34438768277832</v>
          </cell>
          <cell r="D212">
            <v>185.38894831651047</v>
          </cell>
          <cell r="E212">
            <v>22.805000000000003</v>
          </cell>
          <cell r="F212">
            <v>2.7512501974261161</v>
          </cell>
        </row>
        <row r="213">
          <cell r="B213">
            <v>466.97898744024093</v>
          </cell>
          <cell r="C213">
            <v>240.84106845754533</v>
          </cell>
          <cell r="D213">
            <v>185.64061822428846</v>
          </cell>
          <cell r="E213">
            <v>22.855000000000004</v>
          </cell>
          <cell r="F213">
            <v>2.7557915438315672</v>
          </cell>
        </row>
        <row r="214">
          <cell r="B214">
            <v>469.69244136803593</v>
          </cell>
          <cell r="C214">
            <v>241.33877564193398</v>
          </cell>
          <cell r="D214">
            <v>185.89262977995355</v>
          </cell>
          <cell r="E214">
            <v>22.905000000000001</v>
          </cell>
          <cell r="F214">
            <v>2.7603403864026497</v>
          </cell>
        </row>
        <row r="215">
          <cell r="B215">
            <v>472.34815071889614</v>
          </cell>
          <cell r="C215">
            <v>241.83890384444527</v>
          </cell>
          <cell r="D215">
            <v>186.13455181948905</v>
          </cell>
          <cell r="E215">
            <v>22.955000000000009</v>
          </cell>
          <cell r="F215">
            <v>2.7649282340797861</v>
          </cell>
        </row>
        <row r="216">
          <cell r="B216">
            <v>475.0188758365328</v>
          </cell>
          <cell r="C216">
            <v>242.34006846648046</v>
          </cell>
          <cell r="D216">
            <v>186.37678869815122</v>
          </cell>
          <cell r="E216">
            <v>23.005000000000017</v>
          </cell>
          <cell r="F216">
            <v>2.7695237070289402</v>
          </cell>
        </row>
        <row r="217">
          <cell r="B217">
            <v>477.70470162227434</v>
          </cell>
          <cell r="C217">
            <v>242.8422716558197</v>
          </cell>
          <cell r="D217">
            <v>186.61934082567402</v>
          </cell>
          <cell r="E217">
            <v>23.055000000000025</v>
          </cell>
          <cell r="F217">
            <v>2.7741268179237619</v>
          </cell>
        </row>
        <row r="218">
          <cell r="B218">
            <v>480.40571345749373</v>
          </cell>
          <cell r="C218">
            <v>243.34551556469401</v>
          </cell>
          <cell r="D218">
            <v>186.86220861232462</v>
          </cell>
          <cell r="E218">
            <v>23.105000000000032</v>
          </cell>
          <cell r="F218">
            <v>2.7787375794589648</v>
          </cell>
        </row>
        <row r="219">
          <cell r="B219">
            <v>483.12199720632253</v>
          </cell>
          <cell r="C219">
            <v>243.84980234979449</v>
          </cell>
          <cell r="D219">
            <v>187.10539246890417</v>
          </cell>
          <cell r="E219">
            <v>23.15500000000004</v>
          </cell>
          <cell r="F219">
            <v>2.7833560043503622</v>
          </cell>
        </row>
        <row r="220">
          <cell r="B220">
            <v>485.85363921838069</v>
          </cell>
          <cell r="C220">
            <v>244.35513417228157</v>
          </cell>
          <cell r="D220">
            <v>187.34889280674838</v>
          </cell>
          <cell r="E220">
            <v>23.205000000000048</v>
          </cell>
          <cell r="F220">
            <v>2.7879821053349021</v>
          </cell>
        </row>
        <row r="221">
          <cell r="B221">
            <v>488.60072633152134</v>
          </cell>
          <cell r="C221">
            <v>244.86151319779427</v>
          </cell>
          <cell r="D221">
            <v>187.59271003772832</v>
          </cell>
          <cell r="E221">
            <v>23.255000000000056</v>
          </cell>
          <cell r="F221">
            <v>2.7926158951707012</v>
          </cell>
        </row>
        <row r="222">
          <cell r="B222">
            <v>491.36334587459157</v>
          </cell>
          <cell r="C222">
            <v>245.36894159645948</v>
          </cell>
          <cell r="D222">
            <v>187.83684457425105</v>
          </cell>
          <cell r="E222">
            <v>23.305000000000064</v>
          </cell>
          <cell r="F222">
            <v>2.7972573866370816</v>
          </cell>
        </row>
        <row r="223">
          <cell r="B223">
            <v>494.14158567020843</v>
          </cell>
          <cell r="C223">
            <v>245.87742154290126</v>
          </cell>
          <cell r="D223">
            <v>188.08129682926034</v>
          </cell>
          <cell r="E223">
            <v>23.355000000000071</v>
          </cell>
          <cell r="F223">
            <v>2.8019065925346047</v>
          </cell>
        </row>
        <row r="224">
          <cell r="B224">
            <v>496.93553403755078</v>
          </cell>
          <cell r="C224">
            <v>246.38695521625019</v>
          </cell>
          <cell r="D224">
            <v>188.32606721623736</v>
          </cell>
          <cell r="E224">
            <v>23.405000000000079</v>
          </cell>
          <cell r="F224">
            <v>2.8065635256851085</v>
          </cell>
        </row>
        <row r="225">
          <cell r="B225">
            <v>499.74527979516699</v>
          </cell>
          <cell r="C225">
            <v>246.89754480015262</v>
          </cell>
          <cell r="D225">
            <v>188.57115614920144</v>
          </cell>
          <cell r="E225">
            <v>23.455000000000087</v>
          </cell>
          <cell r="F225">
            <v>2.8112281989317403</v>
          </cell>
        </row>
        <row r="226">
          <cell r="B226">
            <v>502.57091226379839</v>
          </cell>
          <cell r="C226">
            <v>247.40919248278013</v>
          </cell>
          <cell r="D226">
            <v>188.81656404271064</v>
          </cell>
          <cell r="E226">
            <v>23.505000000000098</v>
          </cell>
          <cell r="F226">
            <v>2.8159006251389909</v>
          </cell>
        </row>
        <row r="227">
          <cell r="B227">
            <v>505.41252126921881</v>
          </cell>
          <cell r="C227">
            <v>247.92903681111099</v>
          </cell>
          <cell r="D227">
            <v>189.06041707083759</v>
          </cell>
          <cell r="E227">
            <v>23.555000000000099</v>
          </cell>
          <cell r="F227">
            <v>2.8205502274907825</v>
          </cell>
        </row>
        <row r="228">
          <cell r="B228">
            <v>508.27019714509004</v>
          </cell>
          <cell r="C228">
            <v>248.44997341141035</v>
          </cell>
          <cell r="D228">
            <v>189.30458503054709</v>
          </cell>
          <cell r="E228">
            <v>23.6050000000001</v>
          </cell>
          <cell r="F228">
            <v>2.8252075072449077</v>
          </cell>
        </row>
        <row r="229">
          <cell r="B229">
            <v>511.1440307358335</v>
          </cell>
          <cell r="C229">
            <v>248.9720045787077</v>
          </cell>
          <cell r="D229">
            <v>189.54906832856733</v>
          </cell>
          <cell r="E229">
            <v>23.655000000000101</v>
          </cell>
          <cell r="F229">
            <v>2.8298724770782577</v>
          </cell>
        </row>
        <row r="230">
          <cell r="B230">
            <v>514.03411339951822</v>
          </cell>
          <cell r="C230">
            <v>249.49513261285469</v>
          </cell>
          <cell r="D230">
            <v>189.79386737215182</v>
          </cell>
          <cell r="E230">
            <v>23.705000000000101</v>
          </cell>
          <cell r="F230">
            <v>2.8345451496886573</v>
          </cell>
        </row>
        <row r="231">
          <cell r="B231">
            <v>516.94053701076507</v>
          </cell>
          <cell r="C231">
            <v>250.01935981853532</v>
          </cell>
          <cell r="D231">
            <v>190.03898256907996</v>
          </cell>
          <cell r="E231">
            <v>23.755000000000102</v>
          </cell>
          <cell r="F231">
            <v>2.8392255377948965</v>
          </cell>
        </row>
        <row r="232">
          <cell r="B232">
            <v>519.86339396366725</v>
          </cell>
          <cell r="C232">
            <v>250.54468850527613</v>
          </cell>
          <cell r="D232">
            <v>190.28441432765783</v>
          </cell>
          <cell r="E232">
            <v>23.805000000000103</v>
          </cell>
          <cell r="F232">
            <v>2.8439136541367671</v>
          </cell>
        </row>
        <row r="233">
          <cell r="B233">
            <v>522.80277717472779</v>
          </cell>
          <cell r="C233">
            <v>251.07112098745625</v>
          </cell>
          <cell r="D233">
            <v>190.53016305671883</v>
          </cell>
          <cell r="E233">
            <v>23.855000000000103</v>
          </cell>
          <cell r="F233">
            <v>2.8486095114750971</v>
          </cell>
        </row>
        <row r="234">
          <cell r="B234">
            <v>525.75878008581299</v>
          </cell>
          <cell r="C234">
            <v>251.59865958431774</v>
          </cell>
          <cell r="D234">
            <v>190.77622916562436</v>
          </cell>
          <cell r="E234">
            <v>23.905000000000104</v>
          </cell>
          <cell r="F234">
            <v>2.8533131225917847</v>
          </cell>
        </row>
        <row r="235">
          <cell r="B235">
            <v>528.731496667123</v>
          </cell>
          <cell r="C235">
            <v>252.12730661997571</v>
          </cell>
          <cell r="D235">
            <v>191.0226130642645</v>
          </cell>
          <cell r="E235">
            <v>23.955000000000105</v>
          </cell>
          <cell r="F235">
            <v>2.8580245002898335</v>
          </cell>
        </row>
        <row r="236">
          <cell r="B236">
            <v>531.72102142017934</v>
          </cell>
          <cell r="C236">
            <v>252.65706442342861</v>
          </cell>
          <cell r="D236">
            <v>191.26931516305868</v>
          </cell>
          <cell r="E236">
            <v>24.005000000000106</v>
          </cell>
          <cell r="F236">
            <v>2.8627436573933873</v>
          </cell>
        </row>
        <row r="237">
          <cell r="B237">
            <v>534.72744938082872</v>
          </cell>
          <cell r="C237">
            <v>253.18793532856844</v>
          </cell>
          <cell r="D237">
            <v>191.5163358729564</v>
          </cell>
          <cell r="E237">
            <v>24.055000000000106</v>
          </cell>
          <cell r="F237">
            <v>2.8674706067477653</v>
          </cell>
        </row>
        <row r="238">
          <cell r="B238">
            <v>537.75087612226434</v>
          </cell>
          <cell r="C238">
            <v>253.71992167419106</v>
          </cell>
          <cell r="D238">
            <v>191.7636756054379</v>
          </cell>
          <cell r="E238">
            <v>24.105000000000103</v>
          </cell>
          <cell r="F238">
            <v>2.8722053612194949</v>
          </cell>
        </row>
        <row r="239">
          <cell r="B239">
            <v>540.74926199610366</v>
          </cell>
          <cell r="C239">
            <v>254.26128855244508</v>
          </cell>
          <cell r="D239">
            <v>192.01704490382375</v>
          </cell>
          <cell r="E239">
            <v>24.155000000000104</v>
          </cell>
          <cell r="F239">
            <v>2.8769423701861823</v>
          </cell>
        </row>
        <row r="240">
          <cell r="B240">
            <v>543.76436623944755</v>
          </cell>
          <cell r="C240">
            <v>254.80381055519598</v>
          </cell>
          <cell r="D240">
            <v>192.27074896843246</v>
          </cell>
          <cell r="E240">
            <v>24.205000000000105</v>
          </cell>
          <cell r="F240">
            <v>2.8816871917049434</v>
          </cell>
        </row>
        <row r="241">
          <cell r="B241">
            <v>546.79628207041094</v>
          </cell>
          <cell r="C241">
            <v>255.34749014715422</v>
          </cell>
          <cell r="D241">
            <v>192.5247882415766</v>
          </cell>
          <cell r="E241">
            <v>24.255000000000106</v>
          </cell>
          <cell r="F241">
            <v>2.8864398386606953</v>
          </cell>
        </row>
        <row r="242">
          <cell r="B242">
            <v>549.84510322687333</v>
          </cell>
          <cell r="C242">
            <v>255.89232979828924</v>
          </cell>
          <cell r="D242">
            <v>192.77916316615313</v>
          </cell>
          <cell r="E242">
            <v>24.305000000000106</v>
          </cell>
          <cell r="F242">
            <v>2.8912003239596067</v>
          </cell>
        </row>
        <row r="243">
          <cell r="B243">
            <v>552.910923969377</v>
          </cell>
          <cell r="C243">
            <v>256.43833198384067</v>
          </cell>
          <cell r="D243">
            <v>193.03387418564421</v>
          </cell>
          <cell r="E243">
            <v>24.355000000000107</v>
          </cell>
          <cell r="F243">
            <v>2.8959686605291308</v>
          </cell>
        </row>
        <row r="244">
          <cell r="B244">
            <v>555.99383908404116</v>
          </cell>
          <cell r="C244">
            <v>256.98549918432968</v>
          </cell>
          <cell r="D244">
            <v>193.28892174411794</v>
          </cell>
          <cell r="E244">
            <v>24.405000000000108</v>
          </cell>
          <cell r="F244">
            <v>2.9007448613180422</v>
          </cell>
        </row>
        <row r="245">
          <cell r="B245">
            <v>559.09394388549242</v>
          </cell>
          <cell r="C245">
            <v>257.53383388557017</v>
          </cell>
          <cell r="D245">
            <v>193.54430628622919</v>
          </cell>
          <cell r="E245">
            <v>24.455000000000108</v>
          </cell>
          <cell r="F245">
            <v>2.9055289392964712</v>
          </cell>
        </row>
        <row r="246">
          <cell r="B246">
            <v>562.21133421981187</v>
          </cell>
          <cell r="C246">
            <v>258.08333857868001</v>
          </cell>
          <cell r="D246">
            <v>193.80002825722028</v>
          </cell>
          <cell r="E246">
            <v>24.505000000000109</v>
          </cell>
          <cell r="F246">
            <v>2.9103209074559393</v>
          </cell>
        </row>
        <row r="247">
          <cell r="B247">
            <v>565.34610646749809</v>
          </cell>
          <cell r="C247">
            <v>258.63401576009244</v>
          </cell>
          <cell r="D247">
            <v>194.05608810292182</v>
          </cell>
          <cell r="E247">
            <v>24.55500000000011</v>
          </cell>
          <cell r="F247">
            <v>2.9151207788093942</v>
          </cell>
        </row>
        <row r="248">
          <cell r="B248">
            <v>568.4983575464471</v>
          </cell>
          <cell r="C248">
            <v>259.18586793156737</v>
          </cell>
          <cell r="D248">
            <v>194.31248626975349</v>
          </cell>
          <cell r="E248">
            <v>24.605000000000111</v>
          </cell>
          <cell r="F248">
            <v>2.9199285663912451</v>
          </cell>
        </row>
        <row r="249">
          <cell r="B249">
            <v>571.66818491494882</v>
          </cell>
          <cell r="C249">
            <v>259.73889760020279</v>
          </cell>
          <cell r="D249">
            <v>194.56922320472484</v>
          </cell>
          <cell r="E249">
            <v>24.655000000000111</v>
          </cell>
          <cell r="F249">
            <v>2.9247442832573989</v>
          </cell>
        </row>
        <row r="250">
          <cell r="B250">
            <v>574.85568657469992</v>
          </cell>
          <cell r="C250">
            <v>260.29310727844609</v>
          </cell>
          <cell r="D250">
            <v>194.82629935543594</v>
          </cell>
          <cell r="E250">
            <v>24.705000000000108</v>
          </cell>
          <cell r="F250">
            <v>2.9295679424852956</v>
          </cell>
        </row>
        <row r="251">
          <cell r="B251">
            <v>578.06096107383416</v>
          </cell>
          <cell r="C251">
            <v>260.85926756007507</v>
          </cell>
          <cell r="D251">
            <v>195.09431269035287</v>
          </cell>
          <cell r="E251">
            <v>24.735902777777884</v>
          </cell>
          <cell r="F251">
            <v>2.9344084151188023</v>
          </cell>
        </row>
        <row r="252">
          <cell r="B252">
            <v>581.28410750996875</v>
          </cell>
          <cell r="C252">
            <v>261.42665928985053</v>
          </cell>
          <cell r="D252">
            <v>195.36269471855161</v>
          </cell>
          <cell r="E252">
            <v>24.76680555555566</v>
          </cell>
          <cell r="F252">
            <v>2.939256885578533</v>
          </cell>
        </row>
        <row r="253">
          <cell r="B253">
            <v>584.52522553326867</v>
          </cell>
          <cell r="C253">
            <v>261.99528514627991</v>
          </cell>
          <cell r="D253">
            <v>195.6314459472261</v>
          </cell>
          <cell r="E253">
            <v>24.797708333333436</v>
          </cell>
          <cell r="F253">
            <v>2.9441133670791526</v>
          </cell>
        </row>
        <row r="254">
          <cell r="B254">
            <v>587.78441534952697</v>
          </cell>
          <cell r="C254">
            <v>262.56514781369663</v>
          </cell>
          <cell r="D254">
            <v>195.90056688426799</v>
          </cell>
          <cell r="E254">
            <v>24.828611111111211</v>
          </cell>
          <cell r="F254">
            <v>2.948977872857161</v>
          </cell>
        </row>
        <row r="255">
          <cell r="B255">
            <v>591.06177772326339</v>
          </cell>
          <cell r="C255">
            <v>263.13624998227283</v>
          </cell>
          <cell r="D255">
            <v>196.1700580382676</v>
          </cell>
          <cell r="E255">
            <v>24.859513888888987</v>
          </cell>
          <cell r="F255">
            <v>2.9538504161709276</v>
          </cell>
        </row>
        <row r="256">
          <cell r="B256">
            <v>594.3574139808394</v>
          </cell>
          <cell r="C256">
            <v>263.70859434803197</v>
          </cell>
          <cell r="D256">
            <v>196.43991991851493</v>
          </cell>
          <cell r="E256">
            <v>24.890416666666763</v>
          </cell>
          <cell r="F256">
            <v>2.9587310103007285</v>
          </cell>
        </row>
        <row r="257">
          <cell r="B257">
            <v>597.6714260135908</v>
          </cell>
          <cell r="C257">
            <v>264.28218361286162</v>
          </cell>
          <cell r="D257">
            <v>196.71015303500053</v>
          </cell>
          <cell r="E257">
            <v>24.921319444444539</v>
          </cell>
          <cell r="F257">
            <v>2.9636196685487834</v>
          </cell>
        </row>
        <row r="258">
          <cell r="B258">
            <v>601.00391628097827</v>
          </cell>
          <cell r="C258">
            <v>264.85702048452612</v>
          </cell>
          <cell r="D258">
            <v>196.98075789841658</v>
          </cell>
          <cell r="E258">
            <v>24.952222222222314</v>
          </cell>
          <cell r="F258">
            <v>2.9685164042392902</v>
          </cell>
        </row>
        <row r="259">
          <cell r="B259">
            <v>604.35498781375486</v>
          </cell>
          <cell r="C259">
            <v>265.43310767667953</v>
          </cell>
          <cell r="D259">
            <v>197.25173502015775</v>
          </cell>
          <cell r="E259">
            <v>24.98312500000009</v>
          </cell>
          <cell r="F259">
            <v>2.9734212307184622</v>
          </cell>
        </row>
        <row r="260">
          <cell r="B260">
            <v>607.7247442171514</v>
          </cell>
          <cell r="C260">
            <v>266.01044790887835</v>
          </cell>
          <cell r="D260">
            <v>197.52308491232225</v>
          </cell>
          <cell r="E260">
            <v>25.014027777777866</v>
          </cell>
          <cell r="F260">
            <v>2.9783341613545646</v>
          </cell>
        </row>
        <row r="261">
          <cell r="B261">
            <v>611.11328967407974</v>
          </cell>
          <cell r="C261">
            <v>266.58904390659427</v>
          </cell>
          <cell r="D261">
            <v>197.79480808771271</v>
          </cell>
          <cell r="E261">
            <v>25.044930555555641</v>
          </cell>
          <cell r="F261">
            <v>2.9832552095379512</v>
          </cell>
        </row>
        <row r="262">
          <cell r="B262">
            <v>614.52072894835374</v>
          </cell>
          <cell r="C262">
            <v>267.16889840122712</v>
          </cell>
          <cell r="D262">
            <v>198.06690505983727</v>
          </cell>
          <cell r="E262">
            <v>25.075833333333435</v>
          </cell>
          <cell r="F262">
            <v>2.9881843886810961</v>
          </cell>
        </row>
        <row r="263">
          <cell r="B263">
            <v>617.89897497520235</v>
          </cell>
          <cell r="C263">
            <v>267.76069984545796</v>
          </cell>
          <cell r="D263">
            <v>198.35061804266573</v>
          </cell>
          <cell r="E263">
            <v>25.076180555555656</v>
          </cell>
          <cell r="F263">
            <v>2.9931091016997291</v>
          </cell>
        </row>
        <row r="264">
          <cell r="B264">
            <v>621.29579246055562</v>
          </cell>
          <cell r="C264">
            <v>268.35381217936003</v>
          </cell>
          <cell r="D264">
            <v>198.63473741876115</v>
          </cell>
          <cell r="E264">
            <v>25.076527777777876</v>
          </cell>
          <cell r="F264">
            <v>2.9980419309505488</v>
          </cell>
        </row>
        <row r="265">
          <cell r="B265">
            <v>624.71128349853825</v>
          </cell>
          <cell r="C265">
            <v>268.94823830666354</v>
          </cell>
          <cell r="D265">
            <v>198.91926377024524</v>
          </cell>
          <cell r="E265">
            <v>25.076875000000097</v>
          </cell>
          <cell r="F265">
            <v>3.0029828898096089</v>
          </cell>
        </row>
        <row r="266">
          <cell r="B266">
            <v>628.1455507445238</v>
          </cell>
          <cell r="C266">
            <v>269.54398113753075</v>
          </cell>
          <cell r="D266">
            <v>199.20419768007358</v>
          </cell>
          <cell r="E266">
            <v>25.077222222222318</v>
          </cell>
          <cell r="F266">
            <v>3.0079319916750076</v>
          </cell>
        </row>
        <row r="267">
          <cell r="B267">
            <v>631.59869741822001</v>
          </cell>
          <cell r="C267">
            <v>270.14104358857008</v>
          </cell>
          <cell r="D267">
            <v>199.48953973203672</v>
          </cell>
          <cell r="E267">
            <v>25.077569444444539</v>
          </cell>
          <cell r="F267">
            <v>3.012889249966924</v>
          </cell>
        </row>
        <row r="268">
          <cell r="B268">
            <v>635.07082730677132</v>
          </cell>
          <cell r="C268">
            <v>270.73942858285056</v>
          </cell>
          <cell r="D268">
            <v>199.77529051076147</v>
          </cell>
          <cell r="E268">
            <v>25.077916666666759</v>
          </cell>
          <cell r="F268">
            <v>3.0178546781276538</v>
          </cell>
        </row>
        <row r="269">
          <cell r="B269">
            <v>638.56204476787821</v>
          </cell>
          <cell r="C269">
            <v>271.33913904991601</v>
          </cell>
          <cell r="D269">
            <v>200.06145060171207</v>
          </cell>
          <cell r="E269">
            <v>25.07826388888898</v>
          </cell>
          <cell r="F269">
            <v>3.0228282896216476</v>
          </cell>
        </row>
        <row r="270">
          <cell r="B270">
            <v>642.07245473293369</v>
          </cell>
          <cell r="C270">
            <v>271.94017792579945</v>
          </cell>
          <cell r="D270">
            <v>200.34802059119139</v>
          </cell>
          <cell r="E270">
            <v>25.078611111111201</v>
          </cell>
          <cell r="F270">
            <v>3.0278100979355456</v>
          </cell>
        </row>
        <row r="271">
          <cell r="B271">
            <v>645.60216271017725</v>
          </cell>
          <cell r="C271">
            <v>272.54254815303744</v>
          </cell>
          <cell r="D271">
            <v>200.63500106634208</v>
          </cell>
          <cell r="E271">
            <v>25.078958333333421</v>
          </cell>
          <cell r="F271">
            <v>3.0328001165782146</v>
          </cell>
        </row>
        <row r="272">
          <cell r="B272">
            <v>649.15127478786576</v>
          </cell>
          <cell r="C272">
            <v>273.1462526806846</v>
          </cell>
          <cell r="D272">
            <v>200.92239261514791</v>
          </cell>
          <cell r="E272">
            <v>25.079305555555642</v>
          </cell>
          <cell r="F272">
            <v>3.0377983590807851</v>
          </cell>
        </row>
        <row r="273">
          <cell r="B273">
            <v>652.7198976374624</v>
          </cell>
          <cell r="C273">
            <v>273.75129446432777</v>
          </cell>
          <cell r="D273">
            <v>201.21019582643478</v>
          </cell>
          <cell r="E273">
            <v>25.079652777777863</v>
          </cell>
          <cell r="F273">
            <v>3.042804838996688</v>
          </cell>
        </row>
        <row r="274">
          <cell r="B274">
            <v>656.30813851684229</v>
          </cell>
          <cell r="C274">
            <v>274.35767646610088</v>
          </cell>
          <cell r="D274">
            <v>201.49841128987208</v>
          </cell>
          <cell r="E274">
            <v>25.080000000000101</v>
          </cell>
          <cell r="F274">
            <v>3.0478195699016921</v>
          </cell>
        </row>
        <row r="275">
          <cell r="B275">
            <v>659.91610527351668</v>
          </cell>
          <cell r="C275">
            <v>274.97311717065253</v>
          </cell>
          <cell r="D275">
            <v>201.79963849532729</v>
          </cell>
          <cell r="E275">
            <v>25.080000000000101</v>
          </cell>
          <cell r="F275">
            <v>3.0528509811596467</v>
          </cell>
        </row>
        <row r="276">
          <cell r="B276">
            <v>663.54390634787399</v>
          </cell>
          <cell r="C276">
            <v>275.58993843530254</v>
          </cell>
          <cell r="D276">
            <v>202.10131601614094</v>
          </cell>
          <cell r="E276">
            <v>25.080000000000101</v>
          </cell>
          <cell r="F276">
            <v>3.057890698388039</v>
          </cell>
        </row>
        <row r="277">
          <cell r="B277">
            <v>667.19165077643947</v>
          </cell>
          <cell r="C277">
            <v>276.20814335693126</v>
          </cell>
          <cell r="D277">
            <v>202.40344452550562</v>
          </cell>
          <cell r="E277">
            <v>25.080000000000101</v>
          </cell>
          <cell r="F277">
            <v>3.0629387352985575</v>
          </cell>
        </row>
        <row r="278">
          <cell r="B278">
            <v>670.85944819515203</v>
          </cell>
          <cell r="C278">
            <v>276.8277350393659</v>
          </cell>
          <cell r="D278">
            <v>202.70602469762031</v>
          </cell>
          <cell r="E278">
            <v>25.080000000000101</v>
          </cell>
          <cell r="F278">
            <v>3.0679951056255268</v>
          </cell>
        </row>
        <row r="279">
          <cell r="B279">
            <v>674.54740884265959</v>
          </cell>
          <cell r="C279">
            <v>277.44871659339623</v>
          </cell>
          <cell r="D279">
            <v>203.00905720769185</v>
          </cell>
          <cell r="E279">
            <v>25.080000000000101</v>
          </cell>
          <cell r="F279">
            <v>3.0730598231259436</v>
          </cell>
        </row>
        <row r="280">
          <cell r="B280">
            <v>678.25564356363236</v>
          </cell>
          <cell r="C280">
            <v>278.07109113679007</v>
          </cell>
          <cell r="D280">
            <v>203.3125427319365</v>
          </cell>
          <cell r="E280">
            <v>25.080000000000101</v>
          </cell>
          <cell r="F280">
            <v>3.078132901579516</v>
          </cell>
        </row>
        <row r="281">
          <cell r="B281">
            <v>681.98426381209447</v>
          </cell>
          <cell r="C281">
            <v>278.69486179430913</v>
          </cell>
          <cell r="D281">
            <v>203.61648194758138</v>
          </cell>
          <cell r="E281">
            <v>25.080000000000101</v>
          </cell>
          <cell r="F281">
            <v>3.0832143547886992</v>
          </cell>
        </row>
        <row r="282">
          <cell r="B282">
            <v>685.73338165477367</v>
          </cell>
          <cell r="C282">
            <v>279.32003169772463</v>
          </cell>
          <cell r="D282">
            <v>203.92087553286606</v>
          </cell>
          <cell r="E282">
            <v>25.080000000000101</v>
          </cell>
          <cell r="F282">
            <v>3.0883041965787341</v>
          </cell>
        </row>
        <row r="283">
          <cell r="B283">
            <v>689.50310977446975</v>
          </cell>
          <cell r="C283">
            <v>279.94660398583289</v>
          </cell>
          <cell r="D283">
            <v>204.22572416704401</v>
          </cell>
          <cell r="E283">
            <v>25.080000000000101</v>
          </cell>
          <cell r="F283">
            <v>3.0934024407976843</v>
          </cell>
        </row>
        <row r="284">
          <cell r="B284">
            <v>693.29356147344106</v>
          </cell>
          <cell r="C284">
            <v>280.57458180447128</v>
          </cell>
          <cell r="D284">
            <v>204.53102853038416</v>
          </cell>
          <cell r="E284">
            <v>25.080000000000101</v>
          </cell>
          <cell r="F284">
            <v>3.0985091013164747</v>
          </cell>
        </row>
        <row r="285">
          <cell r="B285">
            <v>697.1048506768102</v>
          </cell>
          <cell r="C285">
            <v>281.20396830653391</v>
          </cell>
          <cell r="D285">
            <v>204.83678930417238</v>
          </cell>
          <cell r="E285">
            <v>25.080000000000101</v>
          </cell>
          <cell r="F285">
            <v>3.1036241920289283</v>
          </cell>
        </row>
        <row r="286">
          <cell r="B286">
            <v>700.93709193598795</v>
          </cell>
          <cell r="C286">
            <v>281.83476665198742</v>
          </cell>
          <cell r="D286">
            <v>205.14300717071302</v>
          </cell>
          <cell r="E286">
            <v>25.080000000000101</v>
          </cell>
          <cell r="F286">
            <v>3.1087477268518051</v>
          </cell>
        </row>
        <row r="287">
          <cell r="B287">
            <v>704.79040043211614</v>
          </cell>
          <cell r="C287">
            <v>282.48005636909801</v>
          </cell>
          <cell r="D287">
            <v>205.46481165790806</v>
          </cell>
          <cell r="E287">
            <v>25.080000000000101</v>
          </cell>
          <cell r="F287">
            <v>3.1138921883315391</v>
          </cell>
        </row>
        <row r="288">
          <cell r="B288">
            <v>708.66489197952978</v>
          </cell>
          <cell r="C288">
            <v>283.12682354345759</v>
          </cell>
          <cell r="D288">
            <v>205.78712095454995</v>
          </cell>
          <cell r="E288">
            <v>25.080000000000101</v>
          </cell>
          <cell r="F288">
            <v>3.1190451630411142</v>
          </cell>
        </row>
        <row r="289">
          <cell r="B289">
            <v>712.56068302923768</v>
          </cell>
          <cell r="C289">
            <v>283.77507155785662</v>
          </cell>
          <cell r="D289">
            <v>206.10993585252507</v>
          </cell>
          <cell r="E289">
            <v>25.080000000000101</v>
          </cell>
          <cell r="F289">
            <v>3.1242066650685127</v>
          </cell>
        </row>
        <row r="290">
          <cell r="B290">
            <v>716.47789067242263</v>
          </cell>
          <cell r="C290">
            <v>284.42480380283092</v>
          </cell>
          <cell r="D290">
            <v>206.43325714496194</v>
          </cell>
          <cell r="E290">
            <v>25.080000000000101</v>
          </cell>
          <cell r="F290">
            <v>3.1293767085250299</v>
          </cell>
        </row>
        <row r="291">
          <cell r="B291">
            <v>720.41663264396061</v>
          </cell>
          <cell r="C291">
            <v>285.07602367667914</v>
          </cell>
          <cell r="D291">
            <v>206.75708562623331</v>
          </cell>
          <cell r="E291">
            <v>25.080000000000101</v>
          </cell>
          <cell r="F291">
            <v>3.1345553075453139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m"/>
      <sheetName val="Cashflow"/>
      <sheetName val="Returns"/>
      <sheetName val="EINC"/>
      <sheetName val="Ref1"/>
      <sheetName val="MMBTU"/>
      <sheetName val="EPE Revenues"/>
      <sheetName val="SCG Commodity"/>
      <sheetName val="Transportation"/>
      <sheetName val="XNPV"/>
      <sheetName val="Esca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5">
          <cell r="U35">
            <v>127419.27409261577</v>
          </cell>
        </row>
        <row r="36">
          <cell r="U36">
            <v>709907.38423028786</v>
          </cell>
        </row>
        <row r="37">
          <cell r="U37">
            <v>1485344.6808510637</v>
          </cell>
        </row>
        <row r="38">
          <cell r="U38">
            <v>2347427.0838548183</v>
          </cell>
        </row>
        <row r="39">
          <cell r="U39">
            <v>2370504.1301627033</v>
          </cell>
        </row>
        <row r="40">
          <cell r="U40">
            <v>2095485.4047559449</v>
          </cell>
        </row>
        <row r="41">
          <cell r="U41">
            <v>2027889.1013767209</v>
          </cell>
        </row>
        <row r="42">
          <cell r="U42">
            <v>2095485.4047559449</v>
          </cell>
        </row>
        <row r="43">
          <cell r="U43">
            <v>2027889.1013767209</v>
          </cell>
        </row>
        <row r="44">
          <cell r="U44">
            <v>2095485.4047559449</v>
          </cell>
        </row>
        <row r="45">
          <cell r="U45">
            <v>2095485.4047559449</v>
          </cell>
        </row>
        <row r="46">
          <cell r="U46">
            <v>1892696.4946182731</v>
          </cell>
        </row>
        <row r="47">
          <cell r="U47">
            <v>2095485.4047559449</v>
          </cell>
        </row>
        <row r="48">
          <cell r="U48">
            <v>2027889.1013767209</v>
          </cell>
        </row>
        <row r="49">
          <cell r="U49">
            <v>2095485.4047559449</v>
          </cell>
        </row>
        <row r="50">
          <cell r="U50">
            <v>2027889.1013767209</v>
          </cell>
        </row>
        <row r="51">
          <cell r="U51">
            <v>2095485.4047559449</v>
          </cell>
        </row>
        <row r="52">
          <cell r="U52">
            <v>2095485.4047559449</v>
          </cell>
        </row>
        <row r="53">
          <cell r="U53">
            <v>2027889.1013767209</v>
          </cell>
        </row>
        <row r="54">
          <cell r="U54">
            <v>2095485.4047559449</v>
          </cell>
        </row>
        <row r="55">
          <cell r="U55">
            <v>2027889.1013767209</v>
          </cell>
        </row>
        <row r="56">
          <cell r="U56">
            <v>2095485.4047559449</v>
          </cell>
        </row>
        <row r="57">
          <cell r="U57">
            <v>2095485.4047559449</v>
          </cell>
        </row>
        <row r="58">
          <cell r="U58">
            <v>1892696.4946182731</v>
          </cell>
        </row>
        <row r="59">
          <cell r="U59">
            <v>2095485.4047559449</v>
          </cell>
        </row>
        <row r="60">
          <cell r="U60">
            <v>2027889.1013767209</v>
          </cell>
        </row>
        <row r="61">
          <cell r="U61">
            <v>2095485.4047559449</v>
          </cell>
        </row>
        <row r="62">
          <cell r="U62">
            <v>2027889.1013767209</v>
          </cell>
        </row>
        <row r="63">
          <cell r="U63">
            <v>2095485.4047559449</v>
          </cell>
        </row>
        <row r="64">
          <cell r="U64">
            <v>2095485.4047559449</v>
          </cell>
        </row>
        <row r="65">
          <cell r="U65">
            <v>2027889.1013767209</v>
          </cell>
        </row>
        <row r="66">
          <cell r="U66">
            <v>2095485.4047559449</v>
          </cell>
        </row>
        <row r="67">
          <cell r="U67">
            <v>2027889.1013767209</v>
          </cell>
        </row>
        <row r="68">
          <cell r="U68">
            <v>2095485.4047559449</v>
          </cell>
        </row>
        <row r="69">
          <cell r="U69">
            <v>2095485.4047559449</v>
          </cell>
        </row>
        <row r="70">
          <cell r="U70">
            <v>1960292.7979974968</v>
          </cell>
        </row>
        <row r="71">
          <cell r="U71">
            <v>2095485.4047559449</v>
          </cell>
        </row>
        <row r="72">
          <cell r="U72">
            <v>2027889.1013767209</v>
          </cell>
        </row>
        <row r="73">
          <cell r="U73">
            <v>2095485.4047559449</v>
          </cell>
        </row>
        <row r="74">
          <cell r="U74">
            <v>2027889.1013767209</v>
          </cell>
        </row>
        <row r="75">
          <cell r="U75">
            <v>2095485.4047559449</v>
          </cell>
        </row>
        <row r="76">
          <cell r="U76">
            <v>2095485.4047559449</v>
          </cell>
        </row>
        <row r="77">
          <cell r="U77">
            <v>2027889.1013767209</v>
          </cell>
        </row>
        <row r="78">
          <cell r="U78">
            <v>2095485.4047559449</v>
          </cell>
        </row>
        <row r="79">
          <cell r="U79">
            <v>2027889.1013767209</v>
          </cell>
        </row>
        <row r="80">
          <cell r="U80">
            <v>2095485.4047559449</v>
          </cell>
        </row>
        <row r="81">
          <cell r="U81">
            <v>2095485.4047559449</v>
          </cell>
        </row>
        <row r="82">
          <cell r="U82">
            <v>1892696.4946182731</v>
          </cell>
        </row>
        <row r="83">
          <cell r="U83">
            <v>2095485.4047559449</v>
          </cell>
        </row>
        <row r="84">
          <cell r="U84">
            <v>2027889.1013767209</v>
          </cell>
        </row>
        <row r="85">
          <cell r="U85">
            <v>2095485.4047559449</v>
          </cell>
        </row>
        <row r="86">
          <cell r="U86">
            <v>2027889.1013767209</v>
          </cell>
        </row>
        <row r="87">
          <cell r="U87">
            <v>2095485.4047559449</v>
          </cell>
        </row>
        <row r="88">
          <cell r="U88">
            <v>2095485.4047559449</v>
          </cell>
        </row>
        <row r="89">
          <cell r="U89">
            <v>2027889.1013767209</v>
          </cell>
        </row>
        <row r="90">
          <cell r="U90">
            <v>2095485.4047559449</v>
          </cell>
        </row>
        <row r="91">
          <cell r="U91">
            <v>2027889.1013767209</v>
          </cell>
        </row>
        <row r="92">
          <cell r="U92">
            <v>2095485.4047559449</v>
          </cell>
        </row>
        <row r="93">
          <cell r="U93">
            <v>2095485.4047559449</v>
          </cell>
        </row>
        <row r="94">
          <cell r="U94">
            <v>1892696.4946182731</v>
          </cell>
        </row>
        <row r="95">
          <cell r="U95">
            <v>2095485.4047559449</v>
          </cell>
        </row>
        <row r="96">
          <cell r="U96">
            <v>2027889.1013767209</v>
          </cell>
        </row>
        <row r="97">
          <cell r="U97">
            <v>2095485.4047559449</v>
          </cell>
        </row>
        <row r="98">
          <cell r="U98">
            <v>2027889.1013767209</v>
          </cell>
        </row>
        <row r="99">
          <cell r="U99">
            <v>2095485.4047559449</v>
          </cell>
        </row>
        <row r="100">
          <cell r="U100">
            <v>2095485.4047559449</v>
          </cell>
        </row>
        <row r="101">
          <cell r="U101">
            <v>2027889.1013767209</v>
          </cell>
        </row>
        <row r="102">
          <cell r="U102">
            <v>2095485.4047559449</v>
          </cell>
        </row>
        <row r="103">
          <cell r="U103">
            <v>2027889.1013767209</v>
          </cell>
        </row>
        <row r="104">
          <cell r="U104">
            <v>2095485.4047559449</v>
          </cell>
        </row>
        <row r="105">
          <cell r="U105">
            <v>2095485.4047559449</v>
          </cell>
        </row>
        <row r="106">
          <cell r="U106">
            <v>1892696.4946182731</v>
          </cell>
        </row>
        <row r="107">
          <cell r="U107">
            <v>2095485.4047559449</v>
          </cell>
        </row>
        <row r="108">
          <cell r="U108">
            <v>2027889.1013767209</v>
          </cell>
        </row>
        <row r="109">
          <cell r="U109">
            <v>2095485.4047559449</v>
          </cell>
        </row>
        <row r="110">
          <cell r="U110">
            <v>2027889.1013767209</v>
          </cell>
        </row>
        <row r="111">
          <cell r="U111">
            <v>2095485.4047559449</v>
          </cell>
        </row>
        <row r="112">
          <cell r="U112">
            <v>2095485.4047559449</v>
          </cell>
        </row>
        <row r="113">
          <cell r="U113">
            <v>2027889.1013767209</v>
          </cell>
        </row>
        <row r="114">
          <cell r="U114">
            <v>2095485.4047559449</v>
          </cell>
        </row>
        <row r="115">
          <cell r="U115">
            <v>2027889.1013767209</v>
          </cell>
        </row>
        <row r="116">
          <cell r="U116">
            <v>2095485.4047559449</v>
          </cell>
        </row>
        <row r="117">
          <cell r="U117">
            <v>2095485.4047559449</v>
          </cell>
        </row>
        <row r="118">
          <cell r="U118">
            <v>1960292.7979974968</v>
          </cell>
        </row>
        <row r="119">
          <cell r="U119">
            <v>2095485.4047559449</v>
          </cell>
        </row>
        <row r="120">
          <cell r="U120">
            <v>2027889.1013767209</v>
          </cell>
        </row>
        <row r="121">
          <cell r="U121">
            <v>2095485.4047559449</v>
          </cell>
        </row>
        <row r="122">
          <cell r="U122">
            <v>2027889.1013767209</v>
          </cell>
        </row>
        <row r="123">
          <cell r="U123">
            <v>2095485.4047559449</v>
          </cell>
        </row>
        <row r="124">
          <cell r="U124">
            <v>2095485.4047559449</v>
          </cell>
        </row>
        <row r="125">
          <cell r="U125">
            <v>2027889.1013767209</v>
          </cell>
        </row>
        <row r="126">
          <cell r="U126">
            <v>2095485.4047559449</v>
          </cell>
        </row>
        <row r="127">
          <cell r="U127">
            <v>2027889.1013767209</v>
          </cell>
        </row>
        <row r="128">
          <cell r="U128">
            <v>2095485.4047559449</v>
          </cell>
        </row>
        <row r="129">
          <cell r="U129">
            <v>2095485.4047559449</v>
          </cell>
        </row>
        <row r="130">
          <cell r="U130">
            <v>1892696.4946182731</v>
          </cell>
        </row>
        <row r="131">
          <cell r="U131">
            <v>2095485.4047559449</v>
          </cell>
        </row>
        <row r="132">
          <cell r="U132">
            <v>2027889.1013767209</v>
          </cell>
        </row>
        <row r="133">
          <cell r="U133">
            <v>2095485.4047559449</v>
          </cell>
        </row>
        <row r="134">
          <cell r="U134">
            <v>2027889.1013767209</v>
          </cell>
        </row>
        <row r="135">
          <cell r="U135">
            <v>2095485.4047559449</v>
          </cell>
        </row>
        <row r="136">
          <cell r="U136">
            <v>2095485.4047559449</v>
          </cell>
        </row>
        <row r="137">
          <cell r="U137">
            <v>2027889.1013767209</v>
          </cell>
        </row>
        <row r="138">
          <cell r="U138">
            <v>2095485.4047559449</v>
          </cell>
        </row>
        <row r="139">
          <cell r="U139">
            <v>2027889.1013767209</v>
          </cell>
        </row>
        <row r="140">
          <cell r="U140">
            <v>2095485.4047559449</v>
          </cell>
        </row>
        <row r="141">
          <cell r="U141">
            <v>2095485.4047559449</v>
          </cell>
        </row>
        <row r="142">
          <cell r="U142">
            <v>1892696.4946182731</v>
          </cell>
        </row>
        <row r="143">
          <cell r="U143">
            <v>2095485.4047559449</v>
          </cell>
        </row>
        <row r="144">
          <cell r="U144">
            <v>2027889.1013767209</v>
          </cell>
        </row>
        <row r="145">
          <cell r="U145">
            <v>2095485.4047559449</v>
          </cell>
        </row>
        <row r="146">
          <cell r="U146">
            <v>2027889.1013767209</v>
          </cell>
        </row>
        <row r="147">
          <cell r="U147">
            <v>2095485.4047559449</v>
          </cell>
        </row>
        <row r="148">
          <cell r="U148">
            <v>2095485.4047559449</v>
          </cell>
        </row>
        <row r="149">
          <cell r="U149">
            <v>2027889.1013767209</v>
          </cell>
        </row>
        <row r="150">
          <cell r="U150">
            <v>2095485.4047559449</v>
          </cell>
        </row>
        <row r="151">
          <cell r="U151">
            <v>2027889.1013767209</v>
          </cell>
        </row>
        <row r="152">
          <cell r="U152">
            <v>2095485.4047559449</v>
          </cell>
        </row>
        <row r="153">
          <cell r="U153">
            <v>2095485.4047559449</v>
          </cell>
        </row>
        <row r="154">
          <cell r="U154">
            <v>1892696.4946182731</v>
          </cell>
        </row>
        <row r="155">
          <cell r="U155">
            <v>2095485.4047559449</v>
          </cell>
        </row>
        <row r="156">
          <cell r="U156">
            <v>2027889.1013767209</v>
          </cell>
        </row>
        <row r="157">
          <cell r="U157">
            <v>2095485.4047559449</v>
          </cell>
        </row>
        <row r="158">
          <cell r="U158">
            <v>2027889.1013767209</v>
          </cell>
        </row>
        <row r="159">
          <cell r="U159">
            <v>2095485.4047559449</v>
          </cell>
        </row>
        <row r="160">
          <cell r="U160">
            <v>2095485.4047559449</v>
          </cell>
        </row>
        <row r="161">
          <cell r="U161">
            <v>2027889.1013767209</v>
          </cell>
        </row>
        <row r="162">
          <cell r="U162">
            <v>2095485.4047559449</v>
          </cell>
        </row>
        <row r="163">
          <cell r="U163">
            <v>2027889.1013767209</v>
          </cell>
        </row>
        <row r="164">
          <cell r="U164">
            <v>2095485.4047559449</v>
          </cell>
        </row>
        <row r="165">
          <cell r="U165">
            <v>2095485.4047559449</v>
          </cell>
        </row>
        <row r="166">
          <cell r="U166">
            <v>1960292.7979974968</v>
          </cell>
        </row>
        <row r="167">
          <cell r="U167">
            <v>2095485.4047559449</v>
          </cell>
        </row>
        <row r="168">
          <cell r="U168">
            <v>2027889.1013767209</v>
          </cell>
        </row>
        <row r="169">
          <cell r="U169">
            <v>2095485.4047559449</v>
          </cell>
        </row>
        <row r="170">
          <cell r="U170">
            <v>2027889.1013767209</v>
          </cell>
        </row>
        <row r="171">
          <cell r="U171">
            <v>2095485.4047559449</v>
          </cell>
        </row>
        <row r="172">
          <cell r="U172">
            <v>2095485.4047559449</v>
          </cell>
        </row>
        <row r="173">
          <cell r="U173">
            <v>2027889.1013767209</v>
          </cell>
        </row>
        <row r="174">
          <cell r="U174">
            <v>2095485.4047559449</v>
          </cell>
        </row>
        <row r="175">
          <cell r="U175">
            <v>2027889.1013767209</v>
          </cell>
        </row>
        <row r="176">
          <cell r="U176">
            <v>2095485.4047559449</v>
          </cell>
        </row>
        <row r="177">
          <cell r="U177">
            <v>2095485.4047559449</v>
          </cell>
        </row>
        <row r="178">
          <cell r="U178">
            <v>1892696.4946182731</v>
          </cell>
        </row>
        <row r="179">
          <cell r="U179">
            <v>2095485.4047559449</v>
          </cell>
        </row>
        <row r="180">
          <cell r="U180">
            <v>2027889.1013767209</v>
          </cell>
        </row>
        <row r="181">
          <cell r="U181">
            <v>2095485.4047559449</v>
          </cell>
        </row>
        <row r="182">
          <cell r="U182">
            <v>2027889.1013767209</v>
          </cell>
        </row>
        <row r="183">
          <cell r="U183">
            <v>2095485.4047559449</v>
          </cell>
        </row>
        <row r="184">
          <cell r="U184">
            <v>2095485.4047559449</v>
          </cell>
        </row>
        <row r="185">
          <cell r="U185">
            <v>2027889.1013767209</v>
          </cell>
        </row>
        <row r="186">
          <cell r="U186">
            <v>2095485.4047559449</v>
          </cell>
        </row>
        <row r="187">
          <cell r="U187">
            <v>2027889.1013767209</v>
          </cell>
        </row>
        <row r="188">
          <cell r="U188">
            <v>2095485.4047559449</v>
          </cell>
        </row>
        <row r="189">
          <cell r="U189">
            <v>2095485.4047559449</v>
          </cell>
        </row>
        <row r="190">
          <cell r="U190">
            <v>1892696.4946182731</v>
          </cell>
        </row>
        <row r="191">
          <cell r="U191">
            <v>2095485.4047559449</v>
          </cell>
        </row>
        <row r="192">
          <cell r="U192">
            <v>2027889.1013767209</v>
          </cell>
        </row>
        <row r="193">
          <cell r="U193">
            <v>2095485.4047559449</v>
          </cell>
        </row>
        <row r="194">
          <cell r="U194">
            <v>2027889.1013767209</v>
          </cell>
        </row>
        <row r="195">
          <cell r="U195">
            <v>2095485.4047559449</v>
          </cell>
        </row>
        <row r="196">
          <cell r="U196">
            <v>2095485.4047559449</v>
          </cell>
        </row>
        <row r="197">
          <cell r="U197">
            <v>2027889.1013767209</v>
          </cell>
        </row>
        <row r="198">
          <cell r="U198">
            <v>2095485.4047559449</v>
          </cell>
        </row>
        <row r="199">
          <cell r="U199">
            <v>2027889.1013767209</v>
          </cell>
        </row>
        <row r="200">
          <cell r="U200">
            <v>2095485.4047559449</v>
          </cell>
        </row>
        <row r="201">
          <cell r="U201">
            <v>2095485.4047559449</v>
          </cell>
        </row>
        <row r="202">
          <cell r="U202">
            <v>1892696.4946182731</v>
          </cell>
        </row>
        <row r="203">
          <cell r="U203">
            <v>2095485.4047559449</v>
          </cell>
        </row>
        <row r="204">
          <cell r="U204">
            <v>2027889.1013767209</v>
          </cell>
        </row>
        <row r="205">
          <cell r="U205">
            <v>2095485.4047559449</v>
          </cell>
        </row>
        <row r="206">
          <cell r="U206">
            <v>2027889.1013767209</v>
          </cell>
        </row>
        <row r="207">
          <cell r="U207">
            <v>2095485.4047559449</v>
          </cell>
        </row>
        <row r="208">
          <cell r="U208">
            <v>2095485.4047559449</v>
          </cell>
        </row>
        <row r="209">
          <cell r="U209">
            <v>2027889.1013767209</v>
          </cell>
        </row>
        <row r="210">
          <cell r="U210">
            <v>2095485.4047559449</v>
          </cell>
        </row>
        <row r="211">
          <cell r="U211">
            <v>2027889.1013767209</v>
          </cell>
        </row>
        <row r="212">
          <cell r="U212">
            <v>2095485.4047559449</v>
          </cell>
        </row>
        <row r="213">
          <cell r="U213">
            <v>2095485.4047559449</v>
          </cell>
        </row>
        <row r="214">
          <cell r="U214">
            <v>1960292.7979974968</v>
          </cell>
        </row>
        <row r="215">
          <cell r="U215">
            <v>2095485.4047559449</v>
          </cell>
        </row>
        <row r="216">
          <cell r="U216">
            <v>2027889.1013767209</v>
          </cell>
        </row>
        <row r="217">
          <cell r="U217">
            <v>2095485.4047559449</v>
          </cell>
        </row>
        <row r="218">
          <cell r="U218">
            <v>2027889.1013767209</v>
          </cell>
        </row>
        <row r="219">
          <cell r="U219">
            <v>2095485.4047559449</v>
          </cell>
        </row>
        <row r="220">
          <cell r="U220">
            <v>2095485.4047559449</v>
          </cell>
        </row>
        <row r="221">
          <cell r="U221">
            <v>2027889.1013767209</v>
          </cell>
        </row>
        <row r="222">
          <cell r="U222">
            <v>2095485.4047559449</v>
          </cell>
        </row>
        <row r="223">
          <cell r="U223">
            <v>2027889.1013767209</v>
          </cell>
        </row>
        <row r="224">
          <cell r="U224">
            <v>2095485.4047559449</v>
          </cell>
        </row>
        <row r="225">
          <cell r="U225">
            <v>2095485.4047559449</v>
          </cell>
        </row>
        <row r="226">
          <cell r="U226">
            <v>1892696.4946182731</v>
          </cell>
        </row>
        <row r="227">
          <cell r="U227">
            <v>2095485.4047559449</v>
          </cell>
        </row>
        <row r="228">
          <cell r="U228">
            <v>2027889.1013767209</v>
          </cell>
        </row>
        <row r="229">
          <cell r="U229">
            <v>2095485.4047559449</v>
          </cell>
        </row>
        <row r="230">
          <cell r="U230">
            <v>2027889.1013767209</v>
          </cell>
        </row>
        <row r="231">
          <cell r="U231">
            <v>2095485.4047559449</v>
          </cell>
        </row>
        <row r="232">
          <cell r="U232">
            <v>2095485.4047559449</v>
          </cell>
        </row>
        <row r="233">
          <cell r="U233">
            <v>2027889.1013767209</v>
          </cell>
        </row>
        <row r="234">
          <cell r="U234">
            <v>2095485.4047559449</v>
          </cell>
        </row>
        <row r="235">
          <cell r="U235">
            <v>2027889.1013767209</v>
          </cell>
        </row>
        <row r="236">
          <cell r="U236">
            <v>2095485.4047559449</v>
          </cell>
        </row>
        <row r="237">
          <cell r="U237">
            <v>2095485.4047559449</v>
          </cell>
        </row>
        <row r="238">
          <cell r="U238">
            <v>1892696.4946182731</v>
          </cell>
        </row>
        <row r="239">
          <cell r="U239">
            <v>2095485.4047559449</v>
          </cell>
        </row>
        <row r="240">
          <cell r="U240">
            <v>2027889.1013767209</v>
          </cell>
        </row>
        <row r="241">
          <cell r="U241">
            <v>2095485.4047559449</v>
          </cell>
        </row>
        <row r="242">
          <cell r="U242">
            <v>2027889.1013767209</v>
          </cell>
        </row>
        <row r="243">
          <cell r="U243">
            <v>2095485.4047559449</v>
          </cell>
        </row>
        <row r="244">
          <cell r="U244">
            <v>2095485.4047559449</v>
          </cell>
        </row>
        <row r="245">
          <cell r="U245">
            <v>2027889.1013767209</v>
          </cell>
        </row>
        <row r="246">
          <cell r="U246">
            <v>2095485.4047559449</v>
          </cell>
        </row>
        <row r="247">
          <cell r="U247">
            <v>2027889.1013767209</v>
          </cell>
        </row>
        <row r="248">
          <cell r="U248">
            <v>2095485.4047559449</v>
          </cell>
        </row>
        <row r="249">
          <cell r="U249">
            <v>2095485.4047559449</v>
          </cell>
        </row>
        <row r="250">
          <cell r="U250">
            <v>1892696.4946182731</v>
          </cell>
        </row>
        <row r="251">
          <cell r="U251">
            <v>2095485.4047559449</v>
          </cell>
        </row>
        <row r="252">
          <cell r="U252">
            <v>2027889.1013767209</v>
          </cell>
        </row>
        <row r="253">
          <cell r="U253">
            <v>0</v>
          </cell>
        </row>
        <row r="254">
          <cell r="U254">
            <v>0</v>
          </cell>
        </row>
        <row r="255">
          <cell r="U255">
            <v>0</v>
          </cell>
        </row>
        <row r="256">
          <cell r="U256">
            <v>0</v>
          </cell>
        </row>
        <row r="257">
          <cell r="U257">
            <v>0</v>
          </cell>
        </row>
        <row r="258">
          <cell r="U258">
            <v>0</v>
          </cell>
        </row>
        <row r="259">
          <cell r="U259">
            <v>0</v>
          </cell>
        </row>
        <row r="260">
          <cell r="U260">
            <v>0</v>
          </cell>
        </row>
        <row r="261">
          <cell r="U261">
            <v>0</v>
          </cell>
        </row>
        <row r="262">
          <cell r="U262">
            <v>0</v>
          </cell>
        </row>
        <row r="263">
          <cell r="U263">
            <v>0</v>
          </cell>
        </row>
        <row r="264">
          <cell r="U264">
            <v>0</v>
          </cell>
        </row>
        <row r="265">
          <cell r="U265">
            <v>0</v>
          </cell>
        </row>
        <row r="266">
          <cell r="U266">
            <v>0</v>
          </cell>
        </row>
        <row r="268">
          <cell r="U268">
            <v>445199841.05732185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m"/>
      <sheetName val="RAROC"/>
      <sheetName val="Tariff"/>
      <sheetName val="Rev_Exp"/>
      <sheetName val="CF"/>
      <sheetName val="Project &amp; Investor Returns"/>
      <sheetName val="Enron Returns"/>
      <sheetName val="Shell &amp; Trans Returns"/>
      <sheetName val="100% Partner Cash Flow"/>
      <sheetName val="EINC"/>
      <sheetName val="PLRisk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CommonSized"/>
      <sheetName val="BS_IS"/>
      <sheetName val="Ref1"/>
      <sheetName val="Ref2"/>
      <sheetName val="Ref3"/>
      <sheetName val="Ref4"/>
      <sheetName val="Ref5"/>
      <sheetName val="RAC_LDs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definedNames>
      <definedName name="Guar_Fee_Table" refersTo="='RAROC'!$A$107:$D$113"/>
    </definedNames>
    <sheetDataSet>
      <sheetData sheetId="0" refreshError="1"/>
      <sheetData sheetId="1">
        <row r="16">
          <cell r="E16">
            <v>37104</v>
          </cell>
        </row>
      </sheetData>
      <sheetData sheetId="2">
        <row r="35">
          <cell r="C35">
            <v>-2535.159172224</v>
          </cell>
          <cell r="D35">
            <v>-19780.862997782788</v>
          </cell>
          <cell r="E35">
            <v>7262.594391257504</v>
          </cell>
          <cell r="F35">
            <v>1191.4920736704553</v>
          </cell>
          <cell r="G35">
            <v>1516.530563810446</v>
          </cell>
          <cell r="H35">
            <v>1069.8301095544841</v>
          </cell>
          <cell r="I35">
            <v>1550.8400460877431</v>
          </cell>
          <cell r="J35">
            <v>339.11822225038725</v>
          </cell>
          <cell r="K35">
            <v>1345.690828009494</v>
          </cell>
          <cell r="L35">
            <v>1507.8438696586979</v>
          </cell>
          <cell r="M35">
            <v>2607.5780178731702</v>
          </cell>
          <cell r="N35">
            <v>3905.6830317760396</v>
          </cell>
          <cell r="O35">
            <v>4227.8597249698796</v>
          </cell>
          <cell r="P35">
            <v>3825.8968627041604</v>
          </cell>
          <cell r="Q35">
            <v>2594.4042296968296</v>
          </cell>
          <cell r="R35">
            <v>2465.7012651476521</v>
          </cell>
          <cell r="S35">
            <v>3083.4181664756711</v>
          </cell>
          <cell r="T35">
            <v>4127.5014287393087</v>
          </cell>
          <cell r="U35">
            <v>6147.2505890884186</v>
          </cell>
          <cell r="V35">
            <v>6298.7206836602627</v>
          </cell>
          <cell r="W35">
            <v>6467.6060409871179</v>
          </cell>
          <cell r="X35">
            <v>103642.33588925695</v>
          </cell>
        </row>
        <row r="50">
          <cell r="J50">
            <v>36892</v>
          </cell>
        </row>
        <row r="51">
          <cell r="J51">
            <v>36951</v>
          </cell>
        </row>
        <row r="52">
          <cell r="J52">
            <v>37104</v>
          </cell>
        </row>
        <row r="83"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1.2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92">
          <cell r="E92">
            <v>0.1101</v>
          </cell>
        </row>
        <row r="103">
          <cell r="B103">
            <v>1</v>
          </cell>
        </row>
        <row r="107">
          <cell r="A107">
            <v>2001</v>
          </cell>
          <cell r="B107">
            <v>0.04</v>
          </cell>
          <cell r="C107">
            <v>0.04</v>
          </cell>
          <cell r="D107">
            <v>0.04</v>
          </cell>
        </row>
        <row r="108">
          <cell r="A108">
            <v>2002</v>
          </cell>
          <cell r="B108">
            <v>0.04</v>
          </cell>
          <cell r="C108">
            <v>0.04</v>
          </cell>
          <cell r="D108">
            <v>0.04</v>
          </cell>
        </row>
        <row r="109">
          <cell r="A109">
            <v>2003</v>
          </cell>
          <cell r="B109">
            <v>0.04</v>
          </cell>
          <cell r="C109">
            <v>0.04</v>
          </cell>
          <cell r="D109">
            <v>0.04</v>
          </cell>
        </row>
        <row r="110">
          <cell r="A110">
            <v>2004</v>
          </cell>
          <cell r="B110">
            <v>0</v>
          </cell>
          <cell r="C110">
            <v>0.04</v>
          </cell>
          <cell r="D110">
            <v>0.04</v>
          </cell>
        </row>
        <row r="111">
          <cell r="A111">
            <v>2005</v>
          </cell>
          <cell r="B111">
            <v>0</v>
          </cell>
          <cell r="C111">
            <v>0.04</v>
          </cell>
          <cell r="D111">
            <v>0.04</v>
          </cell>
        </row>
        <row r="112">
          <cell r="A112">
            <v>2006</v>
          </cell>
          <cell r="B112">
            <v>0</v>
          </cell>
          <cell r="C112">
            <v>0</v>
          </cell>
          <cell r="D112">
            <v>0.04</v>
          </cell>
        </row>
        <row r="113">
          <cell r="A113">
            <v>2007</v>
          </cell>
          <cell r="B113">
            <v>0</v>
          </cell>
          <cell r="C113">
            <v>0</v>
          </cell>
          <cell r="D113">
            <v>0.04</v>
          </cell>
        </row>
        <row r="119">
          <cell r="D119">
            <v>7914</v>
          </cell>
        </row>
        <row r="135">
          <cell r="B135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07">
          <cell r="A107">
            <v>39142</v>
          </cell>
        </row>
        <row r="108">
          <cell r="A108">
            <v>39173</v>
          </cell>
        </row>
        <row r="109">
          <cell r="A109">
            <v>39203</v>
          </cell>
        </row>
        <row r="110">
          <cell r="A110">
            <v>39234</v>
          </cell>
        </row>
        <row r="111">
          <cell r="A111">
            <v>39264</v>
          </cell>
        </row>
        <row r="112">
          <cell r="A112">
            <v>39295</v>
          </cell>
        </row>
        <row r="113">
          <cell r="A113">
            <v>39326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26"/>
  <sheetViews>
    <sheetView workbookViewId="0">
      <selection activeCell="B24" sqref="B24"/>
    </sheetView>
  </sheetViews>
  <sheetFormatPr defaultRowHeight="12.75"/>
  <cols>
    <col min="1" max="1" width="9.140625" style="5"/>
    <col min="2" max="2" width="50.7109375" style="5" customWidth="1"/>
    <col min="3" max="3" width="12.7109375" style="5" customWidth="1"/>
    <col min="4" max="16384" width="9.140625" style="5"/>
  </cols>
  <sheetData>
    <row r="1" spans="2:3" ht="15.75">
      <c r="B1" s="988"/>
      <c r="C1" s="4"/>
    </row>
    <row r="2" spans="2:3" ht="18">
      <c r="B2" s="989" t="s">
        <v>565</v>
      </c>
      <c r="C2" s="4"/>
    </row>
    <row r="3" spans="2:3" ht="15.75">
      <c r="B3" s="990" t="s">
        <v>860</v>
      </c>
      <c r="C3" s="4"/>
    </row>
    <row r="4" spans="2:3" ht="15">
      <c r="B4" s="991" t="s">
        <v>91</v>
      </c>
      <c r="C4" s="4"/>
    </row>
    <row r="6" spans="2:3" s="137" customFormat="1" ht="15">
      <c r="B6" s="992" t="s">
        <v>253</v>
      </c>
      <c r="C6" s="136"/>
    </row>
    <row r="7" spans="2:3" s="137" customFormat="1" ht="15">
      <c r="B7" s="992"/>
      <c r="C7" s="136"/>
    </row>
    <row r="8" spans="2:3" ht="15.75">
      <c r="B8" s="993" t="s">
        <v>254</v>
      </c>
      <c r="C8" s="4"/>
    </row>
    <row r="10" spans="2:3">
      <c r="C10" s="994" t="s">
        <v>252</v>
      </c>
    </row>
    <row r="11" spans="2:3">
      <c r="B11" s="5" t="s">
        <v>50</v>
      </c>
      <c r="C11" s="995">
        <v>1</v>
      </c>
    </row>
    <row r="12" spans="2:3">
      <c r="B12" s="5" t="s">
        <v>52</v>
      </c>
      <c r="C12" s="995" t="s">
        <v>465</v>
      </c>
    </row>
    <row r="13" spans="2:3">
      <c r="B13" s="5" t="s">
        <v>556</v>
      </c>
      <c r="C13" s="995" t="s">
        <v>466</v>
      </c>
    </row>
    <row r="14" spans="2:3">
      <c r="B14" s="5" t="s">
        <v>53</v>
      </c>
      <c r="C14" s="995" t="s">
        <v>467</v>
      </c>
    </row>
    <row r="15" spans="2:3">
      <c r="B15" s="5" t="s">
        <v>558</v>
      </c>
      <c r="C15" s="995" t="s">
        <v>550</v>
      </c>
    </row>
    <row r="16" spans="2:3">
      <c r="B16" s="5" t="s">
        <v>443</v>
      </c>
      <c r="C16" s="995" t="s">
        <v>551</v>
      </c>
    </row>
    <row r="17" spans="2:3">
      <c r="B17" s="5" t="s">
        <v>637</v>
      </c>
      <c r="C17" s="995" t="s">
        <v>552</v>
      </c>
    </row>
    <row r="18" spans="2:3">
      <c r="B18" s="5" t="s">
        <v>54</v>
      </c>
      <c r="C18" s="995" t="s">
        <v>553</v>
      </c>
    </row>
    <row r="19" spans="2:3">
      <c r="B19" s="5" t="s">
        <v>55</v>
      </c>
      <c r="C19" s="995" t="s">
        <v>468</v>
      </c>
    </row>
    <row r="20" spans="2:3">
      <c r="B20" s="5" t="s">
        <v>447</v>
      </c>
      <c r="C20" s="995" t="s">
        <v>450</v>
      </c>
    </row>
    <row r="21" spans="2:3">
      <c r="B21" s="5" t="s">
        <v>562</v>
      </c>
      <c r="C21" s="995" t="s">
        <v>444</v>
      </c>
    </row>
    <row r="22" spans="2:3">
      <c r="B22" s="5" t="s">
        <v>56</v>
      </c>
      <c r="C22" s="995" t="s">
        <v>445</v>
      </c>
    </row>
    <row r="23" spans="2:3">
      <c r="B23" s="5" t="s">
        <v>563</v>
      </c>
      <c r="C23" s="995" t="s">
        <v>446</v>
      </c>
    </row>
    <row r="24" spans="2:3">
      <c r="B24" s="5" t="s">
        <v>57</v>
      </c>
      <c r="C24" s="995" t="s">
        <v>937</v>
      </c>
    </row>
    <row r="26" spans="2:3">
      <c r="B26" s="5" t="s">
        <v>709</v>
      </c>
    </row>
  </sheetData>
  <printOptions horizontalCentered="1"/>
  <pageMargins left="0.25" right="0.25" top="1.25" bottom="0.75" header="0.25" footer="0.25"/>
  <pageSetup orientation="landscape" horizontalDpi="4294967292" verticalDpi="200" r:id="rId1"/>
  <headerFooter alignWithMargins="0">
    <oddHeader>&amp;C&amp;"Arial,Bold Italic"Confidential</oddHeader>
    <oddFooter>&amp;L&amp;"Arial,Italic"Structurer: GLG
Directory: dev_fin/cemat/newexcel/(model date)
Filename: &amp;F
Tabname: &amp;A&amp;R&amp;"Arial,Italic"Date: &amp;D
Time: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A65"/>
  <sheetViews>
    <sheetView showGridLines="0" zoomScale="90" zoomScaleNormal="90" workbookViewId="0"/>
  </sheetViews>
  <sheetFormatPr defaultRowHeight="12.75"/>
  <cols>
    <col min="1" max="1" width="1.7109375" style="8" customWidth="1"/>
    <col min="2" max="2" width="40.7109375" style="8" customWidth="1"/>
    <col min="3" max="4" width="9.140625" style="5"/>
    <col min="5" max="26" width="10.7109375" style="281" customWidth="1"/>
    <col min="27" max="27" width="12.7109375" style="152" customWidth="1"/>
    <col min="28" max="16384" width="9.140625" style="5"/>
  </cols>
  <sheetData>
    <row r="1" spans="1:27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</row>
    <row r="2" spans="1:27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</row>
    <row r="3" spans="1:27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</row>
    <row r="4" spans="1:27" s="240" customFormat="1" ht="15.75">
      <c r="A4" s="820" t="s">
        <v>901</v>
      </c>
      <c r="B4" s="820"/>
      <c r="C4" s="134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</row>
    <row r="5" spans="1:27" s="240" customFormat="1" ht="13.5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</row>
    <row r="6" spans="1:27" s="8" customFormat="1">
      <c r="A6" s="411" t="s">
        <v>150</v>
      </c>
      <c r="B6" s="73"/>
      <c r="C6" s="73"/>
      <c r="D6" s="73"/>
      <c r="E6" s="462">
        <f>EINC!E6</f>
        <v>0</v>
      </c>
      <c r="F6" s="462">
        <f>EINC!F6</f>
        <v>0</v>
      </c>
      <c r="G6" s="462">
        <f>EINC!G6</f>
        <v>0</v>
      </c>
      <c r="H6" s="462">
        <f>EINC!H6</f>
        <v>1</v>
      </c>
      <c r="I6" s="462">
        <f>EINC!I6</f>
        <v>2</v>
      </c>
      <c r="J6" s="462">
        <f>EINC!J6</f>
        <v>3</v>
      </c>
      <c r="K6" s="462">
        <f>EINC!K6</f>
        <v>4</v>
      </c>
      <c r="L6" s="462">
        <f>EINC!L6</f>
        <v>5</v>
      </c>
      <c r="M6" s="462">
        <f>EINC!M6</f>
        <v>6</v>
      </c>
      <c r="N6" s="462">
        <f>EINC!N6</f>
        <v>7</v>
      </c>
      <c r="O6" s="462">
        <f>EINC!O6</f>
        <v>8</v>
      </c>
      <c r="P6" s="462">
        <f>EINC!P6</f>
        <v>9</v>
      </c>
      <c r="Q6" s="462">
        <f>EINC!Q6</f>
        <v>10</v>
      </c>
      <c r="R6" s="462">
        <f>EINC!R6</f>
        <v>11</v>
      </c>
      <c r="S6" s="462">
        <f>EINC!S6</f>
        <v>12</v>
      </c>
      <c r="T6" s="462">
        <f>EINC!T6</f>
        <v>13</v>
      </c>
      <c r="U6" s="462">
        <f>EINC!U6</f>
        <v>14</v>
      </c>
      <c r="V6" s="462">
        <f>EINC!V6</f>
        <v>15</v>
      </c>
      <c r="W6" s="462">
        <f>EINC!W6</f>
        <v>16</v>
      </c>
      <c r="X6" s="462">
        <f>EINC!X6</f>
        <v>17</v>
      </c>
      <c r="Y6" s="462">
        <f>EINC!Y6</f>
        <v>18</v>
      </c>
      <c r="Z6" s="462">
        <f>EINC!Z6</f>
        <v>19</v>
      </c>
      <c r="AA6" s="470"/>
    </row>
    <row r="7" spans="1:27" s="8" customFormat="1" ht="13.5" thickBot="1">
      <c r="A7" s="75" t="s">
        <v>151</v>
      </c>
      <c r="B7" s="76"/>
      <c r="C7" s="76"/>
      <c r="D7" s="76"/>
      <c r="E7" s="284">
        <f>EINC!E7</f>
        <v>1998</v>
      </c>
      <c r="F7" s="284">
        <f>EINC!F7</f>
        <v>1999</v>
      </c>
      <c r="G7" s="284">
        <f>EINC!G7</f>
        <v>2000</v>
      </c>
      <c r="H7" s="284">
        <f>EINC!H7</f>
        <v>2001</v>
      </c>
      <c r="I7" s="284">
        <f>EINC!I7</f>
        <v>2002</v>
      </c>
      <c r="J7" s="284">
        <f>EINC!J7</f>
        <v>2003</v>
      </c>
      <c r="K7" s="284">
        <f>EINC!K7</f>
        <v>2004</v>
      </c>
      <c r="L7" s="284">
        <f>EINC!L7</f>
        <v>2005</v>
      </c>
      <c r="M7" s="284">
        <f>EINC!M7</f>
        <v>2006</v>
      </c>
      <c r="N7" s="284">
        <f>EINC!N7</f>
        <v>2007</v>
      </c>
      <c r="O7" s="284">
        <f>EINC!O7</f>
        <v>2008</v>
      </c>
      <c r="P7" s="284">
        <f>EINC!P7</f>
        <v>2009</v>
      </c>
      <c r="Q7" s="284">
        <f>EINC!Q7</f>
        <v>2010</v>
      </c>
      <c r="R7" s="284">
        <f>EINC!R7</f>
        <v>2011</v>
      </c>
      <c r="S7" s="284">
        <f>EINC!S7</f>
        <v>2012</v>
      </c>
      <c r="T7" s="284">
        <f>EINC!T7</f>
        <v>2013</v>
      </c>
      <c r="U7" s="284">
        <f>EINC!U7</f>
        <v>2014</v>
      </c>
      <c r="V7" s="284">
        <f>EINC!V7</f>
        <v>2015</v>
      </c>
      <c r="W7" s="284">
        <f>EINC!W7</f>
        <v>2016</v>
      </c>
      <c r="X7" s="284">
        <f>EINC!X7</f>
        <v>2017</v>
      </c>
      <c r="Y7" s="284">
        <f>EINC!Y7</f>
        <v>2018</v>
      </c>
      <c r="Z7" s="284">
        <f>EINC!Z7</f>
        <v>2019</v>
      </c>
      <c r="AA7" s="414" t="str">
        <f>Returns!AA7</f>
        <v>Totals</v>
      </c>
    </row>
    <row r="8" spans="1:27" s="8" customFormat="1">
      <c r="A8" s="463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471"/>
    </row>
    <row r="9" spans="1:27" s="8" customFormat="1">
      <c r="A9" s="139" t="s">
        <v>323</v>
      </c>
      <c r="E9" s="152">
        <f ca="1">EINC!E9</f>
        <v>0</v>
      </c>
      <c r="F9" s="152">
        <f ca="1">EINC!F9</f>
        <v>0</v>
      </c>
      <c r="G9" s="152">
        <f ca="1">EINC!G9</f>
        <v>0</v>
      </c>
      <c r="H9" s="152">
        <f ca="1">EINC!H9</f>
        <v>10</v>
      </c>
      <c r="I9" s="152">
        <f ca="1">EINC!I9</f>
        <v>12</v>
      </c>
      <c r="J9" s="152">
        <f ca="1">EINC!J9</f>
        <v>12</v>
      </c>
      <c r="K9" s="152">
        <f ca="1">EINC!K9</f>
        <v>12</v>
      </c>
      <c r="L9" s="152">
        <f ca="1">EINC!L9</f>
        <v>12</v>
      </c>
      <c r="M9" s="152">
        <f ca="1">EINC!M9</f>
        <v>12</v>
      </c>
      <c r="N9" s="152">
        <f ca="1">EINC!N9</f>
        <v>12</v>
      </c>
      <c r="O9" s="152">
        <f ca="1">EINC!O9</f>
        <v>12</v>
      </c>
      <c r="P9" s="152">
        <f ca="1">EINC!P9</f>
        <v>12</v>
      </c>
      <c r="Q9" s="152">
        <f ca="1">EINC!Q9</f>
        <v>12</v>
      </c>
      <c r="R9" s="152">
        <f ca="1">EINC!R9</f>
        <v>12</v>
      </c>
      <c r="S9" s="152">
        <f ca="1">EINC!S9</f>
        <v>12</v>
      </c>
      <c r="T9" s="152">
        <f ca="1">EINC!T9</f>
        <v>12</v>
      </c>
      <c r="U9" s="152">
        <f ca="1">EINC!U9</f>
        <v>12</v>
      </c>
      <c r="V9" s="152">
        <f ca="1">EINC!V9</f>
        <v>12</v>
      </c>
      <c r="W9" s="152">
        <f ca="1">EINC!W9</f>
        <v>12</v>
      </c>
      <c r="X9" s="152">
        <f ca="1">EINC!X9</f>
        <v>12</v>
      </c>
      <c r="Y9" s="152">
        <f ca="1">EINC!Y9</f>
        <v>12</v>
      </c>
      <c r="Z9" s="152">
        <f ca="1">EINC!Z9</f>
        <v>4</v>
      </c>
      <c r="AA9" s="472">
        <f ca="1">SUM(E9:Z9)</f>
        <v>218</v>
      </c>
    </row>
    <row r="10" spans="1:27" s="8" customFormat="1">
      <c r="A10" s="139"/>
      <c r="E10" s="152"/>
      <c r="F10" s="152"/>
      <c r="G10" s="152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473"/>
    </row>
    <row r="11" spans="1:27" s="8" customFormat="1">
      <c r="A11" s="146" t="s">
        <v>396</v>
      </c>
      <c r="E11" s="152"/>
      <c r="F11" s="152"/>
      <c r="G11" s="152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473"/>
    </row>
    <row r="12" spans="1:27">
      <c r="A12" s="449"/>
      <c r="B12" s="8" t="s">
        <v>164</v>
      </c>
      <c r="C12" s="8"/>
      <c r="D12" s="128"/>
      <c r="E12" s="831">
        <v>0</v>
      </c>
      <c r="F12" s="53">
        <f t="shared" ref="F12:Z12" ca="1" si="0">E16</f>
        <v>10372.336370000001</v>
      </c>
      <c r="G12" s="53">
        <f t="shared" ca="1" si="0"/>
        <v>40000.000010000003</v>
      </c>
      <c r="H12" s="53">
        <f t="shared" ca="1" si="0"/>
        <v>60000.000010000003</v>
      </c>
      <c r="I12" s="53">
        <f t="shared" ca="1" si="0"/>
        <v>58162.491028582859</v>
      </c>
      <c r="J12" s="53">
        <f t="shared" ca="1" si="0"/>
        <v>54576.010428085399</v>
      </c>
      <c r="K12" s="53">
        <f t="shared" ca="1" si="0"/>
        <v>50530.75592397961</v>
      </c>
      <c r="L12" s="53">
        <f t="shared" ca="1" si="0"/>
        <v>52417.171328938181</v>
      </c>
      <c r="M12" s="53">
        <f t="shared" ca="1" si="0"/>
        <v>55377.787963794675</v>
      </c>
      <c r="N12" s="53">
        <f t="shared" ca="1" si="0"/>
        <v>60613.530404565179</v>
      </c>
      <c r="O12" s="53">
        <f t="shared" ca="1" si="0"/>
        <v>60989.643716405328</v>
      </c>
      <c r="P12" s="53">
        <f t="shared" ca="1" si="0"/>
        <v>61414.731761868141</v>
      </c>
      <c r="Q12" s="53">
        <f t="shared" ca="1" si="0"/>
        <v>61918.643152190787</v>
      </c>
      <c r="R12" s="53">
        <f t="shared" ca="1" si="0"/>
        <v>62474.729036575671</v>
      </c>
      <c r="S12" s="53">
        <f t="shared" ca="1" si="0"/>
        <v>63094.993963985828</v>
      </c>
      <c r="T12" s="53">
        <f t="shared" ca="1" si="0"/>
        <v>63816.502943118379</v>
      </c>
      <c r="U12" s="53">
        <f t="shared" ca="1" si="0"/>
        <v>64514.487652225427</v>
      </c>
      <c r="V12" s="53">
        <f t="shared" ca="1" si="0"/>
        <v>65341.762472186194</v>
      </c>
      <c r="W12" s="53">
        <f t="shared" ca="1" si="0"/>
        <v>66235.949850240984</v>
      </c>
      <c r="X12" s="53">
        <f t="shared" ca="1" si="0"/>
        <v>67177.034232424892</v>
      </c>
      <c r="Y12" s="53">
        <f t="shared" ca="1" si="0"/>
        <v>68158.458517005041</v>
      </c>
      <c r="Z12" s="53">
        <f t="shared" ca="1" si="0"/>
        <v>69183.603692594945</v>
      </c>
      <c r="AA12" s="420">
        <f>E12</f>
        <v>0</v>
      </c>
    </row>
    <row r="13" spans="1:27">
      <c r="A13" s="449"/>
      <c r="B13" s="8" t="s">
        <v>593</v>
      </c>
      <c r="C13" s="8"/>
      <c r="D13" s="128"/>
      <c r="E13" s="53">
        <f ca="1">BS_IS!G66</f>
        <v>10372.336370000001</v>
      </c>
      <c r="F13" s="53">
        <f ca="1">BS_IS!H66</f>
        <v>29627.663640000002</v>
      </c>
      <c r="G13" s="53">
        <f ca="1">BS_IS!I66</f>
        <v>20000</v>
      </c>
      <c r="H13" s="53">
        <f ca="1">BS_IS!J66</f>
        <v>0</v>
      </c>
      <c r="I13" s="53">
        <f ca="1">BS_IS!K66</f>
        <v>0</v>
      </c>
      <c r="J13" s="53">
        <f ca="1">BS_IS!L66</f>
        <v>0</v>
      </c>
      <c r="K13" s="53">
        <f ca="1">BS_IS!M66</f>
        <v>0</v>
      </c>
      <c r="L13" s="53">
        <f ca="1">BS_IS!N66</f>
        <v>0</v>
      </c>
      <c r="M13" s="53">
        <f ca="1">BS_IS!O66</f>
        <v>0</v>
      </c>
      <c r="N13" s="53">
        <f ca="1">BS_IS!P66</f>
        <v>0</v>
      </c>
      <c r="O13" s="53">
        <f ca="1">BS_IS!Q66</f>
        <v>0</v>
      </c>
      <c r="P13" s="53">
        <f ca="1">BS_IS!R66</f>
        <v>0</v>
      </c>
      <c r="Q13" s="53">
        <f ca="1">BS_IS!S66</f>
        <v>0</v>
      </c>
      <c r="R13" s="53">
        <f ca="1">BS_IS!T66</f>
        <v>0</v>
      </c>
      <c r="S13" s="53">
        <f ca="1">BS_IS!U66</f>
        <v>0</v>
      </c>
      <c r="T13" s="53">
        <f ca="1">BS_IS!V66</f>
        <v>0</v>
      </c>
      <c r="U13" s="53">
        <f ca="1">BS_IS!W66</f>
        <v>0</v>
      </c>
      <c r="V13" s="53">
        <f ca="1">BS_IS!X66</f>
        <v>0</v>
      </c>
      <c r="W13" s="53">
        <f ca="1">BS_IS!Y66</f>
        <v>0</v>
      </c>
      <c r="X13" s="53">
        <f ca="1">BS_IS!Z66</f>
        <v>0</v>
      </c>
      <c r="Y13" s="53">
        <f ca="1">BS_IS!AA66</f>
        <v>0</v>
      </c>
      <c r="Z13" s="53">
        <f ca="1">BS_IS!AB66</f>
        <v>0</v>
      </c>
      <c r="AA13" s="420">
        <f ca="1">SUM(E13:Z13)</f>
        <v>60000.000010000003</v>
      </c>
    </row>
    <row r="14" spans="1:27">
      <c r="A14" s="449"/>
      <c r="B14" s="8" t="s">
        <v>161</v>
      </c>
      <c r="C14" s="8"/>
      <c r="D14" s="128"/>
      <c r="E14" s="53">
        <f ca="1">BS_IS!G51</f>
        <v>0</v>
      </c>
      <c r="F14" s="53">
        <f ca="1">BS_IS!H51</f>
        <v>0</v>
      </c>
      <c r="G14" s="53">
        <f ca="1">BS_IS!I51</f>
        <v>0</v>
      </c>
      <c r="H14" s="53">
        <f ca="1">BS_IS!J51</f>
        <v>-1837.5089814171442</v>
      </c>
      <c r="I14" s="53">
        <f ca="1">BS_IS!K51</f>
        <v>-3586.4806004974635</v>
      </c>
      <c r="J14" s="53">
        <f ca="1">BS_IS!L51</f>
        <v>-4045.2545041057856</v>
      </c>
      <c r="K14" s="53">
        <f ca="1">BS_IS!M51</f>
        <v>1886.4154049585704</v>
      </c>
      <c r="L14" s="53">
        <f ca="1">BS_IS!N51</f>
        <v>2960.6166348564911</v>
      </c>
      <c r="M14" s="53">
        <f ca="1">BS_IS!O51</f>
        <v>7158.055852729789</v>
      </c>
      <c r="N14" s="53">
        <f ca="1">BS_IS!P51</f>
        <v>7522.2662368030997</v>
      </c>
      <c r="O14" s="53">
        <f ca="1">BS_IS!Q51</f>
        <v>8501.7609092564071</v>
      </c>
      <c r="P14" s="53">
        <f ca="1">BS_IS!R51</f>
        <v>10078.227806453044</v>
      </c>
      <c r="Q14" s="53">
        <f ca="1">BS_IS!S51</f>
        <v>11121.717687697716</v>
      </c>
      <c r="R14" s="53">
        <f ca="1">BS_IS!T51</f>
        <v>12405.298548203038</v>
      </c>
      <c r="S14" s="53">
        <f ca="1">BS_IS!U51</f>
        <v>14430.179582651173</v>
      </c>
      <c r="T14" s="53">
        <f ca="1">BS_IS!V51</f>
        <v>13959.694182140876</v>
      </c>
      <c r="U14" s="53">
        <f ca="1">BS_IS!W51</f>
        <v>16545.49639921527</v>
      </c>
      <c r="V14" s="53">
        <f ca="1">BS_IS!X51</f>
        <v>17883.747561095734</v>
      </c>
      <c r="W14" s="53">
        <f ca="1">BS_IS!Y51</f>
        <v>18821.68764367792</v>
      </c>
      <c r="X14" s="53">
        <f ca="1">BS_IS!Z51</f>
        <v>19628.485691602986</v>
      </c>
      <c r="Y14" s="53">
        <f ca="1">BS_IS!AA51</f>
        <v>20502.903511797889</v>
      </c>
      <c r="Z14" s="53">
        <f ca="1">BS_IS!AB51</f>
        <v>6843.9691274638944</v>
      </c>
      <c r="AA14" s="420">
        <f ca="1">SUM(E14:Z14)</f>
        <v>180781.27869458351</v>
      </c>
    </row>
    <row r="15" spans="1:27">
      <c r="A15" s="449"/>
      <c r="B15" s="8" t="s">
        <v>592</v>
      </c>
      <c r="C15" s="8"/>
      <c r="D15" s="128"/>
      <c r="E15" s="226">
        <f ca="1">BS_IS!G83</f>
        <v>0</v>
      </c>
      <c r="F15" s="226">
        <f ca="1">BS_IS!H83</f>
        <v>0</v>
      </c>
      <c r="G15" s="226">
        <f ca="1">BS_IS!I83</f>
        <v>0</v>
      </c>
      <c r="H15" s="226">
        <f ca="1">BS_IS!J83</f>
        <v>0</v>
      </c>
      <c r="I15" s="226">
        <f ca="1">BS_IS!K83</f>
        <v>-9.0949470177292824E-13</v>
      </c>
      <c r="J15" s="226">
        <f ca="1">BS_IS!L83</f>
        <v>4.5474735088646412E-13</v>
      </c>
      <c r="K15" s="226">
        <f ca="1">BS_IS!M83</f>
        <v>9.0949470177292824E-13</v>
      </c>
      <c r="L15" s="226">
        <f ca="1">BS_IS!N83</f>
        <v>4.5474735088646412E-13</v>
      </c>
      <c r="M15" s="226">
        <f ca="1">BS_IS!O83</f>
        <v>-1922.3134119592878</v>
      </c>
      <c r="N15" s="226">
        <f ca="1">BS_IS!P83</f>
        <v>-7146.1529249629439</v>
      </c>
      <c r="O15" s="226">
        <f ca="1">BS_IS!Q83</f>
        <v>-8076.6728637935885</v>
      </c>
      <c r="P15" s="226">
        <f ca="1">BS_IS!R83</f>
        <v>-9574.3164161303957</v>
      </c>
      <c r="Q15" s="226">
        <f ca="1">BS_IS!S83</f>
        <v>-10565.631803312826</v>
      </c>
      <c r="R15" s="226">
        <f ca="1">BS_IS!T83</f>
        <v>-11785.033620792883</v>
      </c>
      <c r="S15" s="226">
        <f ca="1">BS_IS!U83</f>
        <v>-13708.670603518618</v>
      </c>
      <c r="T15" s="226">
        <f ca="1">BS_IS!V83</f>
        <v>-13261.709473033836</v>
      </c>
      <c r="U15" s="226">
        <f ca="1">BS_IS!W83</f>
        <v>-15718.221579254499</v>
      </c>
      <c r="V15" s="226">
        <f ca="1">BS_IS!X83</f>
        <v>-16989.560183040943</v>
      </c>
      <c r="W15" s="226">
        <f ca="1">BS_IS!Y83</f>
        <v>-17880.603261494023</v>
      </c>
      <c r="X15" s="226">
        <f ca="1">BS_IS!Z83</f>
        <v>-18647.061407022833</v>
      </c>
      <c r="Y15" s="226">
        <f ca="1">BS_IS!AA83</f>
        <v>-19477.758336207997</v>
      </c>
      <c r="Z15" s="226">
        <f ca="1">BS_IS!AB83</f>
        <v>-65285.338152248063</v>
      </c>
      <c r="AA15" s="421">
        <f ca="1">SUM(E15:Z15)</f>
        <v>-230039.04403677274</v>
      </c>
    </row>
    <row r="16" spans="1:27">
      <c r="A16" s="452"/>
      <c r="B16" s="10" t="s">
        <v>172</v>
      </c>
      <c r="C16" s="10"/>
      <c r="D16" s="131"/>
      <c r="E16" s="64">
        <f ca="1">SUM(E12:E15)</f>
        <v>10372.336370000001</v>
      </c>
      <c r="F16" s="64">
        <f t="shared" ref="F16:Z16" ca="1" si="1">SUM(F12:F15)</f>
        <v>40000.000010000003</v>
      </c>
      <c r="G16" s="64">
        <f t="shared" ca="1" si="1"/>
        <v>60000.000010000003</v>
      </c>
      <c r="H16" s="64">
        <f t="shared" ca="1" si="1"/>
        <v>58162.491028582859</v>
      </c>
      <c r="I16" s="64">
        <f t="shared" ca="1" si="1"/>
        <v>54576.010428085399</v>
      </c>
      <c r="J16" s="64">
        <f t="shared" ca="1" si="1"/>
        <v>50530.75592397961</v>
      </c>
      <c r="K16" s="64">
        <f t="shared" ca="1" si="1"/>
        <v>52417.171328938181</v>
      </c>
      <c r="L16" s="64">
        <f t="shared" ca="1" si="1"/>
        <v>55377.787963794675</v>
      </c>
      <c r="M16" s="64">
        <f t="shared" ca="1" si="1"/>
        <v>60613.530404565179</v>
      </c>
      <c r="N16" s="64">
        <f t="shared" ca="1" si="1"/>
        <v>60989.643716405328</v>
      </c>
      <c r="O16" s="64">
        <f t="shared" ca="1" si="1"/>
        <v>61414.731761868141</v>
      </c>
      <c r="P16" s="64">
        <f t="shared" ca="1" si="1"/>
        <v>61918.643152190787</v>
      </c>
      <c r="Q16" s="64">
        <f t="shared" ca="1" si="1"/>
        <v>62474.729036575671</v>
      </c>
      <c r="R16" s="64">
        <f t="shared" ca="1" si="1"/>
        <v>63094.993963985828</v>
      </c>
      <c r="S16" s="64">
        <f t="shared" ca="1" si="1"/>
        <v>63816.502943118379</v>
      </c>
      <c r="T16" s="64">
        <f t="shared" ca="1" si="1"/>
        <v>64514.487652225427</v>
      </c>
      <c r="U16" s="64">
        <f t="shared" ca="1" si="1"/>
        <v>65341.762472186194</v>
      </c>
      <c r="V16" s="64">
        <f t="shared" ca="1" si="1"/>
        <v>66235.949850240984</v>
      </c>
      <c r="W16" s="64">
        <f t="shared" ca="1" si="1"/>
        <v>67177.034232424892</v>
      </c>
      <c r="X16" s="64">
        <f t="shared" ca="1" si="1"/>
        <v>68158.458517005041</v>
      </c>
      <c r="Y16" s="64">
        <f t="shared" ca="1" si="1"/>
        <v>69183.603692594945</v>
      </c>
      <c r="Z16" s="64">
        <f t="shared" ca="1" si="1"/>
        <v>10742.234667810771</v>
      </c>
      <c r="AA16" s="483">
        <f ca="1">SUM(AA12:AA15)</f>
        <v>10742.234667810786</v>
      </c>
    </row>
    <row r="17" spans="1:27" s="8" customFormat="1">
      <c r="A17" s="139"/>
      <c r="E17" s="152"/>
      <c r="F17" s="152"/>
      <c r="G17" s="152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473"/>
    </row>
    <row r="18" spans="1:27" s="8" customFormat="1">
      <c r="A18" s="450" t="s">
        <v>492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416"/>
    </row>
    <row r="19" spans="1:27">
      <c r="A19" s="449"/>
      <c r="B19" s="8" t="s">
        <v>484</v>
      </c>
      <c r="C19" s="8"/>
      <c r="D19" s="128"/>
      <c r="E19" s="53">
        <f>E12</f>
        <v>0</v>
      </c>
      <c r="F19" s="53">
        <f t="shared" ref="F19:Z19" ca="1" si="2">F12</f>
        <v>10372.336370000001</v>
      </c>
      <c r="G19" s="53">
        <f t="shared" ca="1" si="2"/>
        <v>40000.000010000003</v>
      </c>
      <c r="H19" s="53">
        <f t="shared" ca="1" si="2"/>
        <v>60000.000010000003</v>
      </c>
      <c r="I19" s="53">
        <f t="shared" ca="1" si="2"/>
        <v>58162.491028582859</v>
      </c>
      <c r="J19" s="53">
        <f t="shared" ca="1" si="2"/>
        <v>54576.010428085399</v>
      </c>
      <c r="K19" s="53">
        <f t="shared" ca="1" si="2"/>
        <v>50530.75592397961</v>
      </c>
      <c r="L19" s="53">
        <f t="shared" ca="1" si="2"/>
        <v>52417.171328938181</v>
      </c>
      <c r="M19" s="53">
        <f t="shared" ca="1" si="2"/>
        <v>55377.787963794675</v>
      </c>
      <c r="N19" s="53">
        <f t="shared" ca="1" si="2"/>
        <v>60613.530404565179</v>
      </c>
      <c r="O19" s="53">
        <f t="shared" ca="1" si="2"/>
        <v>60989.643716405328</v>
      </c>
      <c r="P19" s="53">
        <f t="shared" ca="1" si="2"/>
        <v>61414.731761868141</v>
      </c>
      <c r="Q19" s="53">
        <f t="shared" ca="1" si="2"/>
        <v>61918.643152190787</v>
      </c>
      <c r="R19" s="53">
        <f t="shared" ca="1" si="2"/>
        <v>62474.729036575671</v>
      </c>
      <c r="S19" s="53">
        <f t="shared" ca="1" si="2"/>
        <v>63094.993963985828</v>
      </c>
      <c r="T19" s="53">
        <f t="shared" ca="1" si="2"/>
        <v>63816.502943118379</v>
      </c>
      <c r="U19" s="53">
        <f t="shared" ca="1" si="2"/>
        <v>64514.487652225427</v>
      </c>
      <c r="V19" s="53">
        <f t="shared" ca="1" si="2"/>
        <v>65341.762472186194</v>
      </c>
      <c r="W19" s="53">
        <f t="shared" ca="1" si="2"/>
        <v>66235.949850240984</v>
      </c>
      <c r="X19" s="53">
        <f t="shared" ca="1" si="2"/>
        <v>67177.034232424892</v>
      </c>
      <c r="Y19" s="53">
        <f t="shared" ca="1" si="2"/>
        <v>68158.458517005041</v>
      </c>
      <c r="Z19" s="53">
        <f t="shared" ca="1" si="2"/>
        <v>69183.603692594945</v>
      </c>
      <c r="AA19" s="416"/>
    </row>
    <row r="20" spans="1:27">
      <c r="A20" s="449"/>
      <c r="B20" s="8" t="s">
        <v>481</v>
      </c>
      <c r="C20" s="8"/>
      <c r="D20" s="128"/>
      <c r="E20" s="36">
        <f>Assm!$K$61</f>
        <v>0.29999999999999993</v>
      </c>
      <c r="F20" s="36">
        <f>Assm!$K$61</f>
        <v>0.29999999999999993</v>
      </c>
      <c r="G20" s="36">
        <f>Assm!$K$61</f>
        <v>0.29999999999999993</v>
      </c>
      <c r="H20" s="36">
        <f>Assm!$K$61</f>
        <v>0.29999999999999993</v>
      </c>
      <c r="I20" s="36">
        <f>Assm!$K$61</f>
        <v>0.29999999999999993</v>
      </c>
      <c r="J20" s="36">
        <f>Assm!$K$61</f>
        <v>0.29999999999999993</v>
      </c>
      <c r="K20" s="36">
        <f>Assm!$K$61</f>
        <v>0.29999999999999993</v>
      </c>
      <c r="L20" s="36">
        <f>Assm!$K$61</f>
        <v>0.29999999999999993</v>
      </c>
      <c r="M20" s="36">
        <f>Assm!$K$61</f>
        <v>0.29999999999999993</v>
      </c>
      <c r="N20" s="36">
        <f>Assm!$K$61</f>
        <v>0.29999999999999993</v>
      </c>
      <c r="O20" s="36">
        <f>Assm!$K$61</f>
        <v>0.29999999999999993</v>
      </c>
      <c r="P20" s="36">
        <f>Assm!$K$61</f>
        <v>0.29999999999999993</v>
      </c>
      <c r="Q20" s="36">
        <f>Assm!$K$61</f>
        <v>0.29999999999999993</v>
      </c>
      <c r="R20" s="36">
        <f>Assm!$K$61</f>
        <v>0.29999999999999993</v>
      </c>
      <c r="S20" s="36">
        <f>Assm!$K$61</f>
        <v>0.29999999999999993</v>
      </c>
      <c r="T20" s="36">
        <f>Assm!$K$61</f>
        <v>0.29999999999999993</v>
      </c>
      <c r="U20" s="36">
        <f>Assm!$K$61</f>
        <v>0.29999999999999993</v>
      </c>
      <c r="V20" s="36">
        <f>Assm!$K$61</f>
        <v>0.29999999999999993</v>
      </c>
      <c r="W20" s="36">
        <f>Assm!$K$61</f>
        <v>0.29999999999999993</v>
      </c>
      <c r="X20" s="36">
        <f>Assm!$K$61</f>
        <v>0.29999999999999993</v>
      </c>
      <c r="Y20" s="36">
        <f>Assm!$K$61</f>
        <v>0.29999999999999993</v>
      </c>
      <c r="Z20" s="36">
        <f>Assm!$K$61</f>
        <v>0.29999999999999993</v>
      </c>
      <c r="AA20" s="416"/>
    </row>
    <row r="21" spans="1:27">
      <c r="A21" s="449"/>
      <c r="B21" s="8" t="s">
        <v>485</v>
      </c>
      <c r="C21" s="8"/>
      <c r="D21" s="19" t="s">
        <v>479</v>
      </c>
      <c r="E21" s="53">
        <f t="shared" ref="E21:X21" si="3">E19*E20</f>
        <v>0</v>
      </c>
      <c r="F21" s="53">
        <f t="shared" ca="1" si="3"/>
        <v>3111.7009109999995</v>
      </c>
      <c r="G21" s="53">
        <f t="shared" ca="1" si="3"/>
        <v>12000.000002999999</v>
      </c>
      <c r="H21" s="53">
        <f t="shared" ca="1" si="3"/>
        <v>18000.000002999997</v>
      </c>
      <c r="I21" s="53">
        <f t="shared" ca="1" si="3"/>
        <v>17448.747308574853</v>
      </c>
      <c r="J21" s="53">
        <f t="shared" ca="1" si="3"/>
        <v>16372.803128425616</v>
      </c>
      <c r="K21" s="53">
        <f t="shared" ca="1" si="3"/>
        <v>15159.22677719388</v>
      </c>
      <c r="L21" s="53">
        <f t="shared" ca="1" si="3"/>
        <v>15725.15139868145</v>
      </c>
      <c r="M21" s="53">
        <f t="shared" ca="1" si="3"/>
        <v>16613.3363891384</v>
      </c>
      <c r="N21" s="53">
        <f t="shared" ca="1" si="3"/>
        <v>18184.059121369548</v>
      </c>
      <c r="O21" s="53">
        <f t="shared" ca="1" si="3"/>
        <v>18296.893114921593</v>
      </c>
      <c r="P21" s="53">
        <f t="shared" ca="1" si="3"/>
        <v>18424.419528560436</v>
      </c>
      <c r="Q21" s="53">
        <f t="shared" ca="1" si="3"/>
        <v>18575.59294565723</v>
      </c>
      <c r="R21" s="53">
        <f t="shared" ca="1" si="3"/>
        <v>18742.418710972695</v>
      </c>
      <c r="S21" s="53">
        <f t="shared" ca="1" si="3"/>
        <v>18928.498189195743</v>
      </c>
      <c r="T21" s="53">
        <f t="shared" ca="1" si="3"/>
        <v>19144.950882935511</v>
      </c>
      <c r="U21" s="53">
        <f t="shared" ca="1" si="3"/>
        <v>19354.346295667623</v>
      </c>
      <c r="V21" s="53">
        <f t="shared" ca="1" si="3"/>
        <v>19602.528741655853</v>
      </c>
      <c r="W21" s="53">
        <f t="shared" ca="1" si="3"/>
        <v>19870.784955072289</v>
      </c>
      <c r="X21" s="53">
        <f t="shared" ca="1" si="3"/>
        <v>20153.110269727462</v>
      </c>
      <c r="Y21" s="53">
        <f ca="1">Y19*Y20</f>
        <v>20447.537555101509</v>
      </c>
      <c r="Z21" s="53">
        <f ca="1">Z19*Z20</f>
        <v>20755.081107778478</v>
      </c>
      <c r="AA21" s="416"/>
    </row>
    <row r="22" spans="1:27">
      <c r="A22" s="449"/>
      <c r="C22" s="8"/>
      <c r="D22" s="128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416"/>
    </row>
    <row r="23" spans="1:27">
      <c r="A23" s="449"/>
      <c r="B23" s="8" t="s">
        <v>486</v>
      </c>
      <c r="C23" s="8"/>
      <c r="D23" s="128"/>
      <c r="E23" s="53">
        <f ca="1">E16</f>
        <v>10372.336370000001</v>
      </c>
      <c r="F23" s="53">
        <f t="shared" ref="F23:Z23" ca="1" si="4">F16</f>
        <v>40000.000010000003</v>
      </c>
      <c r="G23" s="53">
        <f t="shared" ca="1" si="4"/>
        <v>60000.000010000003</v>
      </c>
      <c r="H23" s="53">
        <f t="shared" ca="1" si="4"/>
        <v>58162.491028582859</v>
      </c>
      <c r="I23" s="53">
        <f t="shared" ca="1" si="4"/>
        <v>54576.010428085399</v>
      </c>
      <c r="J23" s="53">
        <f t="shared" ca="1" si="4"/>
        <v>50530.75592397961</v>
      </c>
      <c r="K23" s="53">
        <f t="shared" ca="1" si="4"/>
        <v>52417.171328938181</v>
      </c>
      <c r="L23" s="53">
        <f t="shared" ca="1" si="4"/>
        <v>55377.787963794675</v>
      </c>
      <c r="M23" s="53">
        <f t="shared" ca="1" si="4"/>
        <v>60613.530404565179</v>
      </c>
      <c r="N23" s="53">
        <f t="shared" ca="1" si="4"/>
        <v>60989.643716405328</v>
      </c>
      <c r="O23" s="53">
        <f t="shared" ca="1" si="4"/>
        <v>61414.731761868141</v>
      </c>
      <c r="P23" s="53">
        <f t="shared" ca="1" si="4"/>
        <v>61918.643152190787</v>
      </c>
      <c r="Q23" s="53">
        <f t="shared" ca="1" si="4"/>
        <v>62474.729036575671</v>
      </c>
      <c r="R23" s="53">
        <f t="shared" ca="1" si="4"/>
        <v>63094.993963985828</v>
      </c>
      <c r="S23" s="53">
        <f t="shared" ca="1" si="4"/>
        <v>63816.502943118379</v>
      </c>
      <c r="T23" s="53">
        <f t="shared" ca="1" si="4"/>
        <v>64514.487652225427</v>
      </c>
      <c r="U23" s="53">
        <f t="shared" ca="1" si="4"/>
        <v>65341.762472186194</v>
      </c>
      <c r="V23" s="53">
        <f t="shared" ca="1" si="4"/>
        <v>66235.949850240984</v>
      </c>
      <c r="W23" s="53">
        <f t="shared" ca="1" si="4"/>
        <v>67177.034232424892</v>
      </c>
      <c r="X23" s="53">
        <f t="shared" ca="1" si="4"/>
        <v>68158.458517005041</v>
      </c>
      <c r="Y23" s="53">
        <f t="shared" ca="1" si="4"/>
        <v>69183.603692594945</v>
      </c>
      <c r="Z23" s="53">
        <f t="shared" ca="1" si="4"/>
        <v>10742.234667810771</v>
      </c>
      <c r="AA23" s="416"/>
    </row>
    <row r="24" spans="1:27">
      <c r="A24" s="449"/>
      <c r="B24" s="8" t="s">
        <v>481</v>
      </c>
      <c r="C24" s="8"/>
      <c r="D24" s="128"/>
      <c r="E24" s="36">
        <f>Assm!$K$61</f>
        <v>0.29999999999999993</v>
      </c>
      <c r="F24" s="36">
        <f>Assm!$K$61</f>
        <v>0.29999999999999993</v>
      </c>
      <c r="G24" s="36">
        <f>Assm!$K$61</f>
        <v>0.29999999999999993</v>
      </c>
      <c r="H24" s="36">
        <f>Assm!$K$61</f>
        <v>0.29999999999999993</v>
      </c>
      <c r="I24" s="36">
        <f>Assm!$K$61</f>
        <v>0.29999999999999993</v>
      </c>
      <c r="J24" s="36">
        <f>Assm!$K$61</f>
        <v>0.29999999999999993</v>
      </c>
      <c r="K24" s="36">
        <f>Assm!$K$61</f>
        <v>0.29999999999999993</v>
      </c>
      <c r="L24" s="36">
        <f>Assm!$K$61</f>
        <v>0.29999999999999993</v>
      </c>
      <c r="M24" s="36">
        <f>Assm!$K$61</f>
        <v>0.29999999999999993</v>
      </c>
      <c r="N24" s="36">
        <f>Assm!$K$61</f>
        <v>0.29999999999999993</v>
      </c>
      <c r="O24" s="36">
        <f>Assm!$K$61</f>
        <v>0.29999999999999993</v>
      </c>
      <c r="P24" s="36">
        <f>Assm!$K$61</f>
        <v>0.29999999999999993</v>
      </c>
      <c r="Q24" s="36">
        <f>Assm!$K$61</f>
        <v>0.29999999999999993</v>
      </c>
      <c r="R24" s="36">
        <f>Assm!$K$61</f>
        <v>0.29999999999999993</v>
      </c>
      <c r="S24" s="36">
        <f>Assm!$K$61</f>
        <v>0.29999999999999993</v>
      </c>
      <c r="T24" s="36">
        <f>Assm!$K$61</f>
        <v>0.29999999999999993</v>
      </c>
      <c r="U24" s="36">
        <f>Assm!$K$61</f>
        <v>0.29999999999999993</v>
      </c>
      <c r="V24" s="36">
        <f>Assm!$K$61</f>
        <v>0.29999999999999993</v>
      </c>
      <c r="W24" s="36">
        <f>Assm!$K$61</f>
        <v>0.29999999999999993</v>
      </c>
      <c r="X24" s="36">
        <f>Assm!$K$61</f>
        <v>0.29999999999999993</v>
      </c>
      <c r="Y24" s="36">
        <f>Assm!$K$61</f>
        <v>0.29999999999999993</v>
      </c>
      <c r="Z24" s="36">
        <f>Assm!$K$61</f>
        <v>0.29999999999999993</v>
      </c>
      <c r="AA24" s="416"/>
    </row>
    <row r="25" spans="1:27">
      <c r="A25" s="449"/>
      <c r="B25" s="8" t="s">
        <v>487</v>
      </c>
      <c r="C25" s="8"/>
      <c r="D25" s="19" t="s">
        <v>480</v>
      </c>
      <c r="E25" s="53">
        <f t="shared" ref="E25:X25" ca="1" si="5">E23*E24</f>
        <v>3111.7009109999995</v>
      </c>
      <c r="F25" s="53">
        <f t="shared" ca="1" si="5"/>
        <v>12000.000002999999</v>
      </c>
      <c r="G25" s="53">
        <f t="shared" ca="1" si="5"/>
        <v>18000.000002999997</v>
      </c>
      <c r="H25" s="53">
        <f t="shared" ca="1" si="5"/>
        <v>17448.747308574853</v>
      </c>
      <c r="I25" s="53">
        <f t="shared" ca="1" si="5"/>
        <v>16372.803128425616</v>
      </c>
      <c r="J25" s="53">
        <f t="shared" ca="1" si="5"/>
        <v>15159.22677719388</v>
      </c>
      <c r="K25" s="53">
        <f t="shared" ca="1" si="5"/>
        <v>15725.15139868145</v>
      </c>
      <c r="L25" s="53">
        <f t="shared" ca="1" si="5"/>
        <v>16613.3363891384</v>
      </c>
      <c r="M25" s="53">
        <f t="shared" ca="1" si="5"/>
        <v>18184.059121369548</v>
      </c>
      <c r="N25" s="53">
        <f t="shared" ca="1" si="5"/>
        <v>18296.893114921593</v>
      </c>
      <c r="O25" s="53">
        <f t="shared" ca="1" si="5"/>
        <v>18424.419528560436</v>
      </c>
      <c r="P25" s="53">
        <f t="shared" ca="1" si="5"/>
        <v>18575.59294565723</v>
      </c>
      <c r="Q25" s="53">
        <f t="shared" ca="1" si="5"/>
        <v>18742.418710972695</v>
      </c>
      <c r="R25" s="53">
        <f t="shared" ca="1" si="5"/>
        <v>18928.498189195743</v>
      </c>
      <c r="S25" s="53">
        <f t="shared" ca="1" si="5"/>
        <v>19144.950882935511</v>
      </c>
      <c r="T25" s="53">
        <f t="shared" ca="1" si="5"/>
        <v>19354.346295667623</v>
      </c>
      <c r="U25" s="53">
        <f t="shared" ca="1" si="5"/>
        <v>19602.528741655853</v>
      </c>
      <c r="V25" s="53">
        <f t="shared" ca="1" si="5"/>
        <v>19870.784955072289</v>
      </c>
      <c r="W25" s="53">
        <f t="shared" ca="1" si="5"/>
        <v>20153.110269727462</v>
      </c>
      <c r="X25" s="53">
        <f t="shared" ca="1" si="5"/>
        <v>20447.537555101509</v>
      </c>
      <c r="Y25" s="53">
        <f ca="1">Y23*Y24</f>
        <v>20755.081107778478</v>
      </c>
      <c r="Z25" s="53">
        <f ca="1">Z23*Z24</f>
        <v>3222.6704003432305</v>
      </c>
      <c r="AA25" s="416"/>
    </row>
    <row r="26" spans="1:27">
      <c r="A26" s="449"/>
      <c r="C26" s="8"/>
      <c r="D26" s="128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416"/>
    </row>
    <row r="27" spans="1:27">
      <c r="A27" s="449"/>
      <c r="B27" s="8" t="s">
        <v>482</v>
      </c>
      <c r="C27" s="8"/>
      <c r="D27" s="19" t="s">
        <v>489</v>
      </c>
      <c r="E27" s="53">
        <f t="shared" ref="E27:Z27" ca="1" si="6">IF(MAX(E$21,E$25)&lt;0,0,MAX(E$21,E$25))</f>
        <v>3111.7009109999995</v>
      </c>
      <c r="F27" s="53">
        <f t="shared" ca="1" si="6"/>
        <v>12000.000002999999</v>
      </c>
      <c r="G27" s="53">
        <f t="shared" ca="1" si="6"/>
        <v>18000.000002999997</v>
      </c>
      <c r="H27" s="53">
        <f t="shared" ca="1" si="6"/>
        <v>18000.000002999997</v>
      </c>
      <c r="I27" s="53">
        <f t="shared" ca="1" si="6"/>
        <v>17448.747308574853</v>
      </c>
      <c r="J27" s="53">
        <f t="shared" ca="1" si="6"/>
        <v>16372.803128425616</v>
      </c>
      <c r="K27" s="53">
        <f t="shared" ca="1" si="6"/>
        <v>15725.15139868145</v>
      </c>
      <c r="L27" s="53">
        <f t="shared" ca="1" si="6"/>
        <v>16613.3363891384</v>
      </c>
      <c r="M27" s="53">
        <f t="shared" ca="1" si="6"/>
        <v>18184.059121369548</v>
      </c>
      <c r="N27" s="53">
        <f t="shared" ca="1" si="6"/>
        <v>18296.893114921593</v>
      </c>
      <c r="O27" s="53">
        <f t="shared" ca="1" si="6"/>
        <v>18424.419528560436</v>
      </c>
      <c r="P27" s="53">
        <f t="shared" ca="1" si="6"/>
        <v>18575.59294565723</v>
      </c>
      <c r="Q27" s="53">
        <f t="shared" ca="1" si="6"/>
        <v>18742.418710972695</v>
      </c>
      <c r="R27" s="53">
        <f t="shared" ca="1" si="6"/>
        <v>18928.498189195743</v>
      </c>
      <c r="S27" s="53">
        <f t="shared" ca="1" si="6"/>
        <v>19144.950882935511</v>
      </c>
      <c r="T27" s="53">
        <f t="shared" ca="1" si="6"/>
        <v>19354.346295667623</v>
      </c>
      <c r="U27" s="53">
        <f t="shared" ca="1" si="6"/>
        <v>19602.528741655853</v>
      </c>
      <c r="V27" s="53">
        <f t="shared" ca="1" si="6"/>
        <v>19870.784955072289</v>
      </c>
      <c r="W27" s="53">
        <f t="shared" ca="1" si="6"/>
        <v>20153.110269727462</v>
      </c>
      <c r="X27" s="53">
        <f t="shared" ca="1" si="6"/>
        <v>20447.537555101509</v>
      </c>
      <c r="Y27" s="53">
        <f t="shared" ca="1" si="6"/>
        <v>20755.081107778478</v>
      </c>
      <c r="Z27" s="53">
        <f t="shared" ca="1" si="6"/>
        <v>20755.081107778478</v>
      </c>
      <c r="AA27" s="416"/>
    </row>
    <row r="28" spans="1:27">
      <c r="A28" s="449"/>
      <c r="B28" s="8" t="s">
        <v>488</v>
      </c>
      <c r="C28" s="8"/>
      <c r="D28" s="19" t="s">
        <v>490</v>
      </c>
      <c r="E28" s="53">
        <f t="shared" ref="E28:Z28" ca="1" si="7">IF(MIN(E$21,E$25)&lt;0,0,MIN(E$21,E$25))</f>
        <v>0</v>
      </c>
      <c r="F28" s="53">
        <f t="shared" ca="1" si="7"/>
        <v>3111.7009109999995</v>
      </c>
      <c r="G28" s="53">
        <f t="shared" ca="1" si="7"/>
        <v>12000.000002999999</v>
      </c>
      <c r="H28" s="53">
        <f t="shared" ca="1" si="7"/>
        <v>17448.747308574853</v>
      </c>
      <c r="I28" s="53">
        <f t="shared" ca="1" si="7"/>
        <v>16372.803128425616</v>
      </c>
      <c r="J28" s="53">
        <f t="shared" ca="1" si="7"/>
        <v>15159.22677719388</v>
      </c>
      <c r="K28" s="53">
        <f t="shared" ca="1" si="7"/>
        <v>15159.22677719388</v>
      </c>
      <c r="L28" s="53">
        <f t="shared" ca="1" si="7"/>
        <v>15725.15139868145</v>
      </c>
      <c r="M28" s="53">
        <f t="shared" ca="1" si="7"/>
        <v>16613.3363891384</v>
      </c>
      <c r="N28" s="53">
        <f t="shared" ca="1" si="7"/>
        <v>18184.059121369548</v>
      </c>
      <c r="O28" s="53">
        <f t="shared" ca="1" si="7"/>
        <v>18296.893114921593</v>
      </c>
      <c r="P28" s="53">
        <f t="shared" ca="1" si="7"/>
        <v>18424.419528560436</v>
      </c>
      <c r="Q28" s="53">
        <f t="shared" ca="1" si="7"/>
        <v>18575.59294565723</v>
      </c>
      <c r="R28" s="53">
        <f t="shared" ca="1" si="7"/>
        <v>18742.418710972695</v>
      </c>
      <c r="S28" s="53">
        <f t="shared" ca="1" si="7"/>
        <v>18928.498189195743</v>
      </c>
      <c r="T28" s="53">
        <f t="shared" ca="1" si="7"/>
        <v>19144.950882935511</v>
      </c>
      <c r="U28" s="53">
        <f t="shared" ca="1" si="7"/>
        <v>19354.346295667623</v>
      </c>
      <c r="V28" s="53">
        <f t="shared" ca="1" si="7"/>
        <v>19602.528741655853</v>
      </c>
      <c r="W28" s="53">
        <f t="shared" ca="1" si="7"/>
        <v>19870.784955072289</v>
      </c>
      <c r="X28" s="53">
        <f t="shared" ca="1" si="7"/>
        <v>20153.110269727462</v>
      </c>
      <c r="Y28" s="53">
        <f t="shared" ca="1" si="7"/>
        <v>20447.537555101509</v>
      </c>
      <c r="Z28" s="53">
        <f t="shared" ca="1" si="7"/>
        <v>3222.6704003432305</v>
      </c>
      <c r="AA28" s="416"/>
    </row>
    <row r="29" spans="1:27">
      <c r="A29" s="13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416"/>
    </row>
    <row r="30" spans="1:27">
      <c r="A30" s="449"/>
      <c r="B30" s="8" t="s">
        <v>491</v>
      </c>
      <c r="C30" s="8"/>
      <c r="D30" s="128"/>
      <c r="E30" s="53">
        <f t="shared" ref="E30:X30" ca="1" si="8">((E27*2)+E28)/3</f>
        <v>2074.4672739999996</v>
      </c>
      <c r="F30" s="53">
        <f t="shared" ca="1" si="8"/>
        <v>9037.233639</v>
      </c>
      <c r="G30" s="53">
        <f t="shared" ca="1" si="8"/>
        <v>16000.000002999999</v>
      </c>
      <c r="H30" s="53">
        <f t="shared" ca="1" si="8"/>
        <v>17816.249104858285</v>
      </c>
      <c r="I30" s="53">
        <f t="shared" ca="1" si="8"/>
        <v>17090.099248525108</v>
      </c>
      <c r="J30" s="53">
        <f t="shared" ca="1" si="8"/>
        <v>15968.277678015038</v>
      </c>
      <c r="K30" s="53">
        <f t="shared" ca="1" si="8"/>
        <v>15536.509858185593</v>
      </c>
      <c r="L30" s="53">
        <f t="shared" ca="1" si="8"/>
        <v>16317.274725652751</v>
      </c>
      <c r="M30" s="53">
        <f t="shared" ca="1" si="8"/>
        <v>17660.4848772925</v>
      </c>
      <c r="N30" s="53">
        <f t="shared" ca="1" si="8"/>
        <v>18259.281783737577</v>
      </c>
      <c r="O30" s="53">
        <f t="shared" ca="1" si="8"/>
        <v>18381.910724014157</v>
      </c>
      <c r="P30" s="53">
        <f t="shared" ca="1" si="8"/>
        <v>18525.201806624966</v>
      </c>
      <c r="Q30" s="53">
        <f t="shared" ca="1" si="8"/>
        <v>18686.810122534207</v>
      </c>
      <c r="R30" s="53">
        <f t="shared" ca="1" si="8"/>
        <v>18866.471696454726</v>
      </c>
      <c r="S30" s="53">
        <f t="shared" ca="1" si="8"/>
        <v>19072.799985022255</v>
      </c>
      <c r="T30" s="53">
        <f t="shared" ca="1" si="8"/>
        <v>19284.547824756919</v>
      </c>
      <c r="U30" s="53">
        <f t="shared" ca="1" si="8"/>
        <v>19519.801259659776</v>
      </c>
      <c r="V30" s="53">
        <f t="shared" ca="1" si="8"/>
        <v>19781.366217266812</v>
      </c>
      <c r="W30" s="53">
        <f t="shared" ca="1" si="8"/>
        <v>20059.001831509071</v>
      </c>
      <c r="X30" s="53">
        <f t="shared" ca="1" si="8"/>
        <v>20349.395126643492</v>
      </c>
      <c r="Y30" s="53">
        <f ca="1">((Y27*2)+Y28)/3</f>
        <v>20652.566590219489</v>
      </c>
      <c r="Z30" s="53">
        <f ca="1">((Z27*2)+Z28)/3</f>
        <v>14910.944205300062</v>
      </c>
      <c r="AA30" s="416"/>
    </row>
    <row r="31" spans="1:27">
      <c r="A31" s="449"/>
      <c r="B31" s="8" t="s">
        <v>483</v>
      </c>
      <c r="C31" s="17">
        <f>Opic</f>
        <v>0.01</v>
      </c>
      <c r="D31" s="128"/>
      <c r="E31" s="37">
        <f t="shared" ref="E31:Z31" si="9">$C31</f>
        <v>0.01</v>
      </c>
      <c r="F31" s="37">
        <f t="shared" si="9"/>
        <v>0.01</v>
      </c>
      <c r="G31" s="37">
        <f t="shared" si="9"/>
        <v>0.01</v>
      </c>
      <c r="H31" s="37">
        <f t="shared" si="9"/>
        <v>0.01</v>
      </c>
      <c r="I31" s="37">
        <f t="shared" si="9"/>
        <v>0.01</v>
      </c>
      <c r="J31" s="37">
        <f t="shared" si="9"/>
        <v>0.01</v>
      </c>
      <c r="K31" s="37">
        <f t="shared" si="9"/>
        <v>0.01</v>
      </c>
      <c r="L31" s="37">
        <f t="shared" si="9"/>
        <v>0.01</v>
      </c>
      <c r="M31" s="37">
        <f t="shared" si="9"/>
        <v>0.01</v>
      </c>
      <c r="N31" s="37">
        <f t="shared" si="9"/>
        <v>0.01</v>
      </c>
      <c r="O31" s="37">
        <f t="shared" si="9"/>
        <v>0.01</v>
      </c>
      <c r="P31" s="37">
        <f t="shared" si="9"/>
        <v>0.01</v>
      </c>
      <c r="Q31" s="37">
        <f t="shared" si="9"/>
        <v>0.01</v>
      </c>
      <c r="R31" s="37">
        <f t="shared" si="9"/>
        <v>0.01</v>
      </c>
      <c r="S31" s="37">
        <f t="shared" si="9"/>
        <v>0.01</v>
      </c>
      <c r="T31" s="37">
        <f t="shared" si="9"/>
        <v>0.01</v>
      </c>
      <c r="U31" s="37">
        <f t="shared" si="9"/>
        <v>0.01</v>
      </c>
      <c r="V31" s="37">
        <f t="shared" si="9"/>
        <v>0.01</v>
      </c>
      <c r="W31" s="37">
        <f t="shared" si="9"/>
        <v>0.01</v>
      </c>
      <c r="X31" s="37">
        <f t="shared" si="9"/>
        <v>0.01</v>
      </c>
      <c r="Y31" s="37">
        <f t="shared" si="9"/>
        <v>0.01</v>
      </c>
      <c r="Z31" s="37">
        <f t="shared" si="9"/>
        <v>0.01</v>
      </c>
      <c r="AA31" s="416"/>
    </row>
    <row r="32" spans="1:27">
      <c r="A32" s="452"/>
      <c r="B32" s="10" t="s">
        <v>507</v>
      </c>
      <c r="C32" s="10"/>
      <c r="D32" s="131"/>
      <c r="E32" s="64">
        <f t="shared" ref="E32:X32" ca="1" si="10">E30*E31</f>
        <v>20.744672739999995</v>
      </c>
      <c r="F32" s="64">
        <f t="shared" ca="1" si="10"/>
        <v>90.372336390000001</v>
      </c>
      <c r="G32" s="64">
        <f t="shared" ca="1" si="10"/>
        <v>160.00000003</v>
      </c>
      <c r="H32" s="64">
        <f t="shared" ca="1" si="10"/>
        <v>178.16249104858287</v>
      </c>
      <c r="I32" s="64">
        <f t="shared" ca="1" si="10"/>
        <v>170.90099248525109</v>
      </c>
      <c r="J32" s="64">
        <f t="shared" ca="1" si="10"/>
        <v>159.68277678015039</v>
      </c>
      <c r="K32" s="64">
        <f t="shared" ca="1" si="10"/>
        <v>155.36509858185593</v>
      </c>
      <c r="L32" s="64">
        <f t="shared" ca="1" si="10"/>
        <v>163.17274725652751</v>
      </c>
      <c r="M32" s="64">
        <f t="shared" ca="1" si="10"/>
        <v>176.60484877292501</v>
      </c>
      <c r="N32" s="64">
        <f t="shared" ca="1" si="10"/>
        <v>182.59281783737578</v>
      </c>
      <c r="O32" s="64">
        <f t="shared" ca="1" si="10"/>
        <v>183.81910724014156</v>
      </c>
      <c r="P32" s="64">
        <f t="shared" ca="1" si="10"/>
        <v>185.25201806624966</v>
      </c>
      <c r="Q32" s="64">
        <f t="shared" ca="1" si="10"/>
        <v>186.86810122534209</v>
      </c>
      <c r="R32" s="64">
        <f t="shared" ca="1" si="10"/>
        <v>188.66471696454727</v>
      </c>
      <c r="S32" s="64">
        <f t="shared" ca="1" si="10"/>
        <v>190.72799985022255</v>
      </c>
      <c r="T32" s="64">
        <f t="shared" ca="1" si="10"/>
        <v>192.84547824756919</v>
      </c>
      <c r="U32" s="64">
        <f t="shared" ca="1" si="10"/>
        <v>195.19801259659778</v>
      </c>
      <c r="V32" s="64">
        <f t="shared" ca="1" si="10"/>
        <v>197.81366217266813</v>
      </c>
      <c r="W32" s="64">
        <f t="shared" ca="1" si="10"/>
        <v>200.5900183150907</v>
      </c>
      <c r="X32" s="64">
        <f t="shared" ca="1" si="10"/>
        <v>203.49395126643492</v>
      </c>
      <c r="Y32" s="64">
        <f ca="1">Y30*Y31</f>
        <v>206.5256659021949</v>
      </c>
      <c r="Z32" s="64">
        <f ca="1">Z30*Z31</f>
        <v>149.10944205300063</v>
      </c>
      <c r="AA32" s="483">
        <f ca="1">SUM(D32:Z32)</f>
        <v>3738.5069558227283</v>
      </c>
    </row>
    <row r="33" spans="1:27">
      <c r="A33" s="13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416"/>
    </row>
    <row r="34" spans="1:27" s="8" customFormat="1">
      <c r="A34" s="450" t="s">
        <v>493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416"/>
    </row>
    <row r="35" spans="1:27">
      <c r="A35" s="449"/>
      <c r="B35" s="8" t="s">
        <v>494</v>
      </c>
      <c r="C35" s="8"/>
      <c r="D35" s="19" t="s">
        <v>479</v>
      </c>
      <c r="E35" s="53">
        <f>-SUM(Returns!$D$48:D$49)</f>
        <v>0</v>
      </c>
      <c r="F35" s="53">
        <f ca="1">-SUM(Returns!$D$48:E$49)</f>
        <v>0</v>
      </c>
      <c r="G35" s="53">
        <f ca="1">-SUM(Returns!$D$48:F$49)</f>
        <v>13407.432599872272</v>
      </c>
      <c r="H35" s="53">
        <f ca="1">-SUM(Returns!$D$48:G$49)</f>
        <v>0</v>
      </c>
      <c r="I35" s="53">
        <f ca="1">-SUM(Returns!$D$48:H$49)</f>
        <v>0</v>
      </c>
      <c r="J35" s="53">
        <f ca="1">-SUM(Returns!$D$48:I$49)</f>
        <v>0</v>
      </c>
      <c r="K35" s="53">
        <f ca="1">-SUM(Returns!$D$48:J$49)</f>
        <v>0</v>
      </c>
      <c r="L35" s="53">
        <f ca="1">-SUM(Returns!$D$48:K$49)</f>
        <v>0</v>
      </c>
      <c r="M35" s="53">
        <f ca="1">-SUM(Returns!$D$48:L$49)</f>
        <v>0</v>
      </c>
      <c r="N35" s="53">
        <f ca="1">-SUM(Returns!$D$48:M$49)</f>
        <v>0</v>
      </c>
      <c r="O35" s="53">
        <f ca="1">-SUM(Returns!$D$48:N$49)</f>
        <v>0</v>
      </c>
      <c r="P35" s="53">
        <f ca="1">-SUM(Returns!$D$48:O$49)</f>
        <v>0</v>
      </c>
      <c r="Q35" s="53">
        <f ca="1">-SUM(Returns!$D$48:P$49)</f>
        <v>0</v>
      </c>
      <c r="R35" s="53">
        <f ca="1">-SUM(Returns!$D$48:Q$49)</f>
        <v>0</v>
      </c>
      <c r="S35" s="53">
        <f ca="1">-SUM(Returns!$D$48:R$49)</f>
        <v>0</v>
      </c>
      <c r="T35" s="53">
        <f ca="1">-SUM(Returns!$D$48:S$49)</f>
        <v>0</v>
      </c>
      <c r="U35" s="53">
        <f ca="1">-SUM(Returns!$D$48:T$49)</f>
        <v>0</v>
      </c>
      <c r="V35" s="53">
        <f ca="1">-SUM(Returns!$D$48:U$49)</f>
        <v>0</v>
      </c>
      <c r="W35" s="53">
        <f ca="1">-SUM(Returns!$D$48:V$49)</f>
        <v>0</v>
      </c>
      <c r="X35" s="53">
        <f ca="1">-SUM(Returns!$D$48:W$49)</f>
        <v>0</v>
      </c>
      <c r="Y35" s="53">
        <f ca="1">-SUM(Returns!$D$48:X$49)</f>
        <v>0</v>
      </c>
      <c r="Z35" s="53">
        <f ca="1">-SUM(Returns!$D$48:Y$49)</f>
        <v>0</v>
      </c>
      <c r="AA35" s="416"/>
    </row>
    <row r="36" spans="1:27">
      <c r="A36" s="449"/>
      <c r="B36" s="8" t="s">
        <v>495</v>
      </c>
      <c r="C36" s="8"/>
      <c r="D36" s="19" t="s">
        <v>480</v>
      </c>
      <c r="E36" s="53">
        <f ca="1">-SUM(Returns!$E$48:E$49)</f>
        <v>0</v>
      </c>
      <c r="F36" s="53">
        <f ca="1">-SUM(Returns!$E$48:F$49)</f>
        <v>13407.432599872272</v>
      </c>
      <c r="G36" s="53">
        <f ca="1">-SUM(Returns!$E$48:G$49)</f>
        <v>0</v>
      </c>
      <c r="H36" s="53">
        <f ca="1">-SUM(Returns!$E$48:H$49)</f>
        <v>0</v>
      </c>
      <c r="I36" s="53">
        <f ca="1">-SUM(Returns!$E$48:I$49)</f>
        <v>0</v>
      </c>
      <c r="J36" s="53">
        <f ca="1">-SUM(Returns!$E$48:J$49)</f>
        <v>0</v>
      </c>
      <c r="K36" s="53">
        <f ca="1">-SUM(Returns!$E$48:K$49)</f>
        <v>0</v>
      </c>
      <c r="L36" s="53">
        <f ca="1">-SUM(Returns!$E$48:L$49)</f>
        <v>0</v>
      </c>
      <c r="M36" s="53">
        <f ca="1">-SUM(Returns!$E$48:M$49)</f>
        <v>0</v>
      </c>
      <c r="N36" s="53">
        <f ca="1">-SUM(Returns!$E$48:N$49)</f>
        <v>0</v>
      </c>
      <c r="O36" s="53">
        <f ca="1">-SUM(Returns!$E$48:O$49)</f>
        <v>0</v>
      </c>
      <c r="P36" s="53">
        <f ca="1">-SUM(Returns!$E$48:P$49)</f>
        <v>0</v>
      </c>
      <c r="Q36" s="53">
        <f ca="1">-SUM(Returns!$E$48:Q$49)</f>
        <v>0</v>
      </c>
      <c r="R36" s="53">
        <f ca="1">-SUM(Returns!$E$48:R$49)</f>
        <v>0</v>
      </c>
      <c r="S36" s="53">
        <f ca="1">-SUM(Returns!$E$48:S$49)</f>
        <v>0</v>
      </c>
      <c r="T36" s="53">
        <f ca="1">-SUM(Returns!$E$48:T$49)</f>
        <v>0</v>
      </c>
      <c r="U36" s="53">
        <f ca="1">-SUM(Returns!$E$48:U$49)</f>
        <v>0</v>
      </c>
      <c r="V36" s="53">
        <f ca="1">-SUM(Returns!$E$48:V$49)</f>
        <v>0</v>
      </c>
      <c r="W36" s="53">
        <f ca="1">-SUM(Returns!$E$48:W$49)</f>
        <v>0</v>
      </c>
      <c r="X36" s="53">
        <f ca="1">-SUM(Returns!$E$48:X$49)</f>
        <v>0</v>
      </c>
      <c r="Y36" s="53">
        <f ca="1">-SUM(Returns!$E$48:Y$49)</f>
        <v>0</v>
      </c>
      <c r="Z36" s="53">
        <f ca="1">-SUM(Returns!$E$48:Z$49)</f>
        <v>0</v>
      </c>
      <c r="AA36" s="416"/>
    </row>
    <row r="37" spans="1:27">
      <c r="A37" s="449"/>
      <c r="C37" s="8"/>
      <c r="D37" s="12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416"/>
    </row>
    <row r="38" spans="1:27">
      <c r="A38" s="449"/>
      <c r="B38" s="8" t="s">
        <v>482</v>
      </c>
      <c r="C38" s="8"/>
      <c r="D38" s="19" t="s">
        <v>489</v>
      </c>
      <c r="E38" s="53">
        <f t="shared" ref="E38:Z38" ca="1" si="11">IF(MAX(E$35,E$36)&lt;0,0,MAX(E$35,E$36))</f>
        <v>0</v>
      </c>
      <c r="F38" s="53">
        <f t="shared" ca="1" si="11"/>
        <v>13407.432599872272</v>
      </c>
      <c r="G38" s="53">
        <f t="shared" ca="1" si="11"/>
        <v>13407.432599872272</v>
      </c>
      <c r="H38" s="53">
        <f t="shared" ca="1" si="11"/>
        <v>0</v>
      </c>
      <c r="I38" s="53">
        <f t="shared" ca="1" si="11"/>
        <v>0</v>
      </c>
      <c r="J38" s="53">
        <f t="shared" ca="1" si="11"/>
        <v>0</v>
      </c>
      <c r="K38" s="53">
        <f t="shared" ca="1" si="11"/>
        <v>0</v>
      </c>
      <c r="L38" s="53">
        <f t="shared" ca="1" si="11"/>
        <v>0</v>
      </c>
      <c r="M38" s="53">
        <f t="shared" ca="1" si="11"/>
        <v>0</v>
      </c>
      <c r="N38" s="53">
        <f t="shared" ca="1" si="11"/>
        <v>0</v>
      </c>
      <c r="O38" s="53">
        <f t="shared" ca="1" si="11"/>
        <v>0</v>
      </c>
      <c r="P38" s="53">
        <f t="shared" ca="1" si="11"/>
        <v>0</v>
      </c>
      <c r="Q38" s="53">
        <f t="shared" ca="1" si="11"/>
        <v>0</v>
      </c>
      <c r="R38" s="53">
        <f t="shared" ca="1" si="11"/>
        <v>0</v>
      </c>
      <c r="S38" s="53">
        <f t="shared" ca="1" si="11"/>
        <v>0</v>
      </c>
      <c r="T38" s="53">
        <f t="shared" ca="1" si="11"/>
        <v>0</v>
      </c>
      <c r="U38" s="53">
        <f t="shared" ca="1" si="11"/>
        <v>0</v>
      </c>
      <c r="V38" s="53">
        <f t="shared" ca="1" si="11"/>
        <v>0</v>
      </c>
      <c r="W38" s="53">
        <f t="shared" ca="1" si="11"/>
        <v>0</v>
      </c>
      <c r="X38" s="53">
        <f t="shared" ca="1" si="11"/>
        <v>0</v>
      </c>
      <c r="Y38" s="53">
        <f t="shared" ca="1" si="11"/>
        <v>0</v>
      </c>
      <c r="Z38" s="53">
        <f t="shared" ca="1" si="11"/>
        <v>0</v>
      </c>
      <c r="AA38" s="416"/>
    </row>
    <row r="39" spans="1:27">
      <c r="A39" s="449"/>
      <c r="B39" s="8" t="s">
        <v>488</v>
      </c>
      <c r="C39" s="8"/>
      <c r="D39" s="19" t="s">
        <v>490</v>
      </c>
      <c r="E39" s="53">
        <f t="shared" ref="E39:Z39" ca="1" si="12">IF(MIN(E$35,E$36)&lt;0,0,MIN(E$35,E$36))</f>
        <v>0</v>
      </c>
      <c r="F39" s="53">
        <f t="shared" ca="1" si="12"/>
        <v>0</v>
      </c>
      <c r="G39" s="53">
        <f t="shared" ca="1" si="12"/>
        <v>0</v>
      </c>
      <c r="H39" s="53">
        <f t="shared" ca="1" si="12"/>
        <v>0</v>
      </c>
      <c r="I39" s="53">
        <f t="shared" ca="1" si="12"/>
        <v>0</v>
      </c>
      <c r="J39" s="53">
        <f t="shared" ca="1" si="12"/>
        <v>0</v>
      </c>
      <c r="K39" s="53">
        <f t="shared" ca="1" si="12"/>
        <v>0</v>
      </c>
      <c r="L39" s="53">
        <f t="shared" ca="1" si="12"/>
        <v>0</v>
      </c>
      <c r="M39" s="53">
        <f t="shared" ca="1" si="12"/>
        <v>0</v>
      </c>
      <c r="N39" s="53">
        <f t="shared" ca="1" si="12"/>
        <v>0</v>
      </c>
      <c r="O39" s="53">
        <f t="shared" ca="1" si="12"/>
        <v>0</v>
      </c>
      <c r="P39" s="53">
        <f t="shared" ca="1" si="12"/>
        <v>0</v>
      </c>
      <c r="Q39" s="53">
        <f t="shared" ca="1" si="12"/>
        <v>0</v>
      </c>
      <c r="R39" s="53">
        <f t="shared" ca="1" si="12"/>
        <v>0</v>
      </c>
      <c r="S39" s="53">
        <f t="shared" ca="1" si="12"/>
        <v>0</v>
      </c>
      <c r="T39" s="53">
        <f t="shared" ca="1" si="12"/>
        <v>0</v>
      </c>
      <c r="U39" s="53">
        <f t="shared" ca="1" si="12"/>
        <v>0</v>
      </c>
      <c r="V39" s="53">
        <f t="shared" ca="1" si="12"/>
        <v>0</v>
      </c>
      <c r="W39" s="53">
        <f t="shared" ca="1" si="12"/>
        <v>0</v>
      </c>
      <c r="X39" s="53">
        <f t="shared" ca="1" si="12"/>
        <v>0</v>
      </c>
      <c r="Y39" s="53">
        <f t="shared" ca="1" si="12"/>
        <v>0</v>
      </c>
      <c r="Z39" s="53">
        <f t="shared" ca="1" si="12"/>
        <v>0</v>
      </c>
      <c r="AA39" s="416"/>
    </row>
    <row r="40" spans="1:27">
      <c r="A40" s="13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416"/>
    </row>
    <row r="41" spans="1:27">
      <c r="A41" s="449"/>
      <c r="B41" s="8" t="s">
        <v>491</v>
      </c>
      <c r="C41" s="8"/>
      <c r="D41" s="128"/>
      <c r="E41" s="53">
        <f t="shared" ref="E41:X41" ca="1" si="13">((E38*2)+E39)/3</f>
        <v>0</v>
      </c>
      <c r="F41" s="53">
        <f t="shared" ca="1" si="13"/>
        <v>8938.2883999148489</v>
      </c>
      <c r="G41" s="53">
        <f t="shared" ca="1" si="13"/>
        <v>8938.2883999148489</v>
      </c>
      <c r="H41" s="53">
        <f t="shared" ca="1" si="13"/>
        <v>0</v>
      </c>
      <c r="I41" s="53">
        <f t="shared" ca="1" si="13"/>
        <v>0</v>
      </c>
      <c r="J41" s="53">
        <f t="shared" ca="1" si="13"/>
        <v>0</v>
      </c>
      <c r="K41" s="53">
        <f t="shared" ca="1" si="13"/>
        <v>0</v>
      </c>
      <c r="L41" s="53">
        <f t="shared" ca="1" si="13"/>
        <v>0</v>
      </c>
      <c r="M41" s="53">
        <f t="shared" ca="1" si="13"/>
        <v>0</v>
      </c>
      <c r="N41" s="53">
        <f t="shared" ca="1" si="13"/>
        <v>0</v>
      </c>
      <c r="O41" s="53">
        <f t="shared" ca="1" si="13"/>
        <v>0</v>
      </c>
      <c r="P41" s="53">
        <f t="shared" ca="1" si="13"/>
        <v>0</v>
      </c>
      <c r="Q41" s="53">
        <f t="shared" ca="1" si="13"/>
        <v>0</v>
      </c>
      <c r="R41" s="53">
        <f t="shared" ca="1" si="13"/>
        <v>0</v>
      </c>
      <c r="S41" s="53">
        <f t="shared" ca="1" si="13"/>
        <v>0</v>
      </c>
      <c r="T41" s="53">
        <f t="shared" ca="1" si="13"/>
        <v>0</v>
      </c>
      <c r="U41" s="53">
        <f t="shared" ca="1" si="13"/>
        <v>0</v>
      </c>
      <c r="V41" s="53">
        <f t="shared" ca="1" si="13"/>
        <v>0</v>
      </c>
      <c r="W41" s="53">
        <f t="shared" ca="1" si="13"/>
        <v>0</v>
      </c>
      <c r="X41" s="53">
        <f t="shared" ca="1" si="13"/>
        <v>0</v>
      </c>
      <c r="Y41" s="53">
        <f ca="1">((Y38*2)+Y39)/3</f>
        <v>0</v>
      </c>
      <c r="Z41" s="53">
        <f ca="1">((Z38*2)+Z39)/3</f>
        <v>0</v>
      </c>
      <c r="AA41" s="416"/>
    </row>
    <row r="42" spans="1:27">
      <c r="A42" s="449"/>
      <c r="B42" s="8" t="s">
        <v>483</v>
      </c>
      <c r="C42" s="384">
        <f>Opic</f>
        <v>0.01</v>
      </c>
      <c r="D42" s="128"/>
      <c r="E42" s="37">
        <f t="shared" ref="E42:Z42" si="14">$C42</f>
        <v>0.01</v>
      </c>
      <c r="F42" s="37">
        <f t="shared" si="14"/>
        <v>0.01</v>
      </c>
      <c r="G42" s="37">
        <f t="shared" si="14"/>
        <v>0.01</v>
      </c>
      <c r="H42" s="37">
        <f t="shared" si="14"/>
        <v>0.01</v>
      </c>
      <c r="I42" s="37">
        <f t="shared" si="14"/>
        <v>0.01</v>
      </c>
      <c r="J42" s="37">
        <f t="shared" si="14"/>
        <v>0.01</v>
      </c>
      <c r="K42" s="37">
        <f t="shared" si="14"/>
        <v>0.01</v>
      </c>
      <c r="L42" s="37">
        <f t="shared" si="14"/>
        <v>0.01</v>
      </c>
      <c r="M42" s="37">
        <f t="shared" si="14"/>
        <v>0.01</v>
      </c>
      <c r="N42" s="37">
        <f t="shared" si="14"/>
        <v>0.01</v>
      </c>
      <c r="O42" s="37">
        <f t="shared" si="14"/>
        <v>0.01</v>
      </c>
      <c r="P42" s="37">
        <f t="shared" si="14"/>
        <v>0.01</v>
      </c>
      <c r="Q42" s="37">
        <f t="shared" si="14"/>
        <v>0.01</v>
      </c>
      <c r="R42" s="37">
        <f t="shared" si="14"/>
        <v>0.01</v>
      </c>
      <c r="S42" s="37">
        <f t="shared" si="14"/>
        <v>0.01</v>
      </c>
      <c r="T42" s="37">
        <f t="shared" si="14"/>
        <v>0.01</v>
      </c>
      <c r="U42" s="37">
        <f t="shared" si="14"/>
        <v>0.01</v>
      </c>
      <c r="V42" s="37">
        <f t="shared" si="14"/>
        <v>0.01</v>
      </c>
      <c r="W42" s="37">
        <f t="shared" si="14"/>
        <v>0.01</v>
      </c>
      <c r="X42" s="37">
        <f t="shared" si="14"/>
        <v>0.01</v>
      </c>
      <c r="Y42" s="37">
        <f t="shared" si="14"/>
        <v>0.01</v>
      </c>
      <c r="Z42" s="37">
        <f t="shared" si="14"/>
        <v>0.01</v>
      </c>
      <c r="AA42" s="416"/>
    </row>
    <row r="43" spans="1:27">
      <c r="A43" s="452"/>
      <c r="B43" s="10" t="s">
        <v>506</v>
      </c>
      <c r="C43" s="10"/>
      <c r="D43" s="131"/>
      <c r="E43" s="64">
        <f t="shared" ref="E43:X43" ca="1" si="15">E41*E42</f>
        <v>0</v>
      </c>
      <c r="F43" s="64">
        <f t="shared" ca="1" si="15"/>
        <v>89.38288399914849</v>
      </c>
      <c r="G43" s="64">
        <f t="shared" ca="1" si="15"/>
        <v>89.38288399914849</v>
      </c>
      <c r="H43" s="64">
        <f t="shared" ca="1" si="15"/>
        <v>0</v>
      </c>
      <c r="I43" s="64">
        <f t="shared" ca="1" si="15"/>
        <v>0</v>
      </c>
      <c r="J43" s="64">
        <f t="shared" ca="1" si="15"/>
        <v>0</v>
      </c>
      <c r="K43" s="64">
        <f t="shared" ca="1" si="15"/>
        <v>0</v>
      </c>
      <c r="L43" s="64">
        <f t="shared" ca="1" si="15"/>
        <v>0</v>
      </c>
      <c r="M43" s="64">
        <f t="shared" ca="1" si="15"/>
        <v>0</v>
      </c>
      <c r="N43" s="64">
        <f t="shared" ca="1" si="15"/>
        <v>0</v>
      </c>
      <c r="O43" s="64">
        <f t="shared" ca="1" si="15"/>
        <v>0</v>
      </c>
      <c r="P43" s="64">
        <f t="shared" ca="1" si="15"/>
        <v>0</v>
      </c>
      <c r="Q43" s="64">
        <f t="shared" ca="1" si="15"/>
        <v>0</v>
      </c>
      <c r="R43" s="64">
        <f t="shared" ca="1" si="15"/>
        <v>0</v>
      </c>
      <c r="S43" s="64">
        <f t="shared" ca="1" si="15"/>
        <v>0</v>
      </c>
      <c r="T43" s="64">
        <f t="shared" ca="1" si="15"/>
        <v>0</v>
      </c>
      <c r="U43" s="64">
        <f t="shared" ca="1" si="15"/>
        <v>0</v>
      </c>
      <c r="V43" s="64">
        <f t="shared" ca="1" si="15"/>
        <v>0</v>
      </c>
      <c r="W43" s="64">
        <f t="shared" ca="1" si="15"/>
        <v>0</v>
      </c>
      <c r="X43" s="64">
        <f t="shared" ca="1" si="15"/>
        <v>0</v>
      </c>
      <c r="Y43" s="64">
        <f ca="1">Y41*Y42</f>
        <v>0</v>
      </c>
      <c r="Z43" s="64">
        <f ca="1">Z41*Z42</f>
        <v>0</v>
      </c>
      <c r="AA43" s="483">
        <f ca="1">SUM(D43:Z43)</f>
        <v>178.76576799829698</v>
      </c>
    </row>
    <row r="44" spans="1:27">
      <c r="A44" s="449"/>
      <c r="C44" s="8"/>
      <c r="D44" s="128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420"/>
    </row>
    <row r="45" spans="1:27">
      <c r="A45" s="450" t="s">
        <v>1142</v>
      </c>
      <c r="C45" s="8"/>
      <c r="D45" s="128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420"/>
    </row>
    <row r="46" spans="1:27">
      <c r="A46" s="449"/>
      <c r="B46" s="8" t="s">
        <v>1143</v>
      </c>
      <c r="C46" s="8"/>
      <c r="D46" s="19" t="s">
        <v>479</v>
      </c>
      <c r="E46" s="53">
        <f>-SUM(Returns!$D$64:D$65)</f>
        <v>0</v>
      </c>
      <c r="F46" s="53">
        <f ca="1">-SUM(Returns!$D$64:E$65)</f>
        <v>0</v>
      </c>
      <c r="G46" s="53">
        <f ca="1">-SUM(Returns!$D$64:F$65)</f>
        <v>0</v>
      </c>
      <c r="H46" s="53">
        <f ca="1">-SUM(Returns!$D$64:G$65)</f>
        <v>728.53413947890635</v>
      </c>
      <c r="I46" s="53">
        <f ca="1">-SUM(Returns!$D$64:H$65)</f>
        <v>742.09109885570479</v>
      </c>
      <c r="J46" s="53">
        <f ca="1">-SUM(Returns!$D$64:I$65)</f>
        <v>708.85110433022305</v>
      </c>
      <c r="K46" s="53">
        <f ca="1">-SUM(Returns!$D$64:J$65)</f>
        <v>671.14947153955848</v>
      </c>
      <c r="L46" s="53">
        <f ca="1">-SUM(Returns!$D$64:K$65)</f>
        <v>628.38733708756695</v>
      </c>
      <c r="M46" s="53">
        <f ca="1">-SUM(Returns!$D$64:L$65)</f>
        <v>579.88545513875692</v>
      </c>
      <c r="N46" s="53">
        <f ca="1">-SUM(Returns!$D$64:M$65)</f>
        <v>524.87340808536783</v>
      </c>
      <c r="O46" s="53">
        <f ca="1">-SUM(Returns!$D$64:N$65)</f>
        <v>462.47736901623762</v>
      </c>
      <c r="P46" s="53">
        <f ca="1">-SUM(Returns!$D$64:O$65)</f>
        <v>391.70622160305345</v>
      </c>
      <c r="Q46" s="53">
        <f ca="1">-SUM(Returns!$D$64:P$65)</f>
        <v>311.43581692833465</v>
      </c>
      <c r="R46" s="53">
        <f ca="1">-SUM(Returns!$D$64:Q$65)</f>
        <v>220.39111718615177</v>
      </c>
      <c r="S46" s="53">
        <f ca="1">-SUM(Returns!$D$64:R$65)</f>
        <v>117.12594262107446</v>
      </c>
      <c r="T46" s="53">
        <f ca="1">-SUM(Returns!$D$64:S$65)</f>
        <v>0</v>
      </c>
      <c r="U46" s="53">
        <f ca="1">-SUM(Returns!$D$64:T$65)</f>
        <v>-8.5265128291212022E-14</v>
      </c>
      <c r="V46" s="53">
        <f ca="1">-SUM(Returns!$D$64:U$65)</f>
        <v>-8.5265128291212022E-14</v>
      </c>
      <c r="W46" s="53">
        <f ca="1">-SUM(Returns!$D$64:V$65)</f>
        <v>-8.5265128291212022E-14</v>
      </c>
      <c r="X46" s="53">
        <f ca="1">-SUM(Returns!$D$64:W$65)</f>
        <v>-8.5265128291212022E-14</v>
      </c>
      <c r="Y46" s="53">
        <f ca="1">-SUM(Returns!$D$64:X$65)</f>
        <v>-8.5265128291212022E-14</v>
      </c>
      <c r="Z46" s="53">
        <f ca="1">-SUM(Returns!$D$64:Y$65)</f>
        <v>-8.5265128291212022E-14</v>
      </c>
      <c r="AA46" s="416"/>
    </row>
    <row r="47" spans="1:27">
      <c r="A47" s="449"/>
      <c r="B47" s="8" t="s">
        <v>1144</v>
      </c>
      <c r="C47" s="8"/>
      <c r="D47" s="19" t="s">
        <v>480</v>
      </c>
      <c r="E47" s="53">
        <f ca="1">-SUM(Returns!$E$64:E$65)</f>
        <v>0</v>
      </c>
      <c r="F47" s="53">
        <f ca="1">-SUM(Returns!$E$64:F$65)</f>
        <v>0</v>
      </c>
      <c r="G47" s="53">
        <f ca="1">-SUM(Returns!$E$64:G$65)</f>
        <v>728.53413947890635</v>
      </c>
      <c r="H47" s="53">
        <f ca="1">-SUM(Returns!$E$64:H$65)</f>
        <v>742.09109885570479</v>
      </c>
      <c r="I47" s="53">
        <f ca="1">-SUM(Returns!$E$64:I$65)</f>
        <v>708.85110433022305</v>
      </c>
      <c r="J47" s="53">
        <f ca="1">-SUM(Returns!$E$64:J$65)</f>
        <v>671.14947153955848</v>
      </c>
      <c r="K47" s="53">
        <f ca="1">-SUM(Returns!$E$64:K$65)</f>
        <v>628.38733708756695</v>
      </c>
      <c r="L47" s="53">
        <f ca="1">-SUM(Returns!$E$64:L$65)</f>
        <v>579.88545513875692</v>
      </c>
      <c r="M47" s="53">
        <f ca="1">-SUM(Returns!$E$64:M$65)</f>
        <v>524.87340808536783</v>
      </c>
      <c r="N47" s="53">
        <f ca="1">-SUM(Returns!$E$64:N$65)</f>
        <v>462.47736901623762</v>
      </c>
      <c r="O47" s="53">
        <f ca="1">-SUM(Returns!$E$64:O$65)</f>
        <v>391.70622160305345</v>
      </c>
      <c r="P47" s="53">
        <f ca="1">-SUM(Returns!$E$64:P$65)</f>
        <v>311.43581692833465</v>
      </c>
      <c r="Q47" s="53">
        <f ca="1">-SUM(Returns!$E$64:Q$65)</f>
        <v>220.39111718615177</v>
      </c>
      <c r="R47" s="53">
        <f ca="1">-SUM(Returns!$E$64:R$65)</f>
        <v>117.12594262107446</v>
      </c>
      <c r="S47" s="53">
        <f ca="1">-SUM(Returns!$E$64:S$65)</f>
        <v>0</v>
      </c>
      <c r="T47" s="53">
        <f ca="1">-SUM(Returns!$E$64:T$65)</f>
        <v>-8.5265128291212022E-14</v>
      </c>
      <c r="U47" s="53">
        <f ca="1">-SUM(Returns!$E$64:U$65)</f>
        <v>-8.5265128291212022E-14</v>
      </c>
      <c r="V47" s="53">
        <f ca="1">-SUM(Returns!$E$64:V$65)</f>
        <v>-8.5265128291212022E-14</v>
      </c>
      <c r="W47" s="53">
        <f ca="1">-SUM(Returns!$E$64:W$65)</f>
        <v>-8.5265128291212022E-14</v>
      </c>
      <c r="X47" s="53">
        <f ca="1">-SUM(Returns!$E$64:X$65)</f>
        <v>-8.5265128291212022E-14</v>
      </c>
      <c r="Y47" s="53">
        <f ca="1">-SUM(Returns!$E$64:Y$65)</f>
        <v>-8.5265128291212022E-14</v>
      </c>
      <c r="Z47" s="53">
        <f ca="1">-SUM(Returns!$E$64:Z$65)</f>
        <v>-8.5265128291212022E-14</v>
      </c>
      <c r="AA47" s="416"/>
    </row>
    <row r="48" spans="1:27">
      <c r="A48" s="449"/>
      <c r="C48" s="8"/>
      <c r="D48" s="128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416"/>
    </row>
    <row r="49" spans="1:27">
      <c r="A49" s="449"/>
      <c r="B49" s="8" t="s">
        <v>482</v>
      </c>
      <c r="C49" s="8"/>
      <c r="D49" s="19" t="s">
        <v>489</v>
      </c>
      <c r="E49" s="53">
        <f ca="1">IF(MAX(E$46,E$47)&lt;0,0,MAX(E$46,E$47))</f>
        <v>0</v>
      </c>
      <c r="F49" s="53">
        <f t="shared" ref="F49:Z49" ca="1" si="16">IF(MAX(F$46,F$47)&lt;0,0,MAX(F$46,F$47))</f>
        <v>0</v>
      </c>
      <c r="G49" s="53">
        <f t="shared" ca="1" si="16"/>
        <v>728.53413947890635</v>
      </c>
      <c r="H49" s="53">
        <f t="shared" ca="1" si="16"/>
        <v>742.09109885570479</v>
      </c>
      <c r="I49" s="53">
        <f t="shared" ca="1" si="16"/>
        <v>742.09109885570479</v>
      </c>
      <c r="J49" s="53">
        <f t="shared" ca="1" si="16"/>
        <v>708.85110433022305</v>
      </c>
      <c r="K49" s="53">
        <f t="shared" ca="1" si="16"/>
        <v>671.14947153955848</v>
      </c>
      <c r="L49" s="53">
        <f t="shared" ca="1" si="16"/>
        <v>628.38733708756695</v>
      </c>
      <c r="M49" s="53">
        <f t="shared" ca="1" si="16"/>
        <v>579.88545513875692</v>
      </c>
      <c r="N49" s="53">
        <f t="shared" ca="1" si="16"/>
        <v>524.87340808536783</v>
      </c>
      <c r="O49" s="53">
        <f t="shared" ca="1" si="16"/>
        <v>462.47736901623762</v>
      </c>
      <c r="P49" s="53">
        <f t="shared" ca="1" si="16"/>
        <v>391.70622160305345</v>
      </c>
      <c r="Q49" s="53">
        <f t="shared" ca="1" si="16"/>
        <v>311.43581692833465</v>
      </c>
      <c r="R49" s="53">
        <f t="shared" ca="1" si="16"/>
        <v>220.39111718615177</v>
      </c>
      <c r="S49" s="53">
        <f t="shared" ca="1" si="16"/>
        <v>117.12594262107446</v>
      </c>
      <c r="T49" s="53">
        <f t="shared" ca="1" si="16"/>
        <v>0</v>
      </c>
      <c r="U49" s="53">
        <f t="shared" ca="1" si="16"/>
        <v>0</v>
      </c>
      <c r="V49" s="53">
        <f t="shared" ca="1" si="16"/>
        <v>0</v>
      </c>
      <c r="W49" s="53">
        <f t="shared" ca="1" si="16"/>
        <v>0</v>
      </c>
      <c r="X49" s="53">
        <f t="shared" ca="1" si="16"/>
        <v>0</v>
      </c>
      <c r="Y49" s="53">
        <f t="shared" ca="1" si="16"/>
        <v>0</v>
      </c>
      <c r="Z49" s="53">
        <f t="shared" ca="1" si="16"/>
        <v>0</v>
      </c>
      <c r="AA49" s="416"/>
    </row>
    <row r="50" spans="1:27">
      <c r="A50" s="449"/>
      <c r="B50" s="8" t="s">
        <v>488</v>
      </c>
      <c r="C50" s="8"/>
      <c r="D50" s="19" t="s">
        <v>490</v>
      </c>
      <c r="E50" s="53">
        <f ca="1">IF(MIN(E$46,E$47)&lt;0,0,MIN(E$46,E$47))</f>
        <v>0</v>
      </c>
      <c r="F50" s="53">
        <f t="shared" ref="F50:Z50" ca="1" si="17">IF(MIN(F$46,F$47)&lt;0,0,MIN(F$46,F$47))</f>
        <v>0</v>
      </c>
      <c r="G50" s="53">
        <f t="shared" ca="1" si="17"/>
        <v>0</v>
      </c>
      <c r="H50" s="53">
        <f t="shared" ca="1" si="17"/>
        <v>728.53413947890635</v>
      </c>
      <c r="I50" s="53">
        <f t="shared" ca="1" si="17"/>
        <v>708.85110433022305</v>
      </c>
      <c r="J50" s="53">
        <f t="shared" ca="1" si="17"/>
        <v>671.14947153955848</v>
      </c>
      <c r="K50" s="53">
        <f t="shared" ca="1" si="17"/>
        <v>628.38733708756695</v>
      </c>
      <c r="L50" s="53">
        <f t="shared" ca="1" si="17"/>
        <v>579.88545513875692</v>
      </c>
      <c r="M50" s="53">
        <f t="shared" ca="1" si="17"/>
        <v>524.87340808536783</v>
      </c>
      <c r="N50" s="53">
        <f t="shared" ca="1" si="17"/>
        <v>462.47736901623762</v>
      </c>
      <c r="O50" s="53">
        <f t="shared" ca="1" si="17"/>
        <v>391.70622160305345</v>
      </c>
      <c r="P50" s="53">
        <f t="shared" ca="1" si="17"/>
        <v>311.43581692833465</v>
      </c>
      <c r="Q50" s="53">
        <f t="shared" ca="1" si="17"/>
        <v>220.39111718615177</v>
      </c>
      <c r="R50" s="53">
        <f t="shared" ca="1" si="17"/>
        <v>117.12594262107446</v>
      </c>
      <c r="S50" s="53">
        <f t="shared" ca="1" si="17"/>
        <v>0</v>
      </c>
      <c r="T50" s="53">
        <f t="shared" ca="1" si="17"/>
        <v>0</v>
      </c>
      <c r="U50" s="53">
        <f t="shared" ca="1" si="17"/>
        <v>0</v>
      </c>
      <c r="V50" s="53">
        <f t="shared" ca="1" si="17"/>
        <v>0</v>
      </c>
      <c r="W50" s="53">
        <f t="shared" ca="1" si="17"/>
        <v>0</v>
      </c>
      <c r="X50" s="53">
        <f t="shared" ca="1" si="17"/>
        <v>0</v>
      </c>
      <c r="Y50" s="53">
        <f t="shared" ca="1" si="17"/>
        <v>0</v>
      </c>
      <c r="Z50" s="53">
        <f t="shared" ca="1" si="17"/>
        <v>0</v>
      </c>
      <c r="AA50" s="416"/>
    </row>
    <row r="51" spans="1:27">
      <c r="A51" s="13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416"/>
    </row>
    <row r="52" spans="1:27">
      <c r="A52" s="449"/>
      <c r="B52" s="8" t="s">
        <v>491</v>
      </c>
      <c r="C52" s="8"/>
      <c r="D52" s="128"/>
      <c r="E52" s="53">
        <f t="shared" ref="E52:X52" ca="1" si="18">((E49*2)+E50)/3</f>
        <v>0</v>
      </c>
      <c r="F52" s="53">
        <f t="shared" ca="1" si="18"/>
        <v>0</v>
      </c>
      <c r="G52" s="53">
        <f t="shared" ca="1" si="18"/>
        <v>485.68942631927092</v>
      </c>
      <c r="H52" s="53">
        <f t="shared" ca="1" si="18"/>
        <v>737.57211239677201</v>
      </c>
      <c r="I52" s="53">
        <f t="shared" ca="1" si="18"/>
        <v>731.01110068054425</v>
      </c>
      <c r="J52" s="53">
        <f t="shared" ca="1" si="18"/>
        <v>696.28389340000149</v>
      </c>
      <c r="K52" s="53">
        <f t="shared" ca="1" si="18"/>
        <v>656.89542672222797</v>
      </c>
      <c r="L52" s="53">
        <f t="shared" ca="1" si="18"/>
        <v>612.22004310463024</v>
      </c>
      <c r="M52" s="53">
        <f t="shared" ca="1" si="18"/>
        <v>561.5481061209606</v>
      </c>
      <c r="N52" s="53">
        <f t="shared" ca="1" si="18"/>
        <v>504.07472839565776</v>
      </c>
      <c r="O52" s="53">
        <f t="shared" ca="1" si="18"/>
        <v>438.88698654517628</v>
      </c>
      <c r="P52" s="53">
        <f t="shared" ca="1" si="18"/>
        <v>364.94942004481385</v>
      </c>
      <c r="Q52" s="53">
        <f t="shared" ca="1" si="18"/>
        <v>281.08758368094033</v>
      </c>
      <c r="R52" s="53">
        <f t="shared" ca="1" si="18"/>
        <v>185.96939233112599</v>
      </c>
      <c r="S52" s="53">
        <f t="shared" ca="1" si="18"/>
        <v>78.083961747382972</v>
      </c>
      <c r="T52" s="53">
        <f t="shared" ca="1" si="18"/>
        <v>0</v>
      </c>
      <c r="U52" s="53">
        <f t="shared" ca="1" si="18"/>
        <v>0</v>
      </c>
      <c r="V52" s="53">
        <f t="shared" ca="1" si="18"/>
        <v>0</v>
      </c>
      <c r="W52" s="53">
        <f t="shared" ca="1" si="18"/>
        <v>0</v>
      </c>
      <c r="X52" s="53">
        <f t="shared" ca="1" si="18"/>
        <v>0</v>
      </c>
      <c r="Y52" s="53">
        <f ca="1">((Y49*2)+Y50)/3</f>
        <v>0</v>
      </c>
      <c r="Z52" s="53">
        <f ca="1">((Z49*2)+Z50)/3</f>
        <v>0</v>
      </c>
      <c r="AA52" s="416"/>
    </row>
    <row r="53" spans="1:27">
      <c r="A53" s="449"/>
      <c r="B53" s="8" t="s">
        <v>483</v>
      </c>
      <c r="C53" s="384">
        <f>Opic</f>
        <v>0.01</v>
      </c>
      <c r="D53" s="128"/>
      <c r="E53" s="37">
        <f t="shared" ref="E53:Z53" si="19">$C53</f>
        <v>0.01</v>
      </c>
      <c r="F53" s="37">
        <f t="shared" si="19"/>
        <v>0.01</v>
      </c>
      <c r="G53" s="37">
        <f t="shared" si="19"/>
        <v>0.01</v>
      </c>
      <c r="H53" s="37">
        <f t="shared" si="19"/>
        <v>0.01</v>
      </c>
      <c r="I53" s="37">
        <f t="shared" si="19"/>
        <v>0.01</v>
      </c>
      <c r="J53" s="37">
        <f t="shared" si="19"/>
        <v>0.01</v>
      </c>
      <c r="K53" s="37">
        <f t="shared" si="19"/>
        <v>0.01</v>
      </c>
      <c r="L53" s="37">
        <f t="shared" si="19"/>
        <v>0.01</v>
      </c>
      <c r="M53" s="37">
        <f t="shared" si="19"/>
        <v>0.01</v>
      </c>
      <c r="N53" s="37">
        <f t="shared" si="19"/>
        <v>0.01</v>
      </c>
      <c r="O53" s="37">
        <f t="shared" si="19"/>
        <v>0.01</v>
      </c>
      <c r="P53" s="37">
        <f t="shared" si="19"/>
        <v>0.01</v>
      </c>
      <c r="Q53" s="37">
        <f t="shared" si="19"/>
        <v>0.01</v>
      </c>
      <c r="R53" s="37">
        <f t="shared" si="19"/>
        <v>0.01</v>
      </c>
      <c r="S53" s="37">
        <f t="shared" si="19"/>
        <v>0.01</v>
      </c>
      <c r="T53" s="37">
        <f t="shared" si="19"/>
        <v>0.01</v>
      </c>
      <c r="U53" s="37">
        <f t="shared" si="19"/>
        <v>0.01</v>
      </c>
      <c r="V53" s="37">
        <f t="shared" si="19"/>
        <v>0.01</v>
      </c>
      <c r="W53" s="37">
        <f t="shared" si="19"/>
        <v>0.01</v>
      </c>
      <c r="X53" s="37">
        <f t="shared" si="19"/>
        <v>0.01</v>
      </c>
      <c r="Y53" s="37">
        <f t="shared" si="19"/>
        <v>0.01</v>
      </c>
      <c r="Z53" s="37">
        <f t="shared" si="19"/>
        <v>0.01</v>
      </c>
      <c r="AA53" s="416"/>
    </row>
    <row r="54" spans="1:27">
      <c r="A54" s="452"/>
      <c r="B54" s="10" t="s">
        <v>1145</v>
      </c>
      <c r="C54" s="10"/>
      <c r="D54" s="131"/>
      <c r="E54" s="64">
        <f t="shared" ref="E54:Z54" ca="1" si="20">E52*E53</f>
        <v>0</v>
      </c>
      <c r="F54" s="64">
        <f t="shared" ca="1" si="20"/>
        <v>0</v>
      </c>
      <c r="G54" s="64">
        <f t="shared" ca="1" si="20"/>
        <v>4.856894263192709</v>
      </c>
      <c r="H54" s="64">
        <f t="shared" ca="1" si="20"/>
        <v>7.3757211239677201</v>
      </c>
      <c r="I54" s="64">
        <f t="shared" ca="1" si="20"/>
        <v>7.3101110068054425</v>
      </c>
      <c r="J54" s="64">
        <f t="shared" ca="1" si="20"/>
        <v>6.9628389340000147</v>
      </c>
      <c r="K54" s="64">
        <f t="shared" ca="1" si="20"/>
        <v>6.5689542672222796</v>
      </c>
      <c r="L54" s="64">
        <f t="shared" ca="1" si="20"/>
        <v>6.1222004310463021</v>
      </c>
      <c r="M54" s="64">
        <f t="shared" ca="1" si="20"/>
        <v>5.6154810612096062</v>
      </c>
      <c r="N54" s="64">
        <f t="shared" ca="1" si="20"/>
        <v>5.0407472839565779</v>
      </c>
      <c r="O54" s="64">
        <f t="shared" ca="1" si="20"/>
        <v>4.3888698654517633</v>
      </c>
      <c r="P54" s="64">
        <f t="shared" ca="1" si="20"/>
        <v>3.6494942004481388</v>
      </c>
      <c r="Q54" s="64">
        <f t="shared" ca="1" si="20"/>
        <v>2.8108758368094033</v>
      </c>
      <c r="R54" s="64">
        <f t="shared" ca="1" si="20"/>
        <v>1.8596939233112599</v>
      </c>
      <c r="S54" s="64">
        <f t="shared" ca="1" si="20"/>
        <v>0.78083961747382968</v>
      </c>
      <c r="T54" s="64">
        <f t="shared" ca="1" si="20"/>
        <v>0</v>
      </c>
      <c r="U54" s="64">
        <f t="shared" ca="1" si="20"/>
        <v>0</v>
      </c>
      <c r="V54" s="64">
        <f t="shared" ca="1" si="20"/>
        <v>0</v>
      </c>
      <c r="W54" s="64">
        <f t="shared" ca="1" si="20"/>
        <v>0</v>
      </c>
      <c r="X54" s="64">
        <f t="shared" ca="1" si="20"/>
        <v>0</v>
      </c>
      <c r="Y54" s="64">
        <f t="shared" ca="1" si="20"/>
        <v>0</v>
      </c>
      <c r="Z54" s="64">
        <f t="shared" ca="1" si="20"/>
        <v>0</v>
      </c>
      <c r="AA54" s="483">
        <f ca="1">SUM(D54:Z54)</f>
        <v>63.342721814895043</v>
      </c>
    </row>
    <row r="55" spans="1:27">
      <c r="A55" s="139"/>
      <c r="C55" s="8"/>
      <c r="D55" s="8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472"/>
    </row>
    <row r="56" spans="1:27">
      <c r="A56" s="74" t="s">
        <v>561</v>
      </c>
      <c r="C56" s="8"/>
      <c r="D56" s="8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472"/>
    </row>
    <row r="57" spans="1:27" s="87" customFormat="1">
      <c r="A57" s="406" t="s">
        <v>155</v>
      </c>
      <c r="B57" s="86"/>
      <c r="C57" s="86"/>
      <c r="D57" s="86"/>
      <c r="E57" s="86"/>
      <c r="F57" s="86"/>
      <c r="G57" s="233">
        <f ca="1">CF!E$46</f>
        <v>0</v>
      </c>
      <c r="H57" s="233">
        <f ca="1">CF!F$46</f>
        <v>-13.275999937924599</v>
      </c>
      <c r="I57" s="233">
        <f ca="1">CF!G$46</f>
        <v>8604.1962980564422</v>
      </c>
      <c r="J57" s="233">
        <f ca="1">CF!H$46</f>
        <v>14220.938045161965</v>
      </c>
      <c r="K57" s="233">
        <f ca="1">CF!I$46</f>
        <v>13565.64099964267</v>
      </c>
      <c r="L57" s="233">
        <f ca="1">CF!J$46</f>
        <v>19099.431253024326</v>
      </c>
      <c r="M57" s="233">
        <f ca="1">CF!K$46</f>
        <v>19379.61484794068</v>
      </c>
      <c r="N57" s="233">
        <f ca="1">CF!L$46</f>
        <v>23437.1491854552</v>
      </c>
      <c r="O57" s="233">
        <f ca="1">CF!M$46</f>
        <v>24344.707667100865</v>
      </c>
      <c r="P57" s="233">
        <f ca="1">CF!N$46</f>
        <v>24485.488092459338</v>
      </c>
      <c r="Q57" s="233">
        <f ca="1">CF!O$46</f>
        <v>25830.153415031691</v>
      </c>
      <c r="R57" s="233">
        <f ca="1">CF!P$46</f>
        <v>26597.155621630889</v>
      </c>
      <c r="S57" s="233">
        <f ca="1">CF!Q$46</f>
        <v>27679.458534726189</v>
      </c>
      <c r="T57" s="233">
        <f ca="1">CF!R$46</f>
        <v>29538.859488661044</v>
      </c>
      <c r="U57" s="233">
        <f ca="1">CF!S$46</f>
        <v>28010.230908751848</v>
      </c>
      <c r="V57" s="233">
        <f ca="1">CF!T$46</f>
        <v>30595.117817383754</v>
      </c>
      <c r="W57" s="233">
        <f ca="1">CF!U$46</f>
        <v>31458.567262612829</v>
      </c>
      <c r="X57" s="233">
        <f ca="1">CF!V$46</f>
        <v>32306.082879734346</v>
      </c>
      <c r="Y57" s="233">
        <f ca="1">CF!W$46</f>
        <v>33381.813610301098</v>
      </c>
      <c r="Z57" s="233">
        <f ca="1">CF!X$46</f>
        <v>34547.704037227639</v>
      </c>
      <c r="AA57" s="484"/>
    </row>
    <row r="58" spans="1:27" s="87" customFormat="1">
      <c r="A58" s="406" t="s">
        <v>460</v>
      </c>
      <c r="B58" s="86"/>
      <c r="C58" s="86"/>
      <c r="D58" s="86"/>
      <c r="E58" s="86"/>
      <c r="F58" s="86"/>
      <c r="G58" s="234">
        <f ca="1">'Debt Amort'!E$14</f>
        <v>0</v>
      </c>
      <c r="H58" s="234">
        <f ca="1">'Debt Amort'!F$14</f>
        <v>0</v>
      </c>
      <c r="I58" s="234">
        <f ca="1">'Debt Amort'!G$14</f>
        <v>4298.9671464881521</v>
      </c>
      <c r="J58" s="234">
        <f ca="1">'Debt Amort'!H$14</f>
        <v>11684.357092642034</v>
      </c>
      <c r="K58" s="234">
        <f ca="1">'Debt Amort'!I$14</f>
        <v>12480.106129243441</v>
      </c>
      <c r="L58" s="234">
        <f ca="1">'Debt Amort'!J$14</f>
        <v>16409.775765858645</v>
      </c>
      <c r="M58" s="234">
        <f ca="1">'Debt Amort'!K$14</f>
        <v>17438.906139139617</v>
      </c>
      <c r="N58" s="234">
        <f ca="1">'Debt Amort'!L$14</f>
        <v>17609.056862487399</v>
      </c>
      <c r="O58" s="234">
        <f ca="1">'Debt Amort'!M$14</f>
        <v>17213.280539692958</v>
      </c>
      <c r="P58" s="234">
        <f ca="1">'Debt Amort'!N$14</f>
        <v>13583.286979713725</v>
      </c>
      <c r="Q58" s="234">
        <f ca="1">'Debt Amort'!O$14</f>
        <v>10364.9625136822</v>
      </c>
      <c r="R58" s="234">
        <f ca="1">'Debt Amort'!P$14</f>
        <v>9776.5591955133859</v>
      </c>
      <c r="S58" s="234">
        <f ca="1">'Debt Amort'!Q$14</f>
        <v>10434.504935617975</v>
      </c>
      <c r="T58" s="234">
        <f ca="1">'Debt Amort'!R$14</f>
        <v>10886.616128748712</v>
      </c>
      <c r="U58" s="234">
        <f ca="1">'Debt Amort'!S$14</f>
        <v>10023.766747948092</v>
      </c>
      <c r="V58" s="234">
        <f ca="1">'Debt Amort'!T$14</f>
        <v>9442.0487336753067</v>
      </c>
      <c r="W58" s="234">
        <f ca="1">'Debt Amort'!U$14</f>
        <v>6269.2564264827279</v>
      </c>
      <c r="X58" s="234">
        <f ca="1">'Debt Amort'!V$14</f>
        <v>0</v>
      </c>
      <c r="Y58" s="234">
        <f ca="1">'Debt Amort'!W$14</f>
        <v>0</v>
      </c>
      <c r="Z58" s="234">
        <f ca="1">'Debt Amort'!X$14</f>
        <v>0</v>
      </c>
      <c r="AA58" s="484"/>
    </row>
    <row r="59" spans="1:27" s="8" customFormat="1">
      <c r="A59" s="139" t="s">
        <v>319</v>
      </c>
      <c r="C59" s="19" t="s">
        <v>461</v>
      </c>
      <c r="G59" s="365" t="str">
        <f t="shared" ref="G59:Z59" ca="1" si="21">IF(G58=0,"N/A",G57/G58)</f>
        <v>N/A</v>
      </c>
      <c r="H59" s="365" t="str">
        <f t="shared" ca="1" si="21"/>
        <v>N/A</v>
      </c>
      <c r="I59" s="365">
        <f t="shared" ca="1" si="21"/>
        <v>2.0014566301315546</v>
      </c>
      <c r="J59" s="365">
        <f t="shared" ca="1" si="21"/>
        <v>1.217092043011702</v>
      </c>
      <c r="K59" s="365">
        <f t="shared" ca="1" si="21"/>
        <v>1.0869812210855803</v>
      </c>
      <c r="L59" s="365">
        <f t="shared" ca="1" si="21"/>
        <v>1.1639056819266016</v>
      </c>
      <c r="M59" s="365">
        <f t="shared" ca="1" si="21"/>
        <v>1.1112861491034329</v>
      </c>
      <c r="N59" s="365">
        <f t="shared" ca="1" si="21"/>
        <v>1.3309712932657622</v>
      </c>
      <c r="O59" s="365">
        <f t="shared" ca="1" si="21"/>
        <v>1.4142979666753932</v>
      </c>
      <c r="P59" s="365">
        <f t="shared" ca="1" si="21"/>
        <v>1.8026187718059523</v>
      </c>
      <c r="Q59" s="365">
        <f t="shared" ca="1" si="21"/>
        <v>2.4920643351034575</v>
      </c>
      <c r="R59" s="365">
        <f t="shared" ca="1" si="21"/>
        <v>2.7205026932007668</v>
      </c>
      <c r="S59" s="365">
        <f t="shared" ca="1" si="21"/>
        <v>2.6526853650950808</v>
      </c>
      <c r="T59" s="365">
        <f t="shared" ca="1" si="21"/>
        <v>2.7133187336932569</v>
      </c>
      <c r="U59" s="365">
        <f t="shared" ca="1" si="21"/>
        <v>2.7943817541929197</v>
      </c>
      <c r="V59" s="365">
        <f t="shared" ca="1" si="21"/>
        <v>3.240305010105009</v>
      </c>
      <c r="W59" s="365">
        <f t="shared" ca="1" si="21"/>
        <v>5.0179104382658322</v>
      </c>
      <c r="X59" s="365" t="str">
        <f t="shared" ca="1" si="21"/>
        <v>N/A</v>
      </c>
      <c r="Y59" s="365" t="str">
        <f t="shared" ca="1" si="21"/>
        <v>N/A</v>
      </c>
      <c r="Z59" s="365" t="str">
        <f t="shared" ca="1" si="21"/>
        <v>N/A</v>
      </c>
      <c r="AA59" s="484"/>
    </row>
    <row r="60" spans="1:27" s="86" customFormat="1">
      <c r="A60" s="139"/>
      <c r="C60" s="8"/>
      <c r="D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484"/>
    </row>
    <row r="61" spans="1:27" s="87" customFormat="1">
      <c r="A61" s="406" t="s">
        <v>155</v>
      </c>
      <c r="B61" s="86"/>
      <c r="C61" s="86"/>
      <c r="D61" s="86"/>
      <c r="E61" s="86"/>
      <c r="F61" s="86"/>
      <c r="G61" s="233">
        <f ca="1">CF!E$46</f>
        <v>0</v>
      </c>
      <c r="H61" s="233">
        <f ca="1">CF!F$46</f>
        <v>-13.275999937924599</v>
      </c>
      <c r="I61" s="233">
        <f ca="1">CF!G$46</f>
        <v>8604.1962980564422</v>
      </c>
      <c r="J61" s="233">
        <f ca="1">CF!H$46</f>
        <v>14220.938045161965</v>
      </c>
      <c r="K61" s="233">
        <f ca="1">CF!I$46</f>
        <v>13565.64099964267</v>
      </c>
      <c r="L61" s="233">
        <f ca="1">CF!J$46</f>
        <v>19099.431253024326</v>
      </c>
      <c r="M61" s="233">
        <f ca="1">CF!K$46</f>
        <v>19379.61484794068</v>
      </c>
      <c r="N61" s="233">
        <f ca="1">CF!L$46</f>
        <v>23437.1491854552</v>
      </c>
      <c r="O61" s="233">
        <f ca="1">CF!M$46</f>
        <v>24344.707667100865</v>
      </c>
      <c r="P61" s="233">
        <f ca="1">CF!N$46</f>
        <v>24485.488092459338</v>
      </c>
      <c r="Q61" s="233">
        <f ca="1">CF!O$46</f>
        <v>25830.153415031691</v>
      </c>
      <c r="R61" s="233">
        <f ca="1">CF!P$46</f>
        <v>26597.155621630889</v>
      </c>
      <c r="S61" s="233">
        <f ca="1">CF!Q$46</f>
        <v>27679.458534726189</v>
      </c>
      <c r="T61" s="233">
        <f ca="1">CF!R$46</f>
        <v>29538.859488661044</v>
      </c>
      <c r="U61" s="233">
        <f ca="1">CF!S$46</f>
        <v>28010.230908751848</v>
      </c>
      <c r="V61" s="233">
        <f ca="1">CF!T$46</f>
        <v>30595.117817383754</v>
      </c>
      <c r="W61" s="233">
        <f ca="1">CF!U$46</f>
        <v>31458.567262612829</v>
      </c>
      <c r="X61" s="233">
        <f ca="1">CF!V$46</f>
        <v>32306.082879734346</v>
      </c>
      <c r="Y61" s="233">
        <f ca="1">CF!W$46</f>
        <v>33381.813610301098</v>
      </c>
      <c r="Z61" s="233">
        <f ca="1">CF!X$46</f>
        <v>34547.704037227639</v>
      </c>
      <c r="AA61" s="484"/>
    </row>
    <row r="62" spans="1:27" s="87" customFormat="1">
      <c r="A62" s="406" t="s">
        <v>313</v>
      </c>
      <c r="B62" s="86"/>
      <c r="C62" s="86"/>
      <c r="D62" s="86"/>
      <c r="E62" s="86"/>
      <c r="F62" s="86"/>
      <c r="G62" s="234">
        <f ca="1">CF!E64</f>
        <v>0</v>
      </c>
      <c r="H62" s="234">
        <f ca="1">CF!F64</f>
        <v>0</v>
      </c>
      <c r="I62" s="234">
        <f ca="1">CF!G64</f>
        <v>0</v>
      </c>
      <c r="J62" s="234">
        <f ca="1">CF!H64</f>
        <v>0</v>
      </c>
      <c r="K62" s="234">
        <f ca="1">CF!I64</f>
        <v>0</v>
      </c>
      <c r="L62" s="234">
        <f ca="1">CF!J64</f>
        <v>0</v>
      </c>
      <c r="M62" s="234">
        <f ca="1">CF!K64</f>
        <v>0</v>
      </c>
      <c r="N62" s="234">
        <f ca="1">CF!L64</f>
        <v>0</v>
      </c>
      <c r="O62" s="234">
        <f ca="1">CF!M64</f>
        <v>0</v>
      </c>
      <c r="P62" s="234">
        <f ca="1">CF!N64</f>
        <v>0</v>
      </c>
      <c r="Q62" s="234">
        <f ca="1">CF!O64</f>
        <v>0</v>
      </c>
      <c r="R62" s="234">
        <f ca="1">CF!P64</f>
        <v>0</v>
      </c>
      <c r="S62" s="234">
        <f ca="1">CF!Q64</f>
        <v>-1444.7910322207226</v>
      </c>
      <c r="T62" s="234">
        <f ca="1">CF!R64</f>
        <v>-6622.3010325317155</v>
      </c>
      <c r="U62" s="234">
        <f ca="1">CF!S64</f>
        <v>-6455.8562327545715</v>
      </c>
      <c r="V62" s="234">
        <f ca="1">CF!T64</f>
        <v>-7317.7903051127032</v>
      </c>
      <c r="W62" s="234">
        <f ca="1">CF!U64</f>
        <v>-7763.8740257395248</v>
      </c>
      <c r="X62" s="234">
        <f ca="1">CF!V64</f>
        <v>-8076.5207199335864</v>
      </c>
      <c r="Y62" s="234">
        <f ca="1">CF!W64</f>
        <v>-8345.4534025752746</v>
      </c>
      <c r="Z62" s="234">
        <f ca="1">CF!X64</f>
        <v>-8636.9260093069097</v>
      </c>
      <c r="AA62" s="484"/>
    </row>
    <row r="63" spans="1:27" s="87" customFormat="1">
      <c r="A63" s="406" t="s">
        <v>463</v>
      </c>
      <c r="B63" s="86"/>
      <c r="C63" s="86"/>
      <c r="D63" s="86"/>
      <c r="E63" s="86"/>
      <c r="F63" s="86"/>
      <c r="G63" s="233">
        <f t="shared" ref="G63:Z63" ca="1" si="22">SUM(G61:G62)</f>
        <v>0</v>
      </c>
      <c r="H63" s="233">
        <f t="shared" ca="1" si="22"/>
        <v>-13.275999937924599</v>
      </c>
      <c r="I63" s="233">
        <f t="shared" ca="1" si="22"/>
        <v>8604.1962980564422</v>
      </c>
      <c r="J63" s="233">
        <f t="shared" ca="1" si="22"/>
        <v>14220.938045161965</v>
      </c>
      <c r="K63" s="233">
        <f t="shared" ca="1" si="22"/>
        <v>13565.64099964267</v>
      </c>
      <c r="L63" s="233">
        <f t="shared" ca="1" si="22"/>
        <v>19099.431253024326</v>
      </c>
      <c r="M63" s="233">
        <f t="shared" ca="1" si="22"/>
        <v>19379.61484794068</v>
      </c>
      <c r="N63" s="233">
        <f t="shared" ca="1" si="22"/>
        <v>23437.1491854552</v>
      </c>
      <c r="O63" s="233">
        <f t="shared" ca="1" si="22"/>
        <v>24344.707667100865</v>
      </c>
      <c r="P63" s="233">
        <f t="shared" ca="1" si="22"/>
        <v>24485.488092459338</v>
      </c>
      <c r="Q63" s="233">
        <f t="shared" ca="1" si="22"/>
        <v>25830.153415031691</v>
      </c>
      <c r="R63" s="233">
        <f t="shared" ca="1" si="22"/>
        <v>26597.155621630889</v>
      </c>
      <c r="S63" s="233">
        <f t="shared" ca="1" si="22"/>
        <v>26234.667502505465</v>
      </c>
      <c r="T63" s="233">
        <f t="shared" ca="1" si="22"/>
        <v>22916.558456129329</v>
      </c>
      <c r="U63" s="233">
        <f t="shared" ca="1" si="22"/>
        <v>21554.374675997278</v>
      </c>
      <c r="V63" s="233">
        <f t="shared" ca="1" si="22"/>
        <v>23277.327512271051</v>
      </c>
      <c r="W63" s="233">
        <f t="shared" ca="1" si="22"/>
        <v>23694.693236873303</v>
      </c>
      <c r="X63" s="233">
        <f t="shared" ca="1" si="22"/>
        <v>24229.56215980076</v>
      </c>
      <c r="Y63" s="233">
        <f t="shared" ca="1" si="22"/>
        <v>25036.360207725826</v>
      </c>
      <c r="Z63" s="233">
        <f t="shared" ca="1" si="22"/>
        <v>25910.778027920729</v>
      </c>
      <c r="AA63" s="484"/>
    </row>
    <row r="64" spans="1:27" s="87" customFormat="1">
      <c r="A64" s="406" t="s">
        <v>460</v>
      </c>
      <c r="B64" s="86"/>
      <c r="C64" s="86"/>
      <c r="D64" s="86"/>
      <c r="E64" s="86"/>
      <c r="F64" s="86"/>
      <c r="G64" s="234">
        <f ca="1">'Debt Amort'!E$14</f>
        <v>0</v>
      </c>
      <c r="H64" s="234">
        <f ca="1">'Debt Amort'!F$14</f>
        <v>0</v>
      </c>
      <c r="I64" s="234">
        <f ca="1">'Debt Amort'!G$14</f>
        <v>4298.9671464881521</v>
      </c>
      <c r="J64" s="234">
        <f ca="1">'Debt Amort'!H$14</f>
        <v>11684.357092642034</v>
      </c>
      <c r="K64" s="234">
        <f ca="1">'Debt Amort'!I$14</f>
        <v>12480.106129243441</v>
      </c>
      <c r="L64" s="234">
        <f ca="1">'Debt Amort'!J$14</f>
        <v>16409.775765858645</v>
      </c>
      <c r="M64" s="234">
        <f ca="1">'Debt Amort'!K$14</f>
        <v>17438.906139139617</v>
      </c>
      <c r="N64" s="234">
        <f ca="1">'Debt Amort'!L$14</f>
        <v>17609.056862487399</v>
      </c>
      <c r="O64" s="234">
        <f ca="1">'Debt Amort'!M$14</f>
        <v>17213.280539692958</v>
      </c>
      <c r="P64" s="234">
        <f ca="1">'Debt Amort'!N$14</f>
        <v>13583.286979713725</v>
      </c>
      <c r="Q64" s="234">
        <f ca="1">'Debt Amort'!O$14</f>
        <v>10364.9625136822</v>
      </c>
      <c r="R64" s="234">
        <f ca="1">'Debt Amort'!P$14</f>
        <v>9776.5591955133859</v>
      </c>
      <c r="S64" s="234">
        <f ca="1">'Debt Amort'!Q$14</f>
        <v>10434.504935617975</v>
      </c>
      <c r="T64" s="234">
        <f ca="1">'Debt Amort'!R$14</f>
        <v>10886.616128748712</v>
      </c>
      <c r="U64" s="234">
        <f ca="1">'Debt Amort'!S$14</f>
        <v>10023.766747948092</v>
      </c>
      <c r="V64" s="234">
        <f ca="1">'Debt Amort'!T$14</f>
        <v>9442.0487336753067</v>
      </c>
      <c r="W64" s="234">
        <f ca="1">'Debt Amort'!U$14</f>
        <v>6269.2564264827279</v>
      </c>
      <c r="X64" s="234">
        <f ca="1">'Debt Amort'!V$14</f>
        <v>0</v>
      </c>
      <c r="Y64" s="234">
        <f ca="1">'Debt Amort'!W$14</f>
        <v>0</v>
      </c>
      <c r="Z64" s="234">
        <f ca="1">'Debt Amort'!X$14</f>
        <v>0</v>
      </c>
      <c r="AA64" s="484"/>
    </row>
    <row r="65" spans="1:27" s="8" customFormat="1" ht="13.5" thickBot="1">
      <c r="A65" s="141" t="s">
        <v>320</v>
      </c>
      <c r="B65" s="76"/>
      <c r="C65" s="147" t="s">
        <v>462</v>
      </c>
      <c r="D65" s="76"/>
      <c r="E65" s="76"/>
      <c r="F65" s="76"/>
      <c r="G65" s="482" t="str">
        <f t="shared" ref="G65:Z65" ca="1" si="23">IF(G64=0,"N/A",G63/G64)</f>
        <v>N/A</v>
      </c>
      <c r="H65" s="482" t="str">
        <f t="shared" ca="1" si="23"/>
        <v>N/A</v>
      </c>
      <c r="I65" s="482">
        <f t="shared" ca="1" si="23"/>
        <v>2.0014566301315546</v>
      </c>
      <c r="J65" s="482">
        <f t="shared" ca="1" si="23"/>
        <v>1.217092043011702</v>
      </c>
      <c r="K65" s="482">
        <f t="shared" ca="1" si="23"/>
        <v>1.0869812210855803</v>
      </c>
      <c r="L65" s="482">
        <f t="shared" ca="1" si="23"/>
        <v>1.1639056819266016</v>
      </c>
      <c r="M65" s="482">
        <f t="shared" ca="1" si="23"/>
        <v>1.1112861491034329</v>
      </c>
      <c r="N65" s="482">
        <f t="shared" ca="1" si="23"/>
        <v>1.3309712932657622</v>
      </c>
      <c r="O65" s="482">
        <f t="shared" ca="1" si="23"/>
        <v>1.4142979666753932</v>
      </c>
      <c r="P65" s="482">
        <f t="shared" ca="1" si="23"/>
        <v>1.8026187718059523</v>
      </c>
      <c r="Q65" s="482">
        <f t="shared" ca="1" si="23"/>
        <v>2.4920643351034575</v>
      </c>
      <c r="R65" s="482">
        <f t="shared" ca="1" si="23"/>
        <v>2.7205026932007668</v>
      </c>
      <c r="S65" s="482">
        <f t="shared" ca="1" si="23"/>
        <v>2.5142225399648765</v>
      </c>
      <c r="T65" s="482">
        <f t="shared" ca="1" si="23"/>
        <v>2.1050212651121849</v>
      </c>
      <c r="U65" s="482">
        <f t="shared" ca="1" si="23"/>
        <v>2.1503268399985016</v>
      </c>
      <c r="V65" s="482">
        <f t="shared" ca="1" si="23"/>
        <v>2.4652835596211098</v>
      </c>
      <c r="W65" s="482">
        <f t="shared" ca="1" si="23"/>
        <v>3.7795061527203879</v>
      </c>
      <c r="X65" s="482" t="str">
        <f t="shared" ca="1" si="23"/>
        <v>N/A</v>
      </c>
      <c r="Y65" s="482" t="str">
        <f t="shared" ca="1" si="23"/>
        <v>N/A</v>
      </c>
      <c r="Z65" s="482" t="str">
        <f t="shared" ca="1" si="23"/>
        <v>N/A</v>
      </c>
      <c r="AA65" s="429"/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87"/>
  <sheetViews>
    <sheetView showGridLines="0" zoomScale="90" workbookViewId="0">
      <selection activeCell="I44" sqref="I44"/>
    </sheetView>
  </sheetViews>
  <sheetFormatPr defaultRowHeight="12.75"/>
  <cols>
    <col min="1" max="1" width="22.7109375" style="23" customWidth="1"/>
    <col min="2" max="3" width="11.7109375" style="240" customWidth="1"/>
    <col min="4" max="26" width="10.7109375" style="240" customWidth="1"/>
    <col min="27" max="27" width="11.7109375" style="23" customWidth="1"/>
    <col min="28" max="16384" width="9.140625" style="240"/>
  </cols>
  <sheetData>
    <row r="1" spans="1:27" ht="15.75">
      <c r="A1" s="987" t="str">
        <f>Assm!A1</f>
        <v>GAS ORIENTE BOLIVIANO S.A. (GASBOL) *** DRAFT COPY ***</v>
      </c>
      <c r="B1" s="239"/>
      <c r="C1" s="134"/>
      <c r="D1" s="23"/>
      <c r="H1" s="241"/>
      <c r="K1" s="242"/>
      <c r="S1" s="243"/>
    </row>
    <row r="2" spans="1:27" ht="15.75">
      <c r="A2" s="987" t="str">
        <f>Assm!A2</f>
        <v>369 KM PIPELINE SPUR FOR CUIABA POWER PLANT (BOLIVIA)</v>
      </c>
      <c r="B2" s="239"/>
      <c r="C2" s="134"/>
      <c r="D2" s="23"/>
      <c r="H2" s="241"/>
      <c r="K2" s="242"/>
      <c r="S2" s="243"/>
    </row>
    <row r="3" spans="1:27" ht="15.75">
      <c r="A3" s="244" t="str">
        <f>Assm!A3</f>
        <v>ENRON INTERNATIONAL</v>
      </c>
      <c r="B3" s="244"/>
      <c r="C3" s="134"/>
      <c r="D3" s="23"/>
      <c r="F3" s="245"/>
      <c r="H3" s="241"/>
      <c r="K3" s="242"/>
      <c r="T3" s="246"/>
      <c r="U3" s="246"/>
    </row>
    <row r="4" spans="1:27" ht="15.75">
      <c r="A4" s="820" t="s">
        <v>902</v>
      </c>
      <c r="B4" s="820"/>
      <c r="C4" s="881"/>
      <c r="D4" s="882"/>
      <c r="E4" s="973"/>
      <c r="F4" s="245"/>
      <c r="H4" s="241"/>
      <c r="K4" s="242"/>
    </row>
    <row r="5" spans="1:27" ht="13.5" thickBot="1">
      <c r="B5" s="23"/>
      <c r="C5" s="23"/>
      <c r="D5" s="23"/>
      <c r="E5" s="23"/>
      <c r="F5" s="23"/>
      <c r="G5" s="23"/>
      <c r="H5" s="23"/>
      <c r="I5" s="23"/>
    </row>
    <row r="6" spans="1:27" s="23" customFormat="1">
      <c r="A6" s="485" t="s">
        <v>160</v>
      </c>
      <c r="B6" s="486"/>
      <c r="C6" s="486"/>
      <c r="D6" s="486"/>
      <c r="E6" s="486"/>
      <c r="F6" s="487">
        <f>CF!E6</f>
        <v>1</v>
      </c>
      <c r="G6" s="487">
        <f>CF!F6</f>
        <v>2</v>
      </c>
      <c r="H6" s="487">
        <f>CF!G6</f>
        <v>3</v>
      </c>
      <c r="I6" s="487">
        <f>CF!H6</f>
        <v>4</v>
      </c>
      <c r="J6" s="487">
        <f>CF!I6</f>
        <v>5</v>
      </c>
      <c r="K6" s="487">
        <f>CF!J6</f>
        <v>6</v>
      </c>
      <c r="L6" s="487">
        <f>CF!K6</f>
        <v>7</v>
      </c>
      <c r="M6" s="487">
        <f>CF!L6</f>
        <v>8</v>
      </c>
      <c r="N6" s="487">
        <f>CF!M6</f>
        <v>9</v>
      </c>
      <c r="O6" s="487">
        <f>CF!N6</f>
        <v>10</v>
      </c>
      <c r="P6" s="487">
        <f>CF!O6</f>
        <v>11</v>
      </c>
      <c r="Q6" s="487">
        <f>CF!P6</f>
        <v>12</v>
      </c>
      <c r="R6" s="487">
        <f>CF!Q6</f>
        <v>13</v>
      </c>
      <c r="S6" s="487">
        <f>CF!R6</f>
        <v>14</v>
      </c>
      <c r="T6" s="487">
        <f>CF!S6</f>
        <v>15</v>
      </c>
      <c r="U6" s="487">
        <f>CF!T6</f>
        <v>16</v>
      </c>
      <c r="V6" s="487">
        <f>CF!U6</f>
        <v>17</v>
      </c>
      <c r="W6" s="487">
        <f>CF!V6</f>
        <v>18</v>
      </c>
      <c r="X6" s="487">
        <f>CF!W6</f>
        <v>19</v>
      </c>
      <c r="Y6" s="487">
        <f>CF!X6</f>
        <v>20</v>
      </c>
      <c r="Z6" s="487">
        <f>CF!Y6</f>
        <v>21</v>
      </c>
      <c r="AA6" s="497"/>
    </row>
    <row r="7" spans="1:27" s="23" customFormat="1" ht="13.5" thickBot="1">
      <c r="A7" s="488" t="s">
        <v>151</v>
      </c>
      <c r="B7" s="247"/>
      <c r="C7" s="248"/>
      <c r="D7" s="248"/>
      <c r="E7" s="249"/>
      <c r="F7" s="361">
        <f>CF!E7</f>
        <v>1999</v>
      </c>
      <c r="G7" s="361">
        <f>CF!F7</f>
        <v>2000</v>
      </c>
      <c r="H7" s="361">
        <f>CF!G7</f>
        <v>2001</v>
      </c>
      <c r="I7" s="361">
        <f>CF!H7</f>
        <v>2002</v>
      </c>
      <c r="J7" s="361">
        <f>CF!I7</f>
        <v>2003</v>
      </c>
      <c r="K7" s="361">
        <f>CF!J7</f>
        <v>2004</v>
      </c>
      <c r="L7" s="361">
        <f>CF!K7</f>
        <v>2005</v>
      </c>
      <c r="M7" s="361">
        <f>CF!L7</f>
        <v>2006</v>
      </c>
      <c r="N7" s="361">
        <f>CF!M7</f>
        <v>2007</v>
      </c>
      <c r="O7" s="361">
        <f>CF!N7</f>
        <v>2008</v>
      </c>
      <c r="P7" s="361">
        <f>CF!O7</f>
        <v>2009</v>
      </c>
      <c r="Q7" s="361">
        <f>CF!P7</f>
        <v>2010</v>
      </c>
      <c r="R7" s="361">
        <f>CF!Q7</f>
        <v>2011</v>
      </c>
      <c r="S7" s="361">
        <f>CF!R7</f>
        <v>2012</v>
      </c>
      <c r="T7" s="361">
        <f>CF!S7</f>
        <v>2013</v>
      </c>
      <c r="U7" s="361">
        <f>CF!T7</f>
        <v>2014</v>
      </c>
      <c r="V7" s="361">
        <f>CF!U7</f>
        <v>2015</v>
      </c>
      <c r="W7" s="361">
        <f>CF!V7</f>
        <v>2016</v>
      </c>
      <c r="X7" s="361">
        <f>CF!W7</f>
        <v>2017</v>
      </c>
      <c r="Y7" s="361">
        <f>CF!X7</f>
        <v>2018</v>
      </c>
      <c r="Z7" s="361">
        <f>CF!Y7</f>
        <v>2019</v>
      </c>
      <c r="AA7" s="498" t="s">
        <v>152</v>
      </c>
    </row>
    <row r="8" spans="1:27" s="23" customFormat="1">
      <c r="A8" s="489"/>
      <c r="B8" s="250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499"/>
    </row>
    <row r="9" spans="1:27" s="23" customFormat="1">
      <c r="A9" s="163" t="s">
        <v>323</v>
      </c>
      <c r="F9" s="23">
        <f>CF!E9</f>
        <v>0</v>
      </c>
      <c r="G9" s="23">
        <f>CF!F9</f>
        <v>0</v>
      </c>
      <c r="H9" s="23">
        <f>CF!G9</f>
        <v>10</v>
      </c>
      <c r="I9" s="23">
        <f>CF!H9</f>
        <v>12</v>
      </c>
      <c r="J9" s="23">
        <f>CF!I9</f>
        <v>12</v>
      </c>
      <c r="K9" s="23">
        <f>CF!J9</f>
        <v>12</v>
      </c>
      <c r="L9" s="23">
        <f>CF!K9</f>
        <v>12</v>
      </c>
      <c r="M9" s="23">
        <f>CF!L9</f>
        <v>12</v>
      </c>
      <c r="N9" s="23">
        <f>CF!M9</f>
        <v>12</v>
      </c>
      <c r="O9" s="23">
        <f>CF!N9</f>
        <v>12</v>
      </c>
      <c r="P9" s="23">
        <f>CF!O9</f>
        <v>12</v>
      </c>
      <c r="Q9" s="23">
        <f>CF!P9</f>
        <v>12</v>
      </c>
      <c r="R9" s="23">
        <f>CF!Q9</f>
        <v>12</v>
      </c>
      <c r="S9" s="23">
        <f>CF!R9</f>
        <v>12</v>
      </c>
      <c r="T9" s="23">
        <f>CF!S9</f>
        <v>12</v>
      </c>
      <c r="U9" s="23">
        <f>CF!T9</f>
        <v>12</v>
      </c>
      <c r="V9" s="23">
        <f>CF!U9</f>
        <v>12</v>
      </c>
      <c r="W9" s="23">
        <f>CF!V9</f>
        <v>12</v>
      </c>
      <c r="X9" s="23">
        <f>CF!W9</f>
        <v>12</v>
      </c>
      <c r="Y9" s="23">
        <f>CF!X9</f>
        <v>12</v>
      </c>
      <c r="Z9" s="23">
        <f>CF!Y9</f>
        <v>4</v>
      </c>
      <c r="AA9" s="499">
        <f>CF!Z9</f>
        <v>218</v>
      </c>
    </row>
    <row r="10" spans="1:27" ht="15.75">
      <c r="A10" s="163"/>
      <c r="B10" s="23"/>
      <c r="C10" s="23"/>
      <c r="D10" s="23"/>
      <c r="E10" s="23"/>
      <c r="F10" s="25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499"/>
    </row>
    <row r="11" spans="1:27" ht="15.75">
      <c r="A11" s="1077" t="s">
        <v>960</v>
      </c>
      <c r="B11" s="23"/>
      <c r="C11" s="23"/>
      <c r="D11" s="23"/>
      <c r="E11" s="23"/>
      <c r="F11" s="25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499"/>
    </row>
    <row r="12" spans="1:27">
      <c r="A12" s="163" t="s">
        <v>164</v>
      </c>
      <c r="B12" s="23"/>
      <c r="C12" s="23"/>
      <c r="D12" s="23"/>
      <c r="E12" s="23"/>
      <c r="F12" s="831">
        <v>0</v>
      </c>
      <c r="G12" s="259">
        <f ca="1">F17</f>
        <v>0</v>
      </c>
      <c r="H12" s="259">
        <f t="shared" ref="H12:Z12" ca="1" si="0">G17</f>
        <v>-13.275999937924599</v>
      </c>
      <c r="I12" s="259">
        <f t="shared" ca="1" si="0"/>
        <v>-1850.7849813550681</v>
      </c>
      <c r="J12" s="259">
        <f t="shared" ca="1" si="0"/>
        <v>-5437.2655818525327</v>
      </c>
      <c r="K12" s="259">
        <f t="shared" ca="1" si="0"/>
        <v>-9482.5200859583183</v>
      </c>
      <c r="L12" s="259">
        <f t="shared" ca="1" si="0"/>
        <v>-7690.4254512476782</v>
      </c>
      <c r="M12" s="259">
        <f t="shared" ca="1" si="0"/>
        <v>-4877.8396481340124</v>
      </c>
      <c r="N12" s="259">
        <f t="shared" ca="1" si="0"/>
        <v>0</v>
      </c>
      <c r="O12" s="259">
        <f t="shared" ca="1" si="0"/>
        <v>0</v>
      </c>
      <c r="P12" s="259">
        <f t="shared" ca="1" si="0"/>
        <v>0</v>
      </c>
      <c r="Q12" s="259">
        <f t="shared" ca="1" si="0"/>
        <v>0</v>
      </c>
      <c r="R12" s="259">
        <f t="shared" ca="1" si="0"/>
        <v>0</v>
      </c>
      <c r="S12" s="259">
        <f t="shared" ca="1" si="0"/>
        <v>0</v>
      </c>
      <c r="T12" s="259">
        <f t="shared" ca="1" si="0"/>
        <v>0</v>
      </c>
      <c r="U12" s="259">
        <f t="shared" ca="1" si="0"/>
        <v>0</v>
      </c>
      <c r="V12" s="259">
        <f t="shared" ca="1" si="0"/>
        <v>0</v>
      </c>
      <c r="W12" s="259">
        <f t="shared" ca="1" si="0"/>
        <v>0</v>
      </c>
      <c r="X12" s="259">
        <f t="shared" ca="1" si="0"/>
        <v>0</v>
      </c>
      <c r="Y12" s="259">
        <f t="shared" ca="1" si="0"/>
        <v>0</v>
      </c>
      <c r="Z12" s="259">
        <f t="shared" ca="1" si="0"/>
        <v>0</v>
      </c>
      <c r="AA12" s="500">
        <f>F12</f>
        <v>0</v>
      </c>
    </row>
    <row r="13" spans="1:27">
      <c r="A13" s="163" t="s">
        <v>961</v>
      </c>
      <c r="B13" s="23"/>
      <c r="C13" s="23"/>
      <c r="D13" s="23"/>
      <c r="E13" s="23"/>
      <c r="F13" s="259">
        <f ca="1">CF!E57</f>
        <v>0</v>
      </c>
      <c r="G13" s="259">
        <f ca="1">CF!F57</f>
        <v>-13.275999937924599</v>
      </c>
      <c r="H13" s="259">
        <f ca="1">CF!G57</f>
        <v>-1837.5089814171436</v>
      </c>
      <c r="I13" s="259">
        <f ca="1">CF!H57</f>
        <v>-3586.4806004974644</v>
      </c>
      <c r="J13" s="259">
        <f ca="1">CF!I57</f>
        <v>-4045.2545041057861</v>
      </c>
      <c r="K13" s="259">
        <f ca="1">CF!J57</f>
        <v>1886.4154049585682</v>
      </c>
      <c r="L13" s="259">
        <f ca="1">CF!K57</f>
        <v>2960.6166348564902</v>
      </c>
      <c r="M13" s="259">
        <f ca="1">CF!L57</f>
        <v>7158.055852729789</v>
      </c>
      <c r="N13" s="259">
        <f ca="1">CF!M57</f>
        <v>7522.2662368030979</v>
      </c>
      <c r="O13" s="259">
        <f ca="1">CF!N57</f>
        <v>8501.7609092564053</v>
      </c>
      <c r="P13" s="259">
        <f ca="1">CF!O57</f>
        <v>10078.227806453044</v>
      </c>
      <c r="Q13" s="259">
        <f ca="1">CF!P57</f>
        <v>11121.717687697714</v>
      </c>
      <c r="R13" s="259">
        <f ca="1">CF!Q57</f>
        <v>12405.298548203038</v>
      </c>
      <c r="S13" s="259">
        <f ca="1">CF!R57</f>
        <v>14430.179582651173</v>
      </c>
      <c r="T13" s="259">
        <f ca="1">CF!S57</f>
        <v>13959.694182140876</v>
      </c>
      <c r="U13" s="259">
        <f ca="1">CF!T57</f>
        <v>16545.49639921527</v>
      </c>
      <c r="V13" s="259">
        <f ca="1">CF!U57</f>
        <v>17883.747561095734</v>
      </c>
      <c r="W13" s="259">
        <f ca="1">CF!V57</f>
        <v>18821.68764367792</v>
      </c>
      <c r="X13" s="259">
        <f ca="1">CF!W57</f>
        <v>19628.485691602986</v>
      </c>
      <c r="Y13" s="259">
        <f ca="1">CF!X57</f>
        <v>20502.903511797889</v>
      </c>
      <c r="Z13" s="259">
        <f ca="1">CF!Y57</f>
        <v>6843.9691274638944</v>
      </c>
      <c r="AA13" s="500">
        <f ca="1">SUM(F13:Z13)</f>
        <v>180768.00269464558</v>
      </c>
    </row>
    <row r="14" spans="1:27">
      <c r="A14" s="163" t="s">
        <v>163</v>
      </c>
      <c r="B14" s="23"/>
      <c r="C14" s="23"/>
      <c r="D14" s="23"/>
      <c r="E14" s="23"/>
      <c r="F14" s="260">
        <f t="shared" ref="F14:Y14" ca="1" si="1">-F49-F50</f>
        <v>0</v>
      </c>
      <c r="G14" s="260">
        <f t="shared" ca="1" si="1"/>
        <v>0</v>
      </c>
      <c r="H14" s="260">
        <f t="shared" ca="1" si="1"/>
        <v>0</v>
      </c>
      <c r="I14" s="260">
        <f t="shared" ca="1" si="1"/>
        <v>0</v>
      </c>
      <c r="J14" s="260">
        <f t="shared" ca="1" si="1"/>
        <v>0</v>
      </c>
      <c r="K14" s="260">
        <f t="shared" ca="1" si="1"/>
        <v>-94.320770247928408</v>
      </c>
      <c r="L14" s="260">
        <f t="shared" ca="1" si="1"/>
        <v>-148.03083174282452</v>
      </c>
      <c r="M14" s="260">
        <f t="shared" ca="1" si="1"/>
        <v>-357.90279263648949</v>
      </c>
      <c r="N14" s="260">
        <f t="shared" ca="1" si="1"/>
        <v>-376.11331184015489</v>
      </c>
      <c r="O14" s="260">
        <f t="shared" ca="1" si="1"/>
        <v>-425.08804546282028</v>
      </c>
      <c r="P14" s="260">
        <f t="shared" ca="1" si="1"/>
        <v>-503.91139032265221</v>
      </c>
      <c r="Q14" s="260">
        <f t="shared" ca="1" si="1"/>
        <v>-556.08588438488573</v>
      </c>
      <c r="R14" s="260">
        <f t="shared" ca="1" si="1"/>
        <v>-620.26492741015193</v>
      </c>
      <c r="S14" s="260">
        <f t="shared" ca="1" si="1"/>
        <v>-721.50897913255869</v>
      </c>
      <c r="T14" s="260">
        <f t="shared" ca="1" si="1"/>
        <v>-697.98470910704384</v>
      </c>
      <c r="U14" s="260">
        <f t="shared" ca="1" si="1"/>
        <v>-827.27481996076358</v>
      </c>
      <c r="V14" s="260">
        <f t="shared" ca="1" si="1"/>
        <v>-894.18737805478668</v>
      </c>
      <c r="W14" s="260">
        <f t="shared" ca="1" si="1"/>
        <v>-941.08438218389608</v>
      </c>
      <c r="X14" s="260">
        <f t="shared" ca="1" si="1"/>
        <v>-981.42428458014933</v>
      </c>
      <c r="Y14" s="260">
        <f t="shared" ca="1" si="1"/>
        <v>-1025.1451755898945</v>
      </c>
      <c r="Z14" s="260">
        <f ca="1">-Z49-Z50</f>
        <v>9170.327682657</v>
      </c>
      <c r="AA14" s="501">
        <f ca="1">SUM(F14:Z14)</f>
        <v>0</v>
      </c>
    </row>
    <row r="15" spans="1:27">
      <c r="A15" s="163" t="s">
        <v>962</v>
      </c>
      <c r="B15" s="23"/>
      <c r="C15" s="23"/>
      <c r="D15" s="23"/>
      <c r="E15" s="23"/>
      <c r="F15" s="259">
        <f t="shared" ref="F15:AA15" ca="1" si="2">SUM(F12:F14)</f>
        <v>0</v>
      </c>
      <c r="G15" s="259">
        <f t="shared" ca="1" si="2"/>
        <v>-13.275999937924599</v>
      </c>
      <c r="H15" s="259">
        <f t="shared" ca="1" si="2"/>
        <v>-1850.7849813550681</v>
      </c>
      <c r="I15" s="259">
        <f t="shared" ca="1" si="2"/>
        <v>-5437.2655818525327</v>
      </c>
      <c r="J15" s="259">
        <f t="shared" ca="1" si="2"/>
        <v>-9482.5200859583183</v>
      </c>
      <c r="K15" s="259">
        <f t="shared" ca="1" si="2"/>
        <v>-7690.4254512476782</v>
      </c>
      <c r="L15" s="259">
        <f t="shared" ca="1" si="2"/>
        <v>-4877.8396481340124</v>
      </c>
      <c r="M15" s="259">
        <f t="shared" ca="1" si="2"/>
        <v>1922.3134119592871</v>
      </c>
      <c r="N15" s="259">
        <f t="shared" ca="1" si="2"/>
        <v>7146.152924962943</v>
      </c>
      <c r="O15" s="259">
        <f t="shared" ca="1" si="2"/>
        <v>8076.6728637935848</v>
      </c>
      <c r="P15" s="259">
        <f t="shared" ca="1" si="2"/>
        <v>9574.3164161303921</v>
      </c>
      <c r="Q15" s="259">
        <f t="shared" ca="1" si="2"/>
        <v>10565.631803312828</v>
      </c>
      <c r="R15" s="259">
        <f t="shared" ca="1" si="2"/>
        <v>11785.033620792887</v>
      </c>
      <c r="S15" s="259">
        <f t="shared" ca="1" si="2"/>
        <v>13708.670603518614</v>
      </c>
      <c r="T15" s="259">
        <f t="shared" ca="1" si="2"/>
        <v>13261.709473033832</v>
      </c>
      <c r="U15" s="259">
        <f t="shared" ca="1" si="2"/>
        <v>15718.221579254507</v>
      </c>
      <c r="V15" s="259">
        <f t="shared" ca="1" si="2"/>
        <v>16989.560183040947</v>
      </c>
      <c r="W15" s="259">
        <f t="shared" ca="1" si="2"/>
        <v>17880.603261494023</v>
      </c>
      <c r="X15" s="259">
        <f t="shared" ca="1" si="2"/>
        <v>18647.061407022837</v>
      </c>
      <c r="Y15" s="259">
        <f t="shared" ca="1" si="2"/>
        <v>19477.758336207993</v>
      </c>
      <c r="Z15" s="259">
        <f t="shared" ca="1" si="2"/>
        <v>16014.296810120893</v>
      </c>
      <c r="AA15" s="500">
        <f t="shared" ca="1" si="2"/>
        <v>180768.00269464558</v>
      </c>
    </row>
    <row r="16" spans="1:27">
      <c r="A16" s="163" t="s">
        <v>963</v>
      </c>
      <c r="B16" s="23"/>
      <c r="C16" s="23"/>
      <c r="D16" s="23"/>
      <c r="E16" s="23"/>
      <c r="F16" s="260">
        <f ca="1">F23</f>
        <v>0</v>
      </c>
      <c r="G16" s="260">
        <f ca="1">G24</f>
        <v>0</v>
      </c>
      <c r="H16" s="260">
        <f t="shared" ref="H16:Z16" ca="1" si="3">H24</f>
        <v>0</v>
      </c>
      <c r="I16" s="260">
        <f t="shared" ca="1" si="3"/>
        <v>0</v>
      </c>
      <c r="J16" s="260">
        <f t="shared" ca="1" si="3"/>
        <v>0</v>
      </c>
      <c r="K16" s="260">
        <f t="shared" ca="1" si="3"/>
        <v>0</v>
      </c>
      <c r="L16" s="260">
        <f t="shared" ca="1" si="3"/>
        <v>0</v>
      </c>
      <c r="M16" s="260">
        <f t="shared" ca="1" si="3"/>
        <v>-1922.3134119592871</v>
      </c>
      <c r="N16" s="260">
        <f t="shared" ca="1" si="3"/>
        <v>-7146.152924962943</v>
      </c>
      <c r="O16" s="260">
        <f t="shared" ca="1" si="3"/>
        <v>-8076.6728637935848</v>
      </c>
      <c r="P16" s="260">
        <f t="shared" ca="1" si="3"/>
        <v>-9574.3164161303921</v>
      </c>
      <c r="Q16" s="260">
        <f t="shared" ca="1" si="3"/>
        <v>-10565.631803312828</v>
      </c>
      <c r="R16" s="260">
        <f t="shared" ca="1" si="3"/>
        <v>-11785.033620792887</v>
      </c>
      <c r="S16" s="260">
        <f t="shared" ca="1" si="3"/>
        <v>-13708.670603518614</v>
      </c>
      <c r="T16" s="260">
        <f t="shared" ca="1" si="3"/>
        <v>-13261.709473033832</v>
      </c>
      <c r="U16" s="260">
        <f t="shared" ca="1" si="3"/>
        <v>-15718.221579254507</v>
      </c>
      <c r="V16" s="260">
        <f t="shared" ca="1" si="3"/>
        <v>-16989.560183040947</v>
      </c>
      <c r="W16" s="260">
        <f t="shared" ca="1" si="3"/>
        <v>-17880.603261494023</v>
      </c>
      <c r="X16" s="260">
        <f t="shared" ca="1" si="3"/>
        <v>-18647.061407022837</v>
      </c>
      <c r="Y16" s="260">
        <f t="shared" ca="1" si="3"/>
        <v>-19477.758336207993</v>
      </c>
      <c r="Z16" s="260">
        <f t="shared" ca="1" si="3"/>
        <v>-16014.296810120893</v>
      </c>
      <c r="AA16" s="501">
        <f ca="1">SUM(F16:Z16)</f>
        <v>-180768.00269464558</v>
      </c>
    </row>
    <row r="17" spans="1:29">
      <c r="A17" s="163" t="s">
        <v>172</v>
      </c>
      <c r="B17" s="23"/>
      <c r="C17" s="23"/>
      <c r="D17" s="23"/>
      <c r="E17" s="23"/>
      <c r="F17" s="259">
        <f ca="1">SUM(F15:F16)</f>
        <v>0</v>
      </c>
      <c r="G17" s="259">
        <f t="shared" ref="G17:AA17" ca="1" si="4">SUM(G15:G16)</f>
        <v>-13.275999937924599</v>
      </c>
      <c r="H17" s="259">
        <f t="shared" ca="1" si="4"/>
        <v>-1850.7849813550681</v>
      </c>
      <c r="I17" s="259">
        <f t="shared" ca="1" si="4"/>
        <v>-5437.2655818525327</v>
      </c>
      <c r="J17" s="259">
        <f t="shared" ca="1" si="4"/>
        <v>-9482.5200859583183</v>
      </c>
      <c r="K17" s="259">
        <f t="shared" ca="1" si="4"/>
        <v>-7690.4254512476782</v>
      </c>
      <c r="L17" s="259">
        <f t="shared" ca="1" si="4"/>
        <v>-4877.8396481340124</v>
      </c>
      <c r="M17" s="259">
        <f t="shared" ca="1" si="4"/>
        <v>0</v>
      </c>
      <c r="N17" s="259">
        <f t="shared" ca="1" si="4"/>
        <v>0</v>
      </c>
      <c r="O17" s="259">
        <f t="shared" ca="1" si="4"/>
        <v>0</v>
      </c>
      <c r="P17" s="259">
        <f t="shared" ca="1" si="4"/>
        <v>0</v>
      </c>
      <c r="Q17" s="259">
        <f t="shared" ca="1" si="4"/>
        <v>0</v>
      </c>
      <c r="R17" s="259">
        <f t="shared" ca="1" si="4"/>
        <v>0</v>
      </c>
      <c r="S17" s="259">
        <f t="shared" ca="1" si="4"/>
        <v>0</v>
      </c>
      <c r="T17" s="259">
        <f t="shared" ca="1" si="4"/>
        <v>0</v>
      </c>
      <c r="U17" s="259">
        <f t="shared" ca="1" si="4"/>
        <v>0</v>
      </c>
      <c r="V17" s="259">
        <f t="shared" ca="1" si="4"/>
        <v>0</v>
      </c>
      <c r="W17" s="259">
        <f t="shared" ca="1" si="4"/>
        <v>0</v>
      </c>
      <c r="X17" s="259">
        <f t="shared" ca="1" si="4"/>
        <v>0</v>
      </c>
      <c r="Y17" s="259">
        <f t="shared" ca="1" si="4"/>
        <v>0</v>
      </c>
      <c r="Z17" s="259">
        <f t="shared" ca="1" si="4"/>
        <v>0</v>
      </c>
      <c r="AA17" s="500">
        <f t="shared" ca="1" si="4"/>
        <v>0</v>
      </c>
    </row>
    <row r="18" spans="1:29" s="255" customFormat="1">
      <c r="A18" s="177"/>
      <c r="B18" s="24"/>
      <c r="C18" s="24"/>
      <c r="D18" s="24"/>
      <c r="E18" s="24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506"/>
      <c r="AC18" s="240"/>
    </row>
    <row r="19" spans="1:29" ht="15.75">
      <c r="A19" s="1077" t="s">
        <v>964</v>
      </c>
      <c r="B19" s="23"/>
      <c r="C19" s="23"/>
      <c r="D19" s="23"/>
      <c r="E19" s="23"/>
      <c r="F19" s="25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499"/>
    </row>
    <row r="20" spans="1:29">
      <c r="A20" s="163" t="s">
        <v>164</v>
      </c>
      <c r="B20" s="23"/>
      <c r="C20" s="23"/>
      <c r="D20" s="23"/>
      <c r="E20" s="23"/>
      <c r="F20" s="831">
        <v>0</v>
      </c>
      <c r="G20" s="259">
        <f ca="1">F27</f>
        <v>0</v>
      </c>
      <c r="H20" s="259">
        <f t="shared" ref="H20:Z20" ca="1" si="5">G27</f>
        <v>0</v>
      </c>
      <c r="I20" s="259">
        <f t="shared" ca="1" si="5"/>
        <v>0</v>
      </c>
      <c r="J20" s="259">
        <f t="shared" ca="1" si="5"/>
        <v>0</v>
      </c>
      <c r="K20" s="259">
        <f t="shared" ca="1" si="5"/>
        <v>0</v>
      </c>
      <c r="L20" s="259">
        <f t="shared" ca="1" si="5"/>
        <v>0</v>
      </c>
      <c r="M20" s="259">
        <f t="shared" ca="1" si="5"/>
        <v>0</v>
      </c>
      <c r="N20" s="259">
        <f t="shared" ca="1" si="5"/>
        <v>0</v>
      </c>
      <c r="O20" s="259">
        <f t="shared" ca="1" si="5"/>
        <v>0</v>
      </c>
      <c r="P20" s="259">
        <f t="shared" ca="1" si="5"/>
        <v>0</v>
      </c>
      <c r="Q20" s="259">
        <f t="shared" ca="1" si="5"/>
        <v>0</v>
      </c>
      <c r="R20" s="259">
        <f t="shared" ca="1" si="5"/>
        <v>0</v>
      </c>
      <c r="S20" s="259">
        <f t="shared" ca="1" si="5"/>
        <v>0</v>
      </c>
      <c r="T20" s="259">
        <f t="shared" ca="1" si="5"/>
        <v>0</v>
      </c>
      <c r="U20" s="259">
        <f t="shared" ca="1" si="5"/>
        <v>0</v>
      </c>
      <c r="V20" s="259">
        <f t="shared" ca="1" si="5"/>
        <v>0</v>
      </c>
      <c r="W20" s="259">
        <f t="shared" ca="1" si="5"/>
        <v>0</v>
      </c>
      <c r="X20" s="259">
        <f t="shared" ca="1" si="5"/>
        <v>0</v>
      </c>
      <c r="Y20" s="259">
        <f t="shared" ca="1" si="5"/>
        <v>0</v>
      </c>
      <c r="Z20" s="259">
        <f t="shared" ca="1" si="5"/>
        <v>0</v>
      </c>
      <c r="AA20" s="500">
        <f>F20</f>
        <v>0</v>
      </c>
    </row>
    <row r="21" spans="1:29">
      <c r="A21" s="163" t="s">
        <v>965</v>
      </c>
      <c r="B21" s="23"/>
      <c r="C21" s="23"/>
      <c r="D21" s="23"/>
      <c r="E21" s="23"/>
      <c r="F21" s="259">
        <f>-E26</f>
        <v>0</v>
      </c>
      <c r="G21" s="259">
        <f t="shared" ref="G21:Z21" ca="1" si="6">-F26</f>
        <v>0</v>
      </c>
      <c r="H21" s="259">
        <f t="shared" ca="1" si="6"/>
        <v>-13.275999937924599</v>
      </c>
      <c r="I21" s="259">
        <f t="shared" ca="1" si="6"/>
        <v>6014.7447487197842</v>
      </c>
      <c r="J21" s="259">
        <f t="shared" ca="1" si="6"/>
        <v>11249.597192132398</v>
      </c>
      <c r="K21" s="259">
        <f t="shared" ca="1" si="6"/>
        <v>15129.384581754031</v>
      </c>
      <c r="L21" s="259">
        <f t="shared" ca="1" si="6"/>
        <v>20717.287780174556</v>
      </c>
      <c r="M21" s="259">
        <f t="shared" ca="1" si="6"/>
        <v>22449.00935675099</v>
      </c>
      <c r="N21" s="259">
        <f t="shared" ca="1" si="6"/>
        <v>25925.903127261074</v>
      </c>
      <c r="O21" s="259">
        <f t="shared" ca="1" si="6"/>
        <v>25482.292189207608</v>
      </c>
      <c r="P21" s="259">
        <f t="shared" ca="1" si="6"/>
        <v>27878.935297661203</v>
      </c>
      <c r="Q21" s="259">
        <f t="shared" ca="1" si="6"/>
        <v>33340.924642381869</v>
      </c>
      <c r="R21" s="259">
        <f t="shared" ca="1" si="6"/>
        <v>39167.004124688116</v>
      </c>
      <c r="S21" s="259">
        <f t="shared" ca="1" si="6"/>
        <v>42753.247930284298</v>
      </c>
      <c r="T21" s="259">
        <f t="shared" ca="1" si="6"/>
        <v>40645.63451364787</v>
      </c>
      <c r="U21" s="259">
        <f t="shared" ca="1" si="6"/>
        <v>38914.532968663218</v>
      </c>
      <c r="V21" s="259">
        <f t="shared" ca="1" si="6"/>
        <v>37031.590168004463</v>
      </c>
      <c r="W21" s="259">
        <f t="shared" ca="1" si="6"/>
        <v>37467.466795354092</v>
      </c>
      <c r="X21" s="259">
        <f t="shared" ca="1" si="6"/>
        <v>43816.425693660829</v>
      </c>
      <c r="Y21" s="259">
        <f t="shared" ca="1" si="6"/>
        <v>50205.724494363822</v>
      </c>
      <c r="Z21" s="259">
        <f t="shared" ca="1" si="6"/>
        <v>56638.744186076554</v>
      </c>
      <c r="AA21" s="500">
        <f ca="1">SUM(F21:Z21)</f>
        <v>574815.17379084881</v>
      </c>
    </row>
    <row r="22" spans="1:29" s="1317" customFormat="1">
      <c r="A22" s="1313" t="s">
        <v>966</v>
      </c>
      <c r="B22" s="1314"/>
      <c r="C22" s="1314"/>
      <c r="D22" s="1314"/>
      <c r="E22" s="1314"/>
      <c r="F22" s="1315">
        <f ca="1">CF!E71</f>
        <v>0</v>
      </c>
      <c r="G22" s="1315">
        <f ca="1">CF!F71</f>
        <v>-13.275999937924599</v>
      </c>
      <c r="H22" s="1315">
        <f ca="1">CF!G71</f>
        <v>6028.0207486577092</v>
      </c>
      <c r="I22" s="1315">
        <f ca="1">CF!H71</f>
        <v>5234.8524434126148</v>
      </c>
      <c r="J22" s="1315">
        <f ca="1">CF!I71</f>
        <v>3879.7873896216329</v>
      </c>
      <c r="K22" s="1315">
        <f ca="1">CF!J71</f>
        <v>5587.9031984205239</v>
      </c>
      <c r="L22" s="1315">
        <f ca="1">CF!K71</f>
        <v>1731.7215765764336</v>
      </c>
      <c r="M22" s="1315">
        <f ca="1">CF!L71</f>
        <v>5399.2071824693712</v>
      </c>
      <c r="N22" s="1315">
        <f ca="1">CF!M71</f>
        <v>6702.5419869094785</v>
      </c>
      <c r="O22" s="1315">
        <f ca="1">CF!N71</f>
        <v>10473.315972247183</v>
      </c>
      <c r="P22" s="1315">
        <f ca="1">CF!O71</f>
        <v>15036.305760851063</v>
      </c>
      <c r="Q22" s="1315">
        <f ca="1">CF!P71</f>
        <v>16391.711285619072</v>
      </c>
      <c r="R22" s="1315">
        <f ca="1">CF!Q71</f>
        <v>15371.277426389066</v>
      </c>
      <c r="S22" s="1315">
        <f ca="1">CF!R71</f>
        <v>11601.05718688219</v>
      </c>
      <c r="T22" s="1315">
        <f ca="1">CF!S71</f>
        <v>11530.607928049183</v>
      </c>
      <c r="U22" s="1315">
        <f ca="1">CF!T71</f>
        <v>13835.278778595744</v>
      </c>
      <c r="V22" s="1315">
        <f ca="1">CF!U71</f>
        <v>17425.436810390573</v>
      </c>
      <c r="W22" s="1315">
        <f ca="1">CF!V71</f>
        <v>24229.56215980076</v>
      </c>
      <c r="X22" s="1315">
        <f ca="1">CF!W71</f>
        <v>25036.360207725826</v>
      </c>
      <c r="Y22" s="1315">
        <f ca="1">CF!X71</f>
        <v>25910.778027920729</v>
      </c>
      <c r="Z22" s="1315">
        <f ca="1">CF!Y71</f>
        <v>8646.5939661715074</v>
      </c>
      <c r="AA22" s="1316">
        <f ca="1">SUM(F22:Z22)</f>
        <v>230039.04403677271</v>
      </c>
    </row>
    <row r="23" spans="1:29">
      <c r="A23" s="163" t="s">
        <v>967</v>
      </c>
      <c r="B23" s="23"/>
      <c r="C23" s="23"/>
      <c r="D23" s="23"/>
      <c r="E23" s="23"/>
      <c r="F23" s="259">
        <f ca="1">SUM(F20:F22)</f>
        <v>0</v>
      </c>
      <c r="G23" s="259">
        <f t="shared" ref="G23:Z23" ca="1" si="7">SUM(G20:G22)</f>
        <v>-13.275999937924599</v>
      </c>
      <c r="H23" s="259">
        <f t="shared" ca="1" si="7"/>
        <v>6014.7447487197842</v>
      </c>
      <c r="I23" s="259">
        <f t="shared" ca="1" si="7"/>
        <v>11249.597192132398</v>
      </c>
      <c r="J23" s="259">
        <f t="shared" ca="1" si="7"/>
        <v>15129.384581754031</v>
      </c>
      <c r="K23" s="259">
        <f t="shared" ca="1" si="7"/>
        <v>20717.287780174556</v>
      </c>
      <c r="L23" s="259">
        <f t="shared" ca="1" si="7"/>
        <v>22449.00935675099</v>
      </c>
      <c r="M23" s="259">
        <f t="shared" ca="1" si="7"/>
        <v>27848.216539220361</v>
      </c>
      <c r="N23" s="259">
        <f t="shared" ca="1" si="7"/>
        <v>32628.44511417055</v>
      </c>
      <c r="O23" s="259">
        <f t="shared" ca="1" si="7"/>
        <v>35955.608161454787</v>
      </c>
      <c r="P23" s="259">
        <f t="shared" ca="1" si="7"/>
        <v>42915.241058512263</v>
      </c>
      <c r="Q23" s="259">
        <f t="shared" ca="1" si="7"/>
        <v>49732.635928000942</v>
      </c>
      <c r="R23" s="259">
        <f t="shared" ca="1" si="7"/>
        <v>54538.281551077183</v>
      </c>
      <c r="S23" s="259">
        <f t="shared" ca="1" si="7"/>
        <v>54354.305117166485</v>
      </c>
      <c r="T23" s="259">
        <f t="shared" ca="1" si="7"/>
        <v>52176.242441697053</v>
      </c>
      <c r="U23" s="259">
        <f t="shared" ca="1" si="7"/>
        <v>52749.811747258966</v>
      </c>
      <c r="V23" s="259">
        <f t="shared" ca="1" si="7"/>
        <v>54457.026978395035</v>
      </c>
      <c r="W23" s="259">
        <f t="shared" ca="1" si="7"/>
        <v>61697.028955154849</v>
      </c>
      <c r="X23" s="259">
        <f t="shared" ca="1" si="7"/>
        <v>68852.785901386655</v>
      </c>
      <c r="Y23" s="259">
        <f t="shared" ca="1" si="7"/>
        <v>76116.502522284543</v>
      </c>
      <c r="Z23" s="259">
        <f t="shared" ca="1" si="7"/>
        <v>65285.338152248063</v>
      </c>
      <c r="AA23" s="500">
        <f ca="1">SUM(AA20:AA22)</f>
        <v>804854.2178276215</v>
      </c>
    </row>
    <row r="24" spans="1:29">
      <c r="A24" s="163" t="s">
        <v>963</v>
      </c>
      <c r="B24" s="23"/>
      <c r="C24" s="23"/>
      <c r="D24" s="23"/>
      <c r="E24" s="23"/>
      <c r="F24" s="259">
        <f ca="1">IF(OR(F15&lt;0,F23&lt;0),0,-MIN(F15,F23))</f>
        <v>0</v>
      </c>
      <c r="G24" s="259">
        <f t="shared" ref="G24:Z24" ca="1" si="8">IF(OR(G15&lt;0,G23&lt;0),0,-MIN(G15,G23))</f>
        <v>0</v>
      </c>
      <c r="H24" s="259">
        <f t="shared" ca="1" si="8"/>
        <v>0</v>
      </c>
      <c r="I24" s="259">
        <f t="shared" ca="1" si="8"/>
        <v>0</v>
      </c>
      <c r="J24" s="259">
        <f t="shared" ca="1" si="8"/>
        <v>0</v>
      </c>
      <c r="K24" s="259">
        <f t="shared" ca="1" si="8"/>
        <v>0</v>
      </c>
      <c r="L24" s="259">
        <f t="shared" ca="1" si="8"/>
        <v>0</v>
      </c>
      <c r="M24" s="259">
        <f t="shared" ca="1" si="8"/>
        <v>-1922.3134119592871</v>
      </c>
      <c r="N24" s="259">
        <f t="shared" ca="1" si="8"/>
        <v>-7146.152924962943</v>
      </c>
      <c r="O24" s="259">
        <f t="shared" ca="1" si="8"/>
        <v>-8076.6728637935848</v>
      </c>
      <c r="P24" s="259">
        <f t="shared" ca="1" si="8"/>
        <v>-9574.3164161303921</v>
      </c>
      <c r="Q24" s="259">
        <f t="shared" ca="1" si="8"/>
        <v>-10565.631803312828</v>
      </c>
      <c r="R24" s="259">
        <f t="shared" ca="1" si="8"/>
        <v>-11785.033620792887</v>
      </c>
      <c r="S24" s="259">
        <f t="shared" ca="1" si="8"/>
        <v>-13708.670603518614</v>
      </c>
      <c r="T24" s="259">
        <f t="shared" ca="1" si="8"/>
        <v>-13261.709473033832</v>
      </c>
      <c r="U24" s="259">
        <f t="shared" ca="1" si="8"/>
        <v>-15718.221579254507</v>
      </c>
      <c r="V24" s="259">
        <f t="shared" ca="1" si="8"/>
        <v>-16989.560183040947</v>
      </c>
      <c r="W24" s="259">
        <f t="shared" ca="1" si="8"/>
        <v>-17880.603261494023</v>
      </c>
      <c r="X24" s="259">
        <f t="shared" ca="1" si="8"/>
        <v>-18647.061407022837</v>
      </c>
      <c r="Y24" s="259">
        <f t="shared" ca="1" si="8"/>
        <v>-19477.758336207993</v>
      </c>
      <c r="Z24" s="259">
        <f t="shared" ca="1" si="8"/>
        <v>-16014.296810120893</v>
      </c>
      <c r="AA24" s="500">
        <f ca="1">SUM(F24:Z24)</f>
        <v>-180768.00269464558</v>
      </c>
    </row>
    <row r="25" spans="1:29">
      <c r="A25" s="163" t="s">
        <v>968</v>
      </c>
      <c r="B25" s="23"/>
      <c r="C25" s="23"/>
      <c r="D25" s="23"/>
      <c r="E25" s="23"/>
      <c r="F25" s="259">
        <f ca="1">IF(F$7=YEAR(Endyr),-SUM(F23:F24)*Assm!$L$49,-SUM(F23:F24)*Assm!$L$47)</f>
        <v>0</v>
      </c>
      <c r="G25" s="259">
        <f ca="1">IF(G$7=YEAR(Endyr),-SUM(G23:G24)*Assm!$L$49,-SUM(G23:G24)*Assm!$L$47)</f>
        <v>0</v>
      </c>
      <c r="H25" s="259">
        <f ca="1">IF(H$7=YEAR(Endyr),-SUM(H23:H24)*Assm!$L$49,-SUM(H23:H24)*Assm!$L$47)</f>
        <v>0</v>
      </c>
      <c r="I25" s="259">
        <f ca="1">IF(I$7=YEAR(Endyr),-SUM(I23:I24)*Assm!$L$49,-SUM(I23:I24)*Assm!$L$47)</f>
        <v>0</v>
      </c>
      <c r="J25" s="259">
        <f ca="1">IF(J$7=YEAR(Endyr),-SUM(J23:J24)*Assm!$L$49,-SUM(J23:J24)*Assm!$L$47)</f>
        <v>0</v>
      </c>
      <c r="K25" s="259">
        <f ca="1">IF(K$7=YEAR(Endyr),-SUM(K23:K24)*Assm!$L$49,-SUM(K23:K24)*Assm!$L$47)</f>
        <v>0</v>
      </c>
      <c r="L25" s="259">
        <f ca="1">IF(L$7=YEAR(Endyr),-SUM(L23:L24)*Assm!$L$49,-SUM(L23:L24)*Assm!$L$47)</f>
        <v>0</v>
      </c>
      <c r="M25" s="259">
        <f ca="1">IF(M$7=YEAR(Endyr),-SUM(M23:M24)*Assm!$L$49,-SUM(M23:M24)*Assm!$L$47)</f>
        <v>0</v>
      </c>
      <c r="N25" s="259">
        <f ca="1">IF(N$7=YEAR(Endyr),-SUM(N23:N24)*Assm!$L$49,-SUM(N23:N24)*Assm!$L$47)</f>
        <v>0</v>
      </c>
      <c r="O25" s="259">
        <f ca="1">IF(O$7=YEAR(Endyr),-SUM(O23:O24)*Assm!$L$49,-SUM(O23:O24)*Assm!$L$47)</f>
        <v>0</v>
      </c>
      <c r="P25" s="259">
        <f ca="1">IF(P$7=YEAR(Endyr),-SUM(P23:P24)*Assm!$L$49,-SUM(P23:P24)*Assm!$L$47)</f>
        <v>0</v>
      </c>
      <c r="Q25" s="259">
        <f ca="1">IF(Q$7=YEAR(Endyr),-SUM(Q23:Q24)*Assm!$L$49,-SUM(Q23:Q24)*Assm!$L$47)</f>
        <v>0</v>
      </c>
      <c r="R25" s="259">
        <f ca="1">IF(R$7=YEAR(Endyr),-SUM(R23:R24)*Assm!$L$49,-SUM(R23:R24)*Assm!$L$47)</f>
        <v>0</v>
      </c>
      <c r="S25" s="259">
        <f ca="1">IF(S$7=YEAR(Endyr),-SUM(S23:S24)*Assm!$L$49,-SUM(S23:S24)*Assm!$L$47)</f>
        <v>0</v>
      </c>
      <c r="T25" s="259">
        <f ca="1">IF(T$7=YEAR(Endyr),-SUM(T23:T24)*Assm!$L$49,-SUM(T23:T24)*Assm!$L$47)</f>
        <v>0</v>
      </c>
      <c r="U25" s="259">
        <f ca="1">IF(U$7=YEAR(Endyr),-SUM(U23:U24)*Assm!$L$49,-SUM(U23:U24)*Assm!$L$47)</f>
        <v>0</v>
      </c>
      <c r="V25" s="259">
        <f ca="1">IF(V$7=YEAR(Endyr),-SUM(V23:V24)*Assm!$L$49,-SUM(V23:V24)*Assm!$L$47)</f>
        <v>0</v>
      </c>
      <c r="W25" s="259">
        <f ca="1">IF(W$7=YEAR(Endyr),-SUM(W23:W24)*Assm!$L$49,-SUM(W23:W24)*Assm!$L$47)</f>
        <v>0</v>
      </c>
      <c r="X25" s="259">
        <f ca="1">IF(X$7=YEAR(Endyr),-SUM(X23:X24)*Assm!$L$49,-SUM(X23:X24)*Assm!$L$47)</f>
        <v>0</v>
      </c>
      <c r="Y25" s="259">
        <f ca="1">IF(Y$7=YEAR(Endyr),-SUM(Y23:Y24)*Assm!$L$49,-SUM(Y23:Y24)*Assm!$L$47)</f>
        <v>0</v>
      </c>
      <c r="Z25" s="259">
        <f ca="1">IF(Z$7=YEAR(Endyr),-SUM(Z23:Z24)*Assm!$L$49,-SUM(Z23:Z24)*Assm!$L$47)</f>
        <v>-49271.041342127166</v>
      </c>
      <c r="AA25" s="500">
        <f ca="1">SUM(F25:Z25)</f>
        <v>-49271.041342127166</v>
      </c>
    </row>
    <row r="26" spans="1:29" s="255" customFormat="1">
      <c r="A26" s="163" t="s">
        <v>969</v>
      </c>
      <c r="B26" s="23"/>
      <c r="C26" s="23"/>
      <c r="D26" s="23"/>
      <c r="E26" s="23"/>
      <c r="F26" s="260">
        <f ca="1">-SUM(F23:F25)*Assm!$L$48</f>
        <v>0</v>
      </c>
      <c r="G26" s="260">
        <f ca="1">-SUM(G23:G25)*Assm!$L$48</f>
        <v>13.275999937924599</v>
      </c>
      <c r="H26" s="260">
        <f ca="1">-SUM(H23:H25)*Assm!$L$48</f>
        <v>-6014.7447487197842</v>
      </c>
      <c r="I26" s="260">
        <f ca="1">-SUM(I23:I25)*Assm!$L$48</f>
        <v>-11249.597192132398</v>
      </c>
      <c r="J26" s="260">
        <f ca="1">-SUM(J23:J25)*Assm!$L$48</f>
        <v>-15129.384581754031</v>
      </c>
      <c r="K26" s="260">
        <f ca="1">-SUM(K23:K25)*Assm!$L$48</f>
        <v>-20717.287780174556</v>
      </c>
      <c r="L26" s="260">
        <f ca="1">-SUM(L23:L25)*Assm!$L$48</f>
        <v>-22449.00935675099</v>
      </c>
      <c r="M26" s="260">
        <f ca="1">-SUM(M23:M25)*Assm!$L$48</f>
        <v>-25925.903127261074</v>
      </c>
      <c r="N26" s="260">
        <f ca="1">-SUM(N23:N25)*Assm!$L$48</f>
        <v>-25482.292189207608</v>
      </c>
      <c r="O26" s="260">
        <f ca="1">-SUM(O23:O25)*Assm!$L$48</f>
        <v>-27878.935297661203</v>
      </c>
      <c r="P26" s="260">
        <f ca="1">-SUM(P23:P25)*Assm!$L$48</f>
        <v>-33340.924642381869</v>
      </c>
      <c r="Q26" s="260">
        <f ca="1">-SUM(Q23:Q25)*Assm!$L$48</f>
        <v>-39167.004124688116</v>
      </c>
      <c r="R26" s="260">
        <f ca="1">-SUM(R23:R25)*Assm!$L$48</f>
        <v>-42753.247930284298</v>
      </c>
      <c r="S26" s="260">
        <f ca="1">-SUM(S23:S25)*Assm!$L$48</f>
        <v>-40645.63451364787</v>
      </c>
      <c r="T26" s="260">
        <f ca="1">-SUM(T23:T25)*Assm!$L$48</f>
        <v>-38914.532968663218</v>
      </c>
      <c r="U26" s="260">
        <f ca="1">-SUM(U23:U25)*Assm!$L$48</f>
        <v>-37031.590168004463</v>
      </c>
      <c r="V26" s="260">
        <f ca="1">-SUM(V23:V25)*Assm!$L$48</f>
        <v>-37467.466795354092</v>
      </c>
      <c r="W26" s="260">
        <f ca="1">-SUM(W23:W25)*Assm!$L$48</f>
        <v>-43816.425693660829</v>
      </c>
      <c r="X26" s="260">
        <f ca="1">-SUM(X23:X25)*Assm!$L$48</f>
        <v>-50205.724494363822</v>
      </c>
      <c r="Y26" s="260">
        <f ca="1">-SUM(Y23:Y25)*Assm!$L$48</f>
        <v>-56638.744186076554</v>
      </c>
      <c r="Z26" s="260">
        <f ca="1">-SUM(Z23:Z25)*Assm!$L$48</f>
        <v>0</v>
      </c>
      <c r="AA26" s="501">
        <f ca="1">SUM(F26:Z26)</f>
        <v>-574815.17379084881</v>
      </c>
      <c r="AC26" s="240"/>
    </row>
    <row r="27" spans="1:29" s="255" customFormat="1">
      <c r="A27" s="163" t="s">
        <v>172</v>
      </c>
      <c r="B27" s="23"/>
      <c r="C27" s="23"/>
      <c r="D27" s="23"/>
      <c r="E27" s="23"/>
      <c r="F27" s="259">
        <f t="shared" ref="F27:Z27" ca="1" si="9">SUM(F23:F26)</f>
        <v>0</v>
      </c>
      <c r="G27" s="259">
        <f t="shared" ca="1" si="9"/>
        <v>0</v>
      </c>
      <c r="H27" s="259">
        <f t="shared" ca="1" si="9"/>
        <v>0</v>
      </c>
      <c r="I27" s="259">
        <f t="shared" ca="1" si="9"/>
        <v>0</v>
      </c>
      <c r="J27" s="259">
        <f t="shared" ca="1" si="9"/>
        <v>0</v>
      </c>
      <c r="K27" s="259">
        <f t="shared" ca="1" si="9"/>
        <v>0</v>
      </c>
      <c r="L27" s="259">
        <f t="shared" ca="1" si="9"/>
        <v>0</v>
      </c>
      <c r="M27" s="259">
        <f t="shared" ca="1" si="9"/>
        <v>0</v>
      </c>
      <c r="N27" s="259">
        <f t="shared" ca="1" si="9"/>
        <v>0</v>
      </c>
      <c r="O27" s="259">
        <f t="shared" ca="1" si="9"/>
        <v>0</v>
      </c>
      <c r="P27" s="259">
        <f t="shared" ca="1" si="9"/>
        <v>0</v>
      </c>
      <c r="Q27" s="259">
        <f t="shared" ca="1" si="9"/>
        <v>0</v>
      </c>
      <c r="R27" s="259">
        <f t="shared" ca="1" si="9"/>
        <v>0</v>
      </c>
      <c r="S27" s="259">
        <f t="shared" ca="1" si="9"/>
        <v>0</v>
      </c>
      <c r="T27" s="259">
        <f t="shared" ca="1" si="9"/>
        <v>0</v>
      </c>
      <c r="U27" s="259">
        <f t="shared" ca="1" si="9"/>
        <v>0</v>
      </c>
      <c r="V27" s="259">
        <f t="shared" ca="1" si="9"/>
        <v>0</v>
      </c>
      <c r="W27" s="259">
        <f t="shared" ca="1" si="9"/>
        <v>0</v>
      </c>
      <c r="X27" s="259">
        <f t="shared" ca="1" si="9"/>
        <v>0</v>
      </c>
      <c r="Y27" s="259">
        <f t="shared" ca="1" si="9"/>
        <v>0</v>
      </c>
      <c r="Z27" s="259">
        <f t="shared" ca="1" si="9"/>
        <v>0</v>
      </c>
      <c r="AA27" s="500">
        <f ca="1">SUM(AA23:AA26)</f>
        <v>0</v>
      </c>
      <c r="AC27" s="240"/>
    </row>
    <row r="28" spans="1:29" ht="15.75">
      <c r="A28" s="163"/>
      <c r="B28" s="23"/>
      <c r="C28" s="23"/>
      <c r="D28" s="23"/>
      <c r="E28" s="23"/>
      <c r="F28" s="25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499"/>
    </row>
    <row r="29" spans="1:29" ht="14.25" customHeight="1">
      <c r="A29" s="466" t="s">
        <v>476</v>
      </c>
      <c r="B29" s="272"/>
      <c r="C29" s="272"/>
      <c r="D29" s="272"/>
      <c r="E29" s="272"/>
      <c r="F29" s="878">
        <v>0</v>
      </c>
      <c r="G29" s="378">
        <f t="shared" ref="G29:W29" ca="1" si="10">F32</f>
        <v>0</v>
      </c>
      <c r="H29" s="378">
        <f t="shared" ca="1" si="10"/>
        <v>-13.275999937924599</v>
      </c>
      <c r="I29" s="378">
        <f t="shared" ca="1" si="10"/>
        <v>6014.7447487197842</v>
      </c>
      <c r="J29" s="378">
        <f t="shared" ca="1" si="10"/>
        <v>11249.597192132398</v>
      </c>
      <c r="K29" s="378">
        <f t="shared" ca="1" si="10"/>
        <v>15129.384581754031</v>
      </c>
      <c r="L29" s="378">
        <f t="shared" ca="1" si="10"/>
        <v>20717.287780174556</v>
      </c>
      <c r="M29" s="378">
        <f t="shared" ca="1" si="10"/>
        <v>22449.00935675099</v>
      </c>
      <c r="N29" s="378">
        <f t="shared" ca="1" si="10"/>
        <v>25925.903127261074</v>
      </c>
      <c r="O29" s="378">
        <f t="shared" ca="1" si="10"/>
        <v>25482.292189207608</v>
      </c>
      <c r="P29" s="378">
        <f t="shared" ca="1" si="10"/>
        <v>27878.935297661203</v>
      </c>
      <c r="Q29" s="378">
        <f t="shared" ca="1" si="10"/>
        <v>33340.924642381869</v>
      </c>
      <c r="R29" s="378">
        <f t="shared" ca="1" si="10"/>
        <v>39167.004124688116</v>
      </c>
      <c r="S29" s="378">
        <f t="shared" ca="1" si="10"/>
        <v>42753.247930284298</v>
      </c>
      <c r="T29" s="378">
        <f t="shared" ca="1" si="10"/>
        <v>40645.63451364787</v>
      </c>
      <c r="U29" s="378">
        <f t="shared" ca="1" si="10"/>
        <v>38914.532968663218</v>
      </c>
      <c r="V29" s="378">
        <f t="shared" ca="1" si="10"/>
        <v>37031.590168004463</v>
      </c>
      <c r="W29" s="378">
        <f t="shared" ca="1" si="10"/>
        <v>37467.466795354092</v>
      </c>
      <c r="X29" s="378">
        <f ca="1">W32</f>
        <v>43816.425693660829</v>
      </c>
      <c r="Y29" s="378">
        <f ca="1">X32</f>
        <v>50205.724494363822</v>
      </c>
      <c r="Z29" s="378">
        <f ca="1">Y32</f>
        <v>56638.744186076554</v>
      </c>
      <c r="AA29" s="502">
        <f>F29</f>
        <v>0</v>
      </c>
    </row>
    <row r="30" spans="1:29" s="23" customFormat="1" ht="14.25" customHeight="1">
      <c r="A30" s="491" t="s">
        <v>162</v>
      </c>
      <c r="B30" s="278"/>
      <c r="C30" s="278"/>
      <c r="D30" s="278"/>
      <c r="E30" s="278"/>
      <c r="F30" s="379">
        <f ca="1">IF(-F26+E26&gt;0,-F26+E26,0)</f>
        <v>0</v>
      </c>
      <c r="G30" s="379">
        <f t="shared" ref="G30:Z30" ca="1" si="11">IF(-G26+F26&gt;0,-G26+F26,0)</f>
        <v>0</v>
      </c>
      <c r="H30" s="379">
        <f t="shared" ca="1" si="11"/>
        <v>6028.0207486577092</v>
      </c>
      <c r="I30" s="379">
        <f t="shared" ca="1" si="11"/>
        <v>5234.8524434126139</v>
      </c>
      <c r="J30" s="379">
        <f t="shared" ca="1" si="11"/>
        <v>3879.7873896216333</v>
      </c>
      <c r="K30" s="379">
        <f t="shared" ca="1" si="11"/>
        <v>5587.9031984205249</v>
      </c>
      <c r="L30" s="379">
        <f t="shared" ca="1" si="11"/>
        <v>1731.721576576434</v>
      </c>
      <c r="M30" s="379">
        <f t="shared" ca="1" si="11"/>
        <v>3476.8937705100834</v>
      </c>
      <c r="N30" s="379">
        <f t="shared" ca="1" si="11"/>
        <v>0</v>
      </c>
      <c r="O30" s="379">
        <f t="shared" ca="1" si="11"/>
        <v>2396.6431084535943</v>
      </c>
      <c r="P30" s="379">
        <f t="shared" ca="1" si="11"/>
        <v>5461.9893447206668</v>
      </c>
      <c r="Q30" s="379">
        <f t="shared" ca="1" si="11"/>
        <v>5826.0794823062461</v>
      </c>
      <c r="R30" s="379">
        <f t="shared" ca="1" si="11"/>
        <v>3586.2438055961829</v>
      </c>
      <c r="S30" s="379">
        <f t="shared" ca="1" si="11"/>
        <v>0</v>
      </c>
      <c r="T30" s="379">
        <f t="shared" ca="1" si="11"/>
        <v>0</v>
      </c>
      <c r="U30" s="379">
        <f t="shared" ca="1" si="11"/>
        <v>0</v>
      </c>
      <c r="V30" s="379">
        <f t="shared" ca="1" si="11"/>
        <v>435.87662734962942</v>
      </c>
      <c r="W30" s="379">
        <f t="shared" ca="1" si="11"/>
        <v>6348.958898306737</v>
      </c>
      <c r="X30" s="379">
        <f t="shared" ca="1" si="11"/>
        <v>6389.2988007029926</v>
      </c>
      <c r="Y30" s="379">
        <f t="shared" ca="1" si="11"/>
        <v>6433.0196917127323</v>
      </c>
      <c r="Z30" s="379">
        <f t="shared" ca="1" si="11"/>
        <v>0</v>
      </c>
      <c r="AA30" s="503">
        <f ca="1">SUM(F30:Z30)</f>
        <v>62817.288886347786</v>
      </c>
    </row>
    <row r="31" spans="1:29" s="23" customFormat="1">
      <c r="A31" s="491" t="s">
        <v>325</v>
      </c>
      <c r="B31" s="278"/>
      <c r="C31" s="278"/>
      <c r="D31" s="278"/>
      <c r="E31" s="278"/>
      <c r="F31" s="380">
        <f ca="1">IF(-F26+E26&lt;0,-F26+E26,0)</f>
        <v>0</v>
      </c>
      <c r="G31" s="380">
        <f t="shared" ref="G31:Z31" ca="1" si="12">IF(-G26+F26&lt;0,-G26+F26,0)</f>
        <v>-13.275999937924599</v>
      </c>
      <c r="H31" s="380">
        <f t="shared" ca="1" si="12"/>
        <v>0</v>
      </c>
      <c r="I31" s="380">
        <f t="shared" ca="1" si="12"/>
        <v>0</v>
      </c>
      <c r="J31" s="380">
        <f t="shared" ca="1" si="12"/>
        <v>0</v>
      </c>
      <c r="K31" s="380">
        <f t="shared" ca="1" si="12"/>
        <v>0</v>
      </c>
      <c r="L31" s="380">
        <f t="shared" ca="1" si="12"/>
        <v>0</v>
      </c>
      <c r="M31" s="380">
        <f t="shared" ca="1" si="12"/>
        <v>0</v>
      </c>
      <c r="N31" s="380">
        <f t="shared" ca="1" si="12"/>
        <v>-443.61093805346536</v>
      </c>
      <c r="O31" s="380">
        <f t="shared" ca="1" si="12"/>
        <v>0</v>
      </c>
      <c r="P31" s="380">
        <f t="shared" ca="1" si="12"/>
        <v>0</v>
      </c>
      <c r="Q31" s="380">
        <f t="shared" ca="1" si="12"/>
        <v>0</v>
      </c>
      <c r="R31" s="380">
        <f t="shared" ca="1" si="12"/>
        <v>0</v>
      </c>
      <c r="S31" s="380">
        <f t="shared" ca="1" si="12"/>
        <v>-2107.6134166364282</v>
      </c>
      <c r="T31" s="380">
        <f t="shared" ca="1" si="12"/>
        <v>-1731.1015449846527</v>
      </c>
      <c r="U31" s="380">
        <f t="shared" ca="1" si="12"/>
        <v>-1882.942800658755</v>
      </c>
      <c r="V31" s="380">
        <f t="shared" ca="1" si="12"/>
        <v>0</v>
      </c>
      <c r="W31" s="380">
        <f t="shared" ca="1" si="12"/>
        <v>0</v>
      </c>
      <c r="X31" s="380">
        <f t="shared" ca="1" si="12"/>
        <v>0</v>
      </c>
      <c r="Y31" s="380">
        <f t="shared" ca="1" si="12"/>
        <v>0</v>
      </c>
      <c r="Z31" s="380">
        <f t="shared" ca="1" si="12"/>
        <v>-56638.744186076554</v>
      </c>
      <c r="AA31" s="504">
        <f ca="1">SUM(F31:Z31)</f>
        <v>-62817.288886347778</v>
      </c>
    </row>
    <row r="32" spans="1:29">
      <c r="A32" s="492" t="s">
        <v>477</v>
      </c>
      <c r="B32" s="444"/>
      <c r="C32" s="444"/>
      <c r="D32" s="444"/>
      <c r="E32" s="444"/>
      <c r="F32" s="445">
        <f ca="1">SUM(F29:F31)</f>
        <v>0</v>
      </c>
      <c r="G32" s="445">
        <f t="shared" ref="G32:Z32" ca="1" si="13">SUM(G29:G31)</f>
        <v>-13.275999937924599</v>
      </c>
      <c r="H32" s="445">
        <f t="shared" ca="1" si="13"/>
        <v>6014.7447487197842</v>
      </c>
      <c r="I32" s="445">
        <f t="shared" ca="1" si="13"/>
        <v>11249.597192132398</v>
      </c>
      <c r="J32" s="445">
        <f t="shared" ca="1" si="13"/>
        <v>15129.384581754031</v>
      </c>
      <c r="K32" s="445">
        <f t="shared" ca="1" si="13"/>
        <v>20717.287780174556</v>
      </c>
      <c r="L32" s="445">
        <f t="shared" ca="1" si="13"/>
        <v>22449.00935675099</v>
      </c>
      <c r="M32" s="445">
        <f t="shared" ca="1" si="13"/>
        <v>25925.903127261074</v>
      </c>
      <c r="N32" s="445">
        <f t="shared" ca="1" si="13"/>
        <v>25482.292189207608</v>
      </c>
      <c r="O32" s="445">
        <f t="shared" ca="1" si="13"/>
        <v>27878.935297661203</v>
      </c>
      <c r="P32" s="445">
        <f t="shared" ca="1" si="13"/>
        <v>33340.924642381869</v>
      </c>
      <c r="Q32" s="445">
        <f t="shared" ca="1" si="13"/>
        <v>39167.004124688116</v>
      </c>
      <c r="R32" s="445">
        <f t="shared" ca="1" si="13"/>
        <v>42753.247930284298</v>
      </c>
      <c r="S32" s="445">
        <f t="shared" ca="1" si="13"/>
        <v>40645.63451364787</v>
      </c>
      <c r="T32" s="445">
        <f t="shared" ca="1" si="13"/>
        <v>38914.532968663218</v>
      </c>
      <c r="U32" s="445">
        <f t="shared" ca="1" si="13"/>
        <v>37031.590168004463</v>
      </c>
      <c r="V32" s="445">
        <f t="shared" ca="1" si="13"/>
        <v>37467.466795354092</v>
      </c>
      <c r="W32" s="445">
        <f t="shared" ca="1" si="13"/>
        <v>43816.425693660829</v>
      </c>
      <c r="X32" s="445">
        <f t="shared" ca="1" si="13"/>
        <v>50205.724494363822</v>
      </c>
      <c r="Y32" s="445">
        <f t="shared" ca="1" si="13"/>
        <v>56638.744186076554</v>
      </c>
      <c r="Z32" s="445">
        <f t="shared" ca="1" si="13"/>
        <v>0</v>
      </c>
      <c r="AA32" s="505">
        <f ca="1">SUM(AA29:AA31)</f>
        <v>0</v>
      </c>
    </row>
    <row r="33" spans="1:27" s="255" customFormat="1">
      <c r="A33" s="177"/>
      <c r="B33" s="24"/>
      <c r="C33" s="24"/>
      <c r="D33" s="24"/>
      <c r="E33" s="24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506"/>
    </row>
    <row r="34" spans="1:27" s="23" customFormat="1">
      <c r="A34" s="177" t="s">
        <v>326</v>
      </c>
      <c r="AA34" s="499"/>
    </row>
    <row r="35" spans="1:27">
      <c r="A35" s="163" t="s">
        <v>164</v>
      </c>
      <c r="B35" s="23"/>
      <c r="C35" s="23"/>
      <c r="D35" s="23"/>
      <c r="E35" s="23"/>
      <c r="F35" s="879">
        <v>0</v>
      </c>
      <c r="G35" s="261">
        <f t="shared" ref="G35:W35" si="14">F38</f>
        <v>0</v>
      </c>
      <c r="H35" s="261">
        <f t="shared" ca="1" si="14"/>
        <v>0</v>
      </c>
      <c r="I35" s="261">
        <f t="shared" ca="1" si="14"/>
        <v>-13.275999937924599</v>
      </c>
      <c r="J35" s="261">
        <f t="shared" ca="1" si="14"/>
        <v>6014.7447487197842</v>
      </c>
      <c r="K35" s="261">
        <f t="shared" ca="1" si="14"/>
        <v>11249.597192132398</v>
      </c>
      <c r="L35" s="261">
        <f t="shared" ca="1" si="14"/>
        <v>15129.384581754031</v>
      </c>
      <c r="M35" s="261">
        <f t="shared" ca="1" si="14"/>
        <v>20717.287780174556</v>
      </c>
      <c r="N35" s="261">
        <f t="shared" ca="1" si="14"/>
        <v>22449.00935675099</v>
      </c>
      <c r="O35" s="261">
        <f t="shared" ca="1" si="14"/>
        <v>25925.903127261074</v>
      </c>
      <c r="P35" s="261">
        <f t="shared" ca="1" si="14"/>
        <v>25482.292189207608</v>
      </c>
      <c r="Q35" s="261">
        <f t="shared" ca="1" si="14"/>
        <v>27878.935297661203</v>
      </c>
      <c r="R35" s="261">
        <f t="shared" ca="1" si="14"/>
        <v>33340.924642381869</v>
      </c>
      <c r="S35" s="261">
        <f t="shared" ca="1" si="14"/>
        <v>39167.004124688116</v>
      </c>
      <c r="T35" s="261">
        <f t="shared" ca="1" si="14"/>
        <v>42753.247930284298</v>
      </c>
      <c r="U35" s="261">
        <f t="shared" ca="1" si="14"/>
        <v>40645.63451364787</v>
      </c>
      <c r="V35" s="261">
        <f t="shared" ca="1" si="14"/>
        <v>38914.532968663218</v>
      </c>
      <c r="W35" s="261">
        <f t="shared" ca="1" si="14"/>
        <v>37031.590168004463</v>
      </c>
      <c r="X35" s="261">
        <f ca="1">W38</f>
        <v>37467.466795354092</v>
      </c>
      <c r="Y35" s="261">
        <f ca="1">X38</f>
        <v>43816.425693660829</v>
      </c>
      <c r="Z35" s="261">
        <f ca="1">Y38</f>
        <v>50205.724494363822</v>
      </c>
      <c r="AA35" s="500">
        <f>F35</f>
        <v>0</v>
      </c>
    </row>
    <row r="36" spans="1:27">
      <c r="A36" s="163" t="s">
        <v>327</v>
      </c>
      <c r="B36" s="23"/>
      <c r="C36" s="23"/>
      <c r="D36" s="23"/>
      <c r="E36" s="23"/>
      <c r="F36" s="261">
        <f t="shared" ref="F36:W36" si="15">E30</f>
        <v>0</v>
      </c>
      <c r="G36" s="261">
        <f t="shared" ca="1" si="15"/>
        <v>0</v>
      </c>
      <c r="H36" s="261">
        <f t="shared" ca="1" si="15"/>
        <v>0</v>
      </c>
      <c r="I36" s="261">
        <f t="shared" ca="1" si="15"/>
        <v>6028.0207486577092</v>
      </c>
      <c r="J36" s="261">
        <f t="shared" ca="1" si="15"/>
        <v>5234.8524434126139</v>
      </c>
      <c r="K36" s="261">
        <f t="shared" ca="1" si="15"/>
        <v>3879.7873896216333</v>
      </c>
      <c r="L36" s="261">
        <f t="shared" ca="1" si="15"/>
        <v>5587.9031984205249</v>
      </c>
      <c r="M36" s="261">
        <f t="shared" ca="1" si="15"/>
        <v>1731.721576576434</v>
      </c>
      <c r="N36" s="261">
        <f t="shared" ca="1" si="15"/>
        <v>3476.8937705100834</v>
      </c>
      <c r="O36" s="261">
        <f t="shared" ca="1" si="15"/>
        <v>0</v>
      </c>
      <c r="P36" s="261">
        <f t="shared" ca="1" si="15"/>
        <v>2396.6431084535943</v>
      </c>
      <c r="Q36" s="261">
        <f t="shared" ca="1" si="15"/>
        <v>5461.9893447206668</v>
      </c>
      <c r="R36" s="261">
        <f t="shared" ca="1" si="15"/>
        <v>5826.0794823062461</v>
      </c>
      <c r="S36" s="261">
        <f t="shared" ca="1" si="15"/>
        <v>3586.2438055961829</v>
      </c>
      <c r="T36" s="261">
        <f t="shared" ca="1" si="15"/>
        <v>0</v>
      </c>
      <c r="U36" s="261">
        <f t="shared" ca="1" si="15"/>
        <v>0</v>
      </c>
      <c r="V36" s="261">
        <f t="shared" ca="1" si="15"/>
        <v>0</v>
      </c>
      <c r="W36" s="261">
        <f t="shared" ca="1" si="15"/>
        <v>435.87662734962942</v>
      </c>
      <c r="X36" s="261">
        <f ca="1">W30</f>
        <v>6348.958898306737</v>
      </c>
      <c r="Y36" s="261">
        <f ca="1">X30</f>
        <v>6389.2988007029926</v>
      </c>
      <c r="Z36" s="261">
        <f ca="1">Y30</f>
        <v>6433.0196917127323</v>
      </c>
      <c r="AA36" s="500">
        <f ca="1">SUM(F36:Z36)</f>
        <v>62817.288886347786</v>
      </c>
    </row>
    <row r="37" spans="1:27">
      <c r="A37" s="163" t="s">
        <v>165</v>
      </c>
      <c r="B37" s="23"/>
      <c r="C37" s="23"/>
      <c r="D37" s="23"/>
      <c r="E37" s="23"/>
      <c r="F37" s="262">
        <f>IF(F$7=YEAR(Endyr),F31,E31)</f>
        <v>0</v>
      </c>
      <c r="G37" s="262">
        <f t="shared" ref="G37:Z37" ca="1" si="16">IF(G$7=YEAR(Endyr),G31,F31)</f>
        <v>0</v>
      </c>
      <c r="H37" s="262">
        <f t="shared" ca="1" si="16"/>
        <v>-13.275999937924599</v>
      </c>
      <c r="I37" s="262">
        <f t="shared" ca="1" si="16"/>
        <v>0</v>
      </c>
      <c r="J37" s="262">
        <f t="shared" ca="1" si="16"/>
        <v>0</v>
      </c>
      <c r="K37" s="262">
        <f t="shared" ca="1" si="16"/>
        <v>0</v>
      </c>
      <c r="L37" s="262">
        <f t="shared" ca="1" si="16"/>
        <v>0</v>
      </c>
      <c r="M37" s="262">
        <f t="shared" ca="1" si="16"/>
        <v>0</v>
      </c>
      <c r="N37" s="262">
        <f t="shared" ca="1" si="16"/>
        <v>0</v>
      </c>
      <c r="O37" s="262">
        <f t="shared" ca="1" si="16"/>
        <v>-443.61093805346536</v>
      </c>
      <c r="P37" s="262">
        <f t="shared" ca="1" si="16"/>
        <v>0</v>
      </c>
      <c r="Q37" s="262">
        <f t="shared" ca="1" si="16"/>
        <v>0</v>
      </c>
      <c r="R37" s="262">
        <f t="shared" ca="1" si="16"/>
        <v>0</v>
      </c>
      <c r="S37" s="262">
        <f t="shared" ca="1" si="16"/>
        <v>0</v>
      </c>
      <c r="T37" s="262">
        <f t="shared" ca="1" si="16"/>
        <v>-2107.6134166364282</v>
      </c>
      <c r="U37" s="262">
        <f t="shared" ca="1" si="16"/>
        <v>-1731.1015449846527</v>
      </c>
      <c r="V37" s="262">
        <f t="shared" ca="1" si="16"/>
        <v>-1882.942800658755</v>
      </c>
      <c r="W37" s="262">
        <f t="shared" ca="1" si="16"/>
        <v>0</v>
      </c>
      <c r="X37" s="262">
        <f t="shared" ca="1" si="16"/>
        <v>0</v>
      </c>
      <c r="Y37" s="262">
        <f t="shared" ca="1" si="16"/>
        <v>0</v>
      </c>
      <c r="Z37" s="262">
        <f t="shared" ca="1" si="16"/>
        <v>-56638.744186076554</v>
      </c>
      <c r="AA37" s="501">
        <f ca="1">SUM(F37:Z37)</f>
        <v>-62817.288886347778</v>
      </c>
    </row>
    <row r="38" spans="1:27">
      <c r="A38" s="163" t="s">
        <v>172</v>
      </c>
      <c r="B38" s="23"/>
      <c r="C38" s="23"/>
      <c r="D38" s="23"/>
      <c r="E38" s="23"/>
      <c r="F38" s="261">
        <f>SUM(F35:F37)</f>
        <v>0</v>
      </c>
      <c r="G38" s="261">
        <f t="shared" ref="G38:AA38" ca="1" si="17">SUM(G35:G37)</f>
        <v>0</v>
      </c>
      <c r="H38" s="261">
        <f t="shared" ca="1" si="17"/>
        <v>-13.275999937924599</v>
      </c>
      <c r="I38" s="261">
        <f t="shared" ca="1" si="17"/>
        <v>6014.7447487197842</v>
      </c>
      <c r="J38" s="261">
        <f t="shared" ca="1" si="17"/>
        <v>11249.597192132398</v>
      </c>
      <c r="K38" s="261">
        <f t="shared" ca="1" si="17"/>
        <v>15129.384581754031</v>
      </c>
      <c r="L38" s="261">
        <f t="shared" ca="1" si="17"/>
        <v>20717.287780174556</v>
      </c>
      <c r="M38" s="261">
        <f t="shared" ca="1" si="17"/>
        <v>22449.00935675099</v>
      </c>
      <c r="N38" s="261">
        <f t="shared" ca="1" si="17"/>
        <v>25925.903127261074</v>
      </c>
      <c r="O38" s="261">
        <f t="shared" ca="1" si="17"/>
        <v>25482.292189207608</v>
      </c>
      <c r="P38" s="261">
        <f t="shared" ca="1" si="17"/>
        <v>27878.935297661203</v>
      </c>
      <c r="Q38" s="261">
        <f t="shared" ca="1" si="17"/>
        <v>33340.924642381869</v>
      </c>
      <c r="R38" s="261">
        <f t="shared" ca="1" si="17"/>
        <v>39167.004124688116</v>
      </c>
      <c r="S38" s="261">
        <f t="shared" ca="1" si="17"/>
        <v>42753.247930284298</v>
      </c>
      <c r="T38" s="261">
        <f t="shared" ca="1" si="17"/>
        <v>40645.63451364787</v>
      </c>
      <c r="U38" s="261">
        <f t="shared" ca="1" si="17"/>
        <v>38914.532968663218</v>
      </c>
      <c r="V38" s="261">
        <f t="shared" ca="1" si="17"/>
        <v>37031.590168004463</v>
      </c>
      <c r="W38" s="261">
        <f t="shared" ca="1" si="17"/>
        <v>37467.466795354092</v>
      </c>
      <c r="X38" s="261">
        <f ca="1">SUM(X35:X37)</f>
        <v>43816.425693660829</v>
      </c>
      <c r="Y38" s="261">
        <f ca="1">SUM(Y35:Y37)</f>
        <v>50205.724494363822</v>
      </c>
      <c r="Z38" s="261">
        <f ca="1">SUM(Z35:Z37)</f>
        <v>0</v>
      </c>
      <c r="AA38" s="508">
        <f t="shared" ca="1" si="17"/>
        <v>0</v>
      </c>
    </row>
    <row r="39" spans="1:27">
      <c r="A39" s="163"/>
      <c r="B39" s="23"/>
      <c r="C39" s="23"/>
      <c r="D39" s="23"/>
      <c r="E39" s="23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500"/>
    </row>
    <row r="40" spans="1:27">
      <c r="A40" s="163" t="s">
        <v>328</v>
      </c>
      <c r="B40" s="23"/>
      <c r="C40" s="23"/>
      <c r="D40" s="268">
        <f>Assm!$L$51</f>
        <v>0.05</v>
      </c>
      <c r="E40" s="23"/>
      <c r="F40" s="261">
        <f t="shared" ref="F40:W40" si="18">SUM(F35:F36)*$D40*F$9/12</f>
        <v>0</v>
      </c>
      <c r="G40" s="261">
        <f t="shared" ca="1" si="18"/>
        <v>0</v>
      </c>
      <c r="H40" s="261">
        <f t="shared" ca="1" si="18"/>
        <v>0</v>
      </c>
      <c r="I40" s="261">
        <f t="shared" ca="1" si="18"/>
        <v>300.73723743598924</v>
      </c>
      <c r="J40" s="261">
        <f t="shared" ca="1" si="18"/>
        <v>562.47985960661993</v>
      </c>
      <c r="K40" s="261">
        <f t="shared" ca="1" si="18"/>
        <v>756.46922908770159</v>
      </c>
      <c r="L40" s="261">
        <f t="shared" ca="1" si="18"/>
        <v>1035.8643890087278</v>
      </c>
      <c r="M40" s="261">
        <f t="shared" ca="1" si="18"/>
        <v>1122.4504678375495</v>
      </c>
      <c r="N40" s="261">
        <f t="shared" ca="1" si="18"/>
        <v>1296.2951563630538</v>
      </c>
      <c r="O40" s="261">
        <f t="shared" ca="1" si="18"/>
        <v>1296.2951563630538</v>
      </c>
      <c r="P40" s="261">
        <f t="shared" ca="1" si="18"/>
        <v>1393.9467648830603</v>
      </c>
      <c r="Q40" s="261">
        <f t="shared" ca="1" si="18"/>
        <v>1667.0462321190935</v>
      </c>
      <c r="R40" s="261">
        <f t="shared" ca="1" si="18"/>
        <v>1958.350206234406</v>
      </c>
      <c r="S40" s="261">
        <f t="shared" ca="1" si="18"/>
        <v>2137.6623965142148</v>
      </c>
      <c r="T40" s="261">
        <f t="shared" ca="1" si="18"/>
        <v>2137.6623965142148</v>
      </c>
      <c r="U40" s="261">
        <f t="shared" ca="1" si="18"/>
        <v>2032.2817256823937</v>
      </c>
      <c r="V40" s="261">
        <f t="shared" ca="1" si="18"/>
        <v>1945.726648433161</v>
      </c>
      <c r="W40" s="261">
        <f t="shared" ca="1" si="18"/>
        <v>1873.3733397677049</v>
      </c>
      <c r="X40" s="261">
        <f ca="1">SUM(X35:X36)*$D40*X$9/12</f>
        <v>2190.8212846830415</v>
      </c>
      <c r="Y40" s="261">
        <f ca="1">SUM(Y35:Y36)*$D40*Y$9/12</f>
        <v>2510.2862247181911</v>
      </c>
      <c r="Z40" s="261">
        <f ca="1">SUM(Z35:Z36)*$D40*Z$9/12</f>
        <v>943.97906976794263</v>
      </c>
      <c r="AA40" s="500">
        <f ca="1">SUM(F40:Z40)</f>
        <v>27161.727785020121</v>
      </c>
    </row>
    <row r="41" spans="1:27">
      <c r="A41" s="493" t="s">
        <v>329</v>
      </c>
      <c r="B41" s="25"/>
      <c r="C41" s="25"/>
      <c r="D41" s="370">
        <f>Assm!$L$52</f>
        <v>0.06</v>
      </c>
      <c r="E41" s="25"/>
      <c r="F41" s="263">
        <f t="shared" ref="F41:W41" si="19">SUM(F35:F36)*$D41*F$9/12</f>
        <v>0</v>
      </c>
      <c r="G41" s="263">
        <f t="shared" ca="1" si="19"/>
        <v>0</v>
      </c>
      <c r="H41" s="263">
        <f t="shared" ca="1" si="19"/>
        <v>0</v>
      </c>
      <c r="I41" s="263">
        <f t="shared" ca="1" si="19"/>
        <v>360.88468492318702</v>
      </c>
      <c r="J41" s="263">
        <f t="shared" ca="1" si="19"/>
        <v>674.97583152794391</v>
      </c>
      <c r="K41" s="263">
        <f t="shared" ca="1" si="19"/>
        <v>907.76307490524187</v>
      </c>
      <c r="L41" s="263">
        <f t="shared" ca="1" si="19"/>
        <v>1243.0372668104733</v>
      </c>
      <c r="M41" s="263">
        <f t="shared" ca="1" si="19"/>
        <v>1346.9405614050593</v>
      </c>
      <c r="N41" s="263">
        <f t="shared" ca="1" si="19"/>
        <v>1555.5541876356644</v>
      </c>
      <c r="O41" s="263">
        <f t="shared" ca="1" si="19"/>
        <v>1555.5541876356644</v>
      </c>
      <c r="P41" s="263">
        <f t="shared" ca="1" si="19"/>
        <v>1672.736117859672</v>
      </c>
      <c r="Q41" s="263">
        <f t="shared" ca="1" si="19"/>
        <v>2000.455478542912</v>
      </c>
      <c r="R41" s="263">
        <f t="shared" ca="1" si="19"/>
        <v>2350.0202474812868</v>
      </c>
      <c r="S41" s="263">
        <f t="shared" ca="1" si="19"/>
        <v>2565.1948758170579</v>
      </c>
      <c r="T41" s="263">
        <f t="shared" ca="1" si="19"/>
        <v>2565.1948758170579</v>
      </c>
      <c r="U41" s="263">
        <f t="shared" ca="1" si="19"/>
        <v>2438.7380708188721</v>
      </c>
      <c r="V41" s="263">
        <f t="shared" ca="1" si="19"/>
        <v>2334.8719781197929</v>
      </c>
      <c r="W41" s="263">
        <f t="shared" ca="1" si="19"/>
        <v>2248.0480077212455</v>
      </c>
      <c r="X41" s="263">
        <f ca="1">SUM(X35:X36)*$D41*X$9/12</f>
        <v>2628.9855416196497</v>
      </c>
      <c r="Y41" s="263">
        <f ca="1">SUM(Y35:Y36)*$D41*Y$9/12</f>
        <v>3012.3434696618292</v>
      </c>
      <c r="Z41" s="263">
        <f ca="1">SUM(Z35:Z36)*$D41*Z$9/12</f>
        <v>1132.7748837215311</v>
      </c>
      <c r="AA41" s="507">
        <f ca="1">SUM(F41:Z41)</f>
        <v>32594.073342024141</v>
      </c>
    </row>
    <row r="42" spans="1:27">
      <c r="A42" s="163"/>
      <c r="B42" s="23"/>
      <c r="C42" s="23"/>
      <c r="D42" s="23"/>
      <c r="E42" s="23"/>
      <c r="F42" s="2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499"/>
    </row>
    <row r="43" spans="1:27" s="23" customFormat="1">
      <c r="A43" s="177" t="s">
        <v>118</v>
      </c>
      <c r="AA43" s="499"/>
    </row>
    <row r="44" spans="1:27">
      <c r="A44" s="493" t="s">
        <v>166</v>
      </c>
      <c r="B44" s="25"/>
      <c r="C44" s="25"/>
      <c r="D44" s="267">
        <v>1998</v>
      </c>
      <c r="E44" s="25"/>
      <c r="F44" s="880">
        <v>0</v>
      </c>
      <c r="G44" s="880">
        <v>12.5</v>
      </c>
      <c r="H44" s="880">
        <v>17.5</v>
      </c>
      <c r="I44" s="1374">
        <v>96</v>
      </c>
      <c r="J44" s="880">
        <v>500.5</v>
      </c>
      <c r="K44" s="880">
        <v>17.5</v>
      </c>
      <c r="L44" s="880">
        <v>17.5</v>
      </c>
      <c r="M44" s="880">
        <v>129</v>
      </c>
      <c r="N44" s="880">
        <v>17.5</v>
      </c>
      <c r="O44" s="880">
        <v>500.5</v>
      </c>
      <c r="P44" s="880">
        <v>17.5</v>
      </c>
      <c r="Q44" s="880">
        <v>96</v>
      </c>
      <c r="R44" s="880">
        <v>17.5</v>
      </c>
      <c r="S44" s="880">
        <v>17.5</v>
      </c>
      <c r="T44" s="880">
        <v>500.5</v>
      </c>
      <c r="U44" s="880">
        <v>129</v>
      </c>
      <c r="V44" s="880">
        <v>17.5</v>
      </c>
      <c r="W44" s="880">
        <v>17.5</v>
      </c>
      <c r="X44" s="880">
        <v>17.5</v>
      </c>
      <c r="Y44" s="880">
        <v>12.5</v>
      </c>
      <c r="Z44" s="880">
        <v>0</v>
      </c>
      <c r="AA44" s="507">
        <f>SUM(F44:Z44)</f>
        <v>2151.5</v>
      </c>
    </row>
    <row r="45" spans="1:27">
      <c r="A45" s="16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499"/>
    </row>
    <row r="46" spans="1:27" s="23" customFormat="1">
      <c r="A46" s="177" t="s">
        <v>123</v>
      </c>
      <c r="AA46" s="499"/>
    </row>
    <row r="47" spans="1:27">
      <c r="A47" s="163" t="s">
        <v>324</v>
      </c>
      <c r="B47" s="23"/>
      <c r="C47" s="23"/>
      <c r="D47" s="23"/>
      <c r="E47" s="23"/>
      <c r="F47" s="259">
        <f ca="1">CF!E57</f>
        <v>0</v>
      </c>
      <c r="G47" s="259">
        <f ca="1">CF!F57</f>
        <v>-13.275999937924599</v>
      </c>
      <c r="H47" s="259">
        <f ca="1">CF!G57</f>
        <v>-1837.5089814171436</v>
      </c>
      <c r="I47" s="259">
        <f ca="1">CF!H57</f>
        <v>-3586.4806004974644</v>
      </c>
      <c r="J47" s="259">
        <f ca="1">CF!I57</f>
        <v>-4045.2545041057861</v>
      </c>
      <c r="K47" s="259">
        <f ca="1">CF!J57</f>
        <v>1886.4154049585682</v>
      </c>
      <c r="L47" s="259">
        <f ca="1">CF!K57</f>
        <v>2960.6166348564902</v>
      </c>
      <c r="M47" s="259">
        <f ca="1">CF!L57</f>
        <v>7158.055852729789</v>
      </c>
      <c r="N47" s="259">
        <f ca="1">CF!M57</f>
        <v>7522.2662368030979</v>
      </c>
      <c r="O47" s="259">
        <f ca="1">CF!N57</f>
        <v>8501.7609092564053</v>
      </c>
      <c r="P47" s="259">
        <f ca="1">CF!O57</f>
        <v>10078.227806453044</v>
      </c>
      <c r="Q47" s="259">
        <f ca="1">CF!P57</f>
        <v>11121.717687697714</v>
      </c>
      <c r="R47" s="259">
        <f ca="1">CF!Q57</f>
        <v>12405.298548203038</v>
      </c>
      <c r="S47" s="259">
        <f ca="1">CF!R57</f>
        <v>14430.179582651173</v>
      </c>
      <c r="T47" s="259">
        <f ca="1">CF!S57</f>
        <v>13959.694182140876</v>
      </c>
      <c r="U47" s="259">
        <f ca="1">CF!T57</f>
        <v>16545.49639921527</v>
      </c>
      <c r="V47" s="259">
        <f ca="1">CF!U57</f>
        <v>17883.747561095734</v>
      </c>
      <c r="W47" s="259">
        <f ca="1">CF!V57</f>
        <v>18821.68764367792</v>
      </c>
      <c r="X47" s="259">
        <f ca="1">CF!W57</f>
        <v>19628.485691602986</v>
      </c>
      <c r="Y47" s="259">
        <f ca="1">CF!X57</f>
        <v>20502.903511797889</v>
      </c>
      <c r="Z47" s="259">
        <f ca="1">CF!Y57</f>
        <v>6843.9691274638944</v>
      </c>
      <c r="AA47" s="500">
        <f ca="1">SUM(F47:Z47)</f>
        <v>180768.00269464558</v>
      </c>
    </row>
    <row r="48" spans="1:27">
      <c r="A48" s="163" t="s">
        <v>167</v>
      </c>
      <c r="B48" s="23"/>
      <c r="C48" s="23"/>
      <c r="D48" s="268">
        <f>Assm!$I$36</f>
        <v>0.05</v>
      </c>
      <c r="E48" s="23"/>
      <c r="F48" s="259">
        <f ca="1">IF(F47&gt;0,$D$48*F47,0)</f>
        <v>0</v>
      </c>
      <c r="G48" s="259">
        <f t="shared" ref="G48:W48" ca="1" si="20">IF(G47&gt;0,$D$48*G47,0)</f>
        <v>0</v>
      </c>
      <c r="H48" s="259">
        <f t="shared" ca="1" si="20"/>
        <v>0</v>
      </c>
      <c r="I48" s="259">
        <f t="shared" ca="1" si="20"/>
        <v>0</v>
      </c>
      <c r="J48" s="259">
        <f t="shared" ca="1" si="20"/>
        <v>0</v>
      </c>
      <c r="K48" s="259">
        <f t="shared" ca="1" si="20"/>
        <v>94.320770247928408</v>
      </c>
      <c r="L48" s="259">
        <f t="shared" ca="1" si="20"/>
        <v>148.03083174282452</v>
      </c>
      <c r="M48" s="259">
        <f t="shared" ca="1" si="20"/>
        <v>357.90279263648949</v>
      </c>
      <c r="N48" s="259">
        <f t="shared" ca="1" si="20"/>
        <v>376.11331184015489</v>
      </c>
      <c r="O48" s="259">
        <f t="shared" ca="1" si="20"/>
        <v>425.08804546282028</v>
      </c>
      <c r="P48" s="259">
        <f t="shared" ca="1" si="20"/>
        <v>503.91139032265221</v>
      </c>
      <c r="Q48" s="259">
        <f t="shared" ca="1" si="20"/>
        <v>556.08588438488573</v>
      </c>
      <c r="R48" s="259">
        <f t="shared" ca="1" si="20"/>
        <v>620.26492741015193</v>
      </c>
      <c r="S48" s="259">
        <f t="shared" ca="1" si="20"/>
        <v>721.50897913255869</v>
      </c>
      <c r="T48" s="259">
        <f t="shared" ca="1" si="20"/>
        <v>697.98470910704384</v>
      </c>
      <c r="U48" s="259">
        <f t="shared" ca="1" si="20"/>
        <v>827.27481996076358</v>
      </c>
      <c r="V48" s="259">
        <f t="shared" ca="1" si="20"/>
        <v>894.18737805478668</v>
      </c>
      <c r="W48" s="259">
        <f t="shared" ca="1" si="20"/>
        <v>941.08438218389608</v>
      </c>
      <c r="X48" s="259">
        <f ca="1">IF(X47&gt;0,$D$48*X47,0)</f>
        <v>981.42428458014933</v>
      </c>
      <c r="Y48" s="259">
        <f ca="1">IF(Y47&gt;0,$D$48*Y47,0)</f>
        <v>1025.1451755898945</v>
      </c>
      <c r="Z48" s="259">
        <f ca="1">IF(Z47&gt;0,$D$48*Z47,0)</f>
        <v>342.19845637319474</v>
      </c>
      <c r="AA48" s="500">
        <f ca="1">SUM(F48:Z48)</f>
        <v>9512.5261390301948</v>
      </c>
    </row>
    <row r="49" spans="1:27">
      <c r="A49" s="466" t="s">
        <v>330</v>
      </c>
      <c r="B49" s="272"/>
      <c r="C49" s="272"/>
      <c r="D49" s="273" t="s">
        <v>168</v>
      </c>
      <c r="E49" s="273">
        <f>Assm!$I$37</f>
        <v>0.5</v>
      </c>
      <c r="F49" s="274">
        <f ca="1">IF(SUM($E$48:F48)&gt;$E$49*Equity,0,IF(AND(SUM($E$48:F48)&gt;$E$49*Equity,SUM($E$48:E48)&lt;$E$49*Equity),$E$49*Equity-SUM($E$48:F48),F48))</f>
        <v>0</v>
      </c>
      <c r="G49" s="274">
        <f ca="1">IF(SUM($E$48:G48)&gt;$E$49*Equity,0,IF(AND(SUM($E$48:G48)&gt;$E$49*Equity,SUM($E$48:F48)&lt;$E$49*Equity),$E$49*Equity-SUM($E$48:G48),G48))</f>
        <v>0</v>
      </c>
      <c r="H49" s="274">
        <f ca="1">IF(SUM($E$48:H48)&gt;$E$49*Equity,0,IF(AND(SUM($E$48:H48)&gt;$E$49*Equity,SUM($E$48:G48)&lt;$E$49*Equity),$E$49*Equity-SUM($E$48:H48),H48))</f>
        <v>0</v>
      </c>
      <c r="I49" s="274">
        <f ca="1">IF(SUM($E$48:I48)&gt;$E$49*Equity,0,IF(AND(SUM($E$48:I48)&gt;$E$49*Equity,SUM($E$48:H48)&lt;$E$49*Equity),$E$49*Equity-SUM($E$48:I48),I48))</f>
        <v>0</v>
      </c>
      <c r="J49" s="274">
        <f ca="1">IF(SUM($E$48:J48)&gt;$E$49*Equity,0,IF(AND(SUM($E$48:J48)&gt;$E$49*Equity,SUM($E$48:I48)&lt;$E$49*Equity),$E$49*Equity-SUM($E$48:J48),J48))</f>
        <v>0</v>
      </c>
      <c r="K49" s="274">
        <f ca="1">IF(SUM($E$48:K48)&gt;$E$49*Equity,0,IF(AND(SUM($E$48:K48)&gt;$E$49*Equity,SUM($E$48:J48)&lt;$E$49*Equity),$E$49*Equity-SUM($E$48:K48),K48))</f>
        <v>94.320770247928408</v>
      </c>
      <c r="L49" s="274">
        <f ca="1">IF(SUM($E$48:L48)&gt;$E$49*Equity,0,IF(AND(SUM($E$48:L48)&gt;$E$49*Equity,SUM($E$48:K48)&lt;$E$49*Equity),$E$49*Equity-SUM($E$48:L48),L48))</f>
        <v>148.03083174282452</v>
      </c>
      <c r="M49" s="274">
        <f ca="1">IF(SUM($E$48:M48)&gt;$E$49*Equity,0,IF(AND(SUM($E$48:M48)&gt;$E$49*Equity,SUM($E$48:L48)&lt;$E$49*Equity),$E$49*Equity-SUM($E$48:M48),M48))</f>
        <v>357.90279263648949</v>
      </c>
      <c r="N49" s="274">
        <f ca="1">IF(SUM($E$48:N48)&gt;$E$49*Equity,0,IF(AND(SUM($E$48:N48)&gt;$E$49*Equity,SUM($E$48:M48)&lt;$E$49*Equity),$E$49*Equity-SUM($E$48:N48),N48))</f>
        <v>376.11331184015489</v>
      </c>
      <c r="O49" s="274">
        <f ca="1">IF(SUM($E$48:O48)&gt;$E$49*Equity,0,IF(AND(SUM($E$48:O48)&gt;$E$49*Equity,SUM($E$48:N48)&lt;$E$49*Equity),$E$49*Equity-SUM($E$48:O48),O48))</f>
        <v>425.08804546282028</v>
      </c>
      <c r="P49" s="274">
        <f ca="1">IF(SUM($E$48:P48)&gt;$E$49*Equity,0,IF(AND(SUM($E$48:P48)&gt;$E$49*Equity,SUM($E$48:O48)&lt;$E$49*Equity),$E$49*Equity-SUM($E$48:P48),P48))</f>
        <v>503.91139032265221</v>
      </c>
      <c r="Q49" s="274">
        <f ca="1">IF(SUM($E$48:Q48)&gt;$E$49*Equity,0,IF(AND(SUM($E$48:Q48)&gt;$E$49*Equity,SUM($E$48:P48)&lt;$E$49*Equity),$E$49*Equity-SUM($E$48:Q48),Q48))</f>
        <v>556.08588438488573</v>
      </c>
      <c r="R49" s="274">
        <f ca="1">IF(SUM($E$48:R48)&gt;$E$49*Equity,0,IF(AND(SUM($E$48:R48)&gt;$E$49*Equity,SUM($E$48:Q48)&lt;$E$49*Equity),$E$49*Equity-SUM($E$48:R48),R48))</f>
        <v>620.26492741015193</v>
      </c>
      <c r="S49" s="274">
        <f ca="1">IF(SUM($E$48:S48)&gt;$E$49*Equity,0,IF(AND(SUM($E$48:S48)&gt;$E$49*Equity,SUM($E$48:R48)&lt;$E$49*Equity),$E$49*Equity-SUM($E$48:S48),S48))</f>
        <v>721.50897913255869</v>
      </c>
      <c r="T49" s="274">
        <f ca="1">IF(SUM($E$48:T48)&gt;$E$49*Equity,0,IF(AND(SUM($E$48:T48)&gt;$E$49*Equity,SUM($E$48:S48)&lt;$E$49*Equity),$E$49*Equity-SUM($E$48:T48),T48))</f>
        <v>697.98470910704384</v>
      </c>
      <c r="U49" s="274">
        <f ca="1">IF(SUM($E$48:U48)&gt;$E$49*Equity,0,IF(AND(SUM($E$48:U48)&gt;$E$49*Equity,SUM($E$48:T48)&lt;$E$49*Equity),$E$49*Equity-SUM($E$48:U48),U48))</f>
        <v>827.27481996076358</v>
      </c>
      <c r="V49" s="274">
        <f ca="1">IF(SUM($E$48:V48)&gt;$E$49*Equity,0,IF(AND(SUM($E$48:V48)&gt;$E$49*Equity,SUM($E$48:U48)&lt;$E$49*Equity),$E$49*Equity-SUM($E$48:V48),V48))</f>
        <v>894.18737805478668</v>
      </c>
      <c r="W49" s="274">
        <f ca="1">IF(SUM($E$48:W48)&gt;$E$49*Equity,0,IF(AND(SUM($E$48:W48)&gt;$E$49*Equity,SUM($E$48:V48)&lt;$E$49*Equity),$E$49*Equity-SUM($E$48:W48),W48))</f>
        <v>941.08438218389608</v>
      </c>
      <c r="X49" s="274">
        <f ca="1">IF(SUM($E$48:X48)&gt;$E$49*Equity,0,IF(AND(SUM($E$48:X48)&gt;$E$49*Equity,SUM($E$48:W48)&lt;$E$49*Equity),$E$49*Equity-SUM($E$48:X48),X48))</f>
        <v>981.42428458014933</v>
      </c>
      <c r="Y49" s="274">
        <f ca="1">IF(SUM($E$48:Y48)&gt;$E$49*Equity,0,IF(AND(SUM($E$48:Y48)&gt;$E$49*Equity,SUM($E$48:X48)&lt;$E$49*Equity),$E$49*Equity-SUM($E$48:Y48),Y48))</f>
        <v>1025.1451755898945</v>
      </c>
      <c r="Z49" s="274">
        <f ca="1">IF(SUM($E$48:Z48)&gt;$E$49*Equity,0,IF(AND(SUM($E$48:Z48)&gt;$E$49*Equity,SUM($E$48:Y48)&lt;$E$49*Equity),$E$49*Equity-SUM($E$48:Z48),Z48))</f>
        <v>342.19845637319474</v>
      </c>
      <c r="AA49" s="502">
        <f ca="1">SUM(F49:Z49)</f>
        <v>9512.5261390301948</v>
      </c>
    </row>
    <row r="50" spans="1:27">
      <c r="A50" s="492" t="s">
        <v>331</v>
      </c>
      <c r="B50" s="444"/>
      <c r="C50" s="444"/>
      <c r="D50" s="444"/>
      <c r="E50" s="444"/>
      <c r="F50" s="446">
        <f>IF(F6=Term+1,-SUM($F$49:F49),0)</f>
        <v>0</v>
      </c>
      <c r="G50" s="446">
        <f>IF(G6=Term+1,-SUM($F$49:G49),0)</f>
        <v>0</v>
      </c>
      <c r="H50" s="446">
        <f>IF(H6=Term+1,-SUM($F$49:H49),0)</f>
        <v>0</v>
      </c>
      <c r="I50" s="446">
        <f>IF(I6=Term+1,-SUM($F$49:I49),0)</f>
        <v>0</v>
      </c>
      <c r="J50" s="446">
        <f>IF(J6=Term+1,-SUM($F$49:J49),0)</f>
        <v>0</v>
      </c>
      <c r="K50" s="446">
        <f>IF(K6=Term+1,-SUM($F$49:K49),0)</f>
        <v>0</v>
      </c>
      <c r="L50" s="446">
        <f>IF(L6=Term+1,-SUM($F$49:L49),0)</f>
        <v>0</v>
      </c>
      <c r="M50" s="446">
        <f>IF(M6=Term+1,-SUM($F$49:M49),0)</f>
        <v>0</v>
      </c>
      <c r="N50" s="446">
        <f>IF(N6=Term+1,-SUM($F$49:N49),0)</f>
        <v>0</v>
      </c>
      <c r="O50" s="446">
        <f>IF(O6=Term+1,-SUM($F$49:O49),0)</f>
        <v>0</v>
      </c>
      <c r="P50" s="446">
        <f>IF(P6=Term+1,-SUM($F$49:P49),0)</f>
        <v>0</v>
      </c>
      <c r="Q50" s="446">
        <f>IF(Q6=Term+1,-SUM($F$49:Q49),0)</f>
        <v>0</v>
      </c>
      <c r="R50" s="446">
        <f>IF(R6=Term+1,-SUM($F$49:R49),0)</f>
        <v>0</v>
      </c>
      <c r="S50" s="446">
        <f>IF(S6=Term+1,-SUM($F$49:S49),0)</f>
        <v>0</v>
      </c>
      <c r="T50" s="446">
        <f>IF(T6=Term+1,-SUM($F$49:T49),0)</f>
        <v>0</v>
      </c>
      <c r="U50" s="446">
        <f>IF(U6=Term+1,-SUM($F$49:U49),0)</f>
        <v>0</v>
      </c>
      <c r="V50" s="446">
        <f>IF(V6=Term+1,-SUM($F$49:V49),0)</f>
        <v>0</v>
      </c>
      <c r="W50" s="446">
        <f>IF(W6=Term+1,-SUM($F$49:W49),0)</f>
        <v>0</v>
      </c>
      <c r="X50" s="446">
        <f>IF(X6=Term+1,-SUM($F$49:X49),0)</f>
        <v>0</v>
      </c>
      <c r="Y50" s="446">
        <f>IF(Y6=Term+1,-SUM($F$49:Y49),0)</f>
        <v>0</v>
      </c>
      <c r="Z50" s="446">
        <f ca="1">IF(Z6=Term+1,-SUM($F$49:Z49),0)</f>
        <v>-9512.5261390301948</v>
      </c>
      <c r="AA50" s="505">
        <f ca="1">SUM(F50:Z50)</f>
        <v>-9512.5261390301948</v>
      </c>
    </row>
    <row r="51" spans="1:27">
      <c r="A51" s="163"/>
      <c r="B51" s="23"/>
      <c r="C51" s="23"/>
      <c r="D51" s="23"/>
      <c r="E51" s="23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499"/>
    </row>
    <row r="52" spans="1:27" s="23" customFormat="1">
      <c r="A52" s="177" t="s">
        <v>332</v>
      </c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499"/>
    </row>
    <row r="53" spans="1:27">
      <c r="A53" s="163" t="s">
        <v>333</v>
      </c>
      <c r="B53" s="23"/>
      <c r="C53" s="23"/>
      <c r="D53" s="23"/>
      <c r="E53" s="23"/>
      <c r="F53" s="259">
        <f>Assm!$E43*CF!E$9/12</f>
        <v>0</v>
      </c>
      <c r="G53" s="259">
        <f>Assm!$E43*CF!F$9/12</f>
        <v>0</v>
      </c>
      <c r="H53" s="259">
        <f>Assm!$E43*CF!G$9/12</f>
        <v>829.32749999999999</v>
      </c>
      <c r="I53" s="259">
        <f>Assm!$E43*CF!H$9/12</f>
        <v>995.19299999999987</v>
      </c>
      <c r="J53" s="259">
        <f>Assm!$E43*CF!I$9/12</f>
        <v>995.19299999999987</v>
      </c>
      <c r="K53" s="259">
        <f>Assm!$E43*CF!J$9/12</f>
        <v>995.19299999999987</v>
      </c>
      <c r="L53" s="259">
        <f>Assm!$E43*CF!K$9/12</f>
        <v>995.19299999999987</v>
      </c>
      <c r="M53" s="259">
        <f>Assm!$E43*CF!L$9/12</f>
        <v>995.19299999999987</v>
      </c>
      <c r="N53" s="259">
        <f>Assm!$E43*CF!M$9/12</f>
        <v>995.19299999999987</v>
      </c>
      <c r="O53" s="259">
        <f>Assm!$E43*CF!N$9/12</f>
        <v>995.19299999999987</v>
      </c>
      <c r="P53" s="259">
        <f>Assm!$E43*CF!O$9/12</f>
        <v>995.19299999999987</v>
      </c>
      <c r="Q53" s="259">
        <f>Assm!$E43*CF!P$9/12</f>
        <v>995.19299999999987</v>
      </c>
      <c r="R53" s="259">
        <f>Assm!$E43*CF!Q$9/12</f>
        <v>995.19299999999987</v>
      </c>
      <c r="S53" s="259">
        <f>Assm!$E43*CF!R$9/12</f>
        <v>995.19299999999987</v>
      </c>
      <c r="T53" s="259">
        <f>Assm!$E43*CF!S$9/12</f>
        <v>995.19299999999987</v>
      </c>
      <c r="U53" s="259">
        <f>Assm!$E43*CF!T$9/12</f>
        <v>995.19299999999987</v>
      </c>
      <c r="V53" s="259">
        <f>Assm!$E43*CF!U$9/12</f>
        <v>995.19299999999987</v>
      </c>
      <c r="W53" s="259">
        <f>Assm!$E43*CF!V$9/12</f>
        <v>995.19299999999987</v>
      </c>
      <c r="X53" s="259">
        <f>Assm!$E43*CF!W$9/12</f>
        <v>995.19299999999987</v>
      </c>
      <c r="Y53" s="259">
        <f>Assm!$E43*CF!X$9/12</f>
        <v>995.19299999999987</v>
      </c>
      <c r="Z53" s="259">
        <f>Assm!$E43*CF!Y$9/12</f>
        <v>331.73099999999999</v>
      </c>
      <c r="AA53" s="500">
        <f>SUM(F53:Z53)</f>
        <v>18079.339499999995</v>
      </c>
    </row>
    <row r="54" spans="1:27">
      <c r="A54" s="163" t="s">
        <v>334</v>
      </c>
      <c r="B54" s="23"/>
      <c r="C54" s="23"/>
      <c r="D54" s="23"/>
      <c r="E54" s="23"/>
      <c r="F54" s="260">
        <f>IF(OR(F$6=5,F$6=15),Assm!$B$43,0)</f>
        <v>0</v>
      </c>
      <c r="G54" s="260">
        <f>IF(OR(G$6=5,G$6=15),Assm!$B$43,0)</f>
        <v>0</v>
      </c>
      <c r="H54" s="260">
        <f>IF(OR(H$6=5,H$6=15),Assm!$B$43,0)</f>
        <v>0</v>
      </c>
      <c r="I54" s="260">
        <f>IF(OR(I$6=5,I$6=15),Assm!$B$43,0)</f>
        <v>0</v>
      </c>
      <c r="J54" s="260">
        <f>IF(OR(J$6=5,J$6=15),Assm!$B$43,0)</f>
        <v>900</v>
      </c>
      <c r="K54" s="260">
        <f>IF(OR(K$6=5,K$6=15),Assm!$B$43,0)</f>
        <v>0</v>
      </c>
      <c r="L54" s="260">
        <f>IF(OR(L$6=5,L$6=15),Assm!$B$43,0)</f>
        <v>0</v>
      </c>
      <c r="M54" s="260">
        <f>IF(OR(M$6=5,M$6=15),Assm!$B$43,0)</f>
        <v>0</v>
      </c>
      <c r="N54" s="260">
        <f>IF(OR(N$6=5,N$6=15),Assm!$B$43,0)</f>
        <v>0</v>
      </c>
      <c r="O54" s="260">
        <f>IF(OR(O$6=5,O$6=15),Assm!$B$43,0)</f>
        <v>0</v>
      </c>
      <c r="P54" s="260">
        <f>IF(OR(P$6=5,P$6=15),Assm!$B$43,0)</f>
        <v>0</v>
      </c>
      <c r="Q54" s="260">
        <f>IF(OR(Q$6=5,Q$6=15),Assm!$B$43,0)</f>
        <v>0</v>
      </c>
      <c r="R54" s="260">
        <f>IF(OR(R$6=5,R$6=15),Assm!$B$43,0)</f>
        <v>0</v>
      </c>
      <c r="S54" s="260">
        <f>IF(OR(S$6=5,S$6=15),Assm!$B$43,0)</f>
        <v>0</v>
      </c>
      <c r="T54" s="260">
        <f>IF(OR(T$6=5,T$6=15),Assm!$B$43,0)</f>
        <v>900</v>
      </c>
      <c r="U54" s="260">
        <f>IF(OR(U$6=5,U$6=15),Assm!$B$43,0)</f>
        <v>0</v>
      </c>
      <c r="V54" s="260">
        <f>IF(OR(V$6=5,V$6=15),Assm!$B$43,0)</f>
        <v>0</v>
      </c>
      <c r="W54" s="260">
        <f>IF(OR(W$6=5,W$6=15),Assm!$B$43,0)</f>
        <v>0</v>
      </c>
      <c r="X54" s="260">
        <f>IF(OR(X$6=5,X$6=15),Assm!$B$43,0)</f>
        <v>0</v>
      </c>
      <c r="Y54" s="260">
        <f>IF(OR(Y$6=5,Y$6=15),Assm!$B$43,0)</f>
        <v>0</v>
      </c>
      <c r="Z54" s="260">
        <f>IF(OR(Z$6=5,Z$6=15),Assm!$B$43,0)</f>
        <v>0</v>
      </c>
      <c r="AA54" s="501">
        <f>SUM(F54:Z54)</f>
        <v>1800</v>
      </c>
    </row>
    <row r="55" spans="1:27">
      <c r="A55" s="163" t="s">
        <v>335</v>
      </c>
      <c r="B55" s="23"/>
      <c r="C55" s="23"/>
      <c r="D55" s="23"/>
      <c r="E55" s="23"/>
      <c r="F55" s="259">
        <f>SUM(F53:F54)</f>
        <v>0</v>
      </c>
      <c r="G55" s="259">
        <f t="shared" ref="G55:W55" si="21">SUM(G53:G54)</f>
        <v>0</v>
      </c>
      <c r="H55" s="259">
        <f t="shared" si="21"/>
        <v>829.32749999999999</v>
      </c>
      <c r="I55" s="259">
        <f t="shared" si="21"/>
        <v>995.19299999999987</v>
      </c>
      <c r="J55" s="259">
        <f t="shared" si="21"/>
        <v>1895.1929999999998</v>
      </c>
      <c r="K55" s="259">
        <f t="shared" si="21"/>
        <v>995.19299999999987</v>
      </c>
      <c r="L55" s="259">
        <f t="shared" si="21"/>
        <v>995.19299999999987</v>
      </c>
      <c r="M55" s="259">
        <f t="shared" si="21"/>
        <v>995.19299999999987</v>
      </c>
      <c r="N55" s="259">
        <f t="shared" si="21"/>
        <v>995.19299999999987</v>
      </c>
      <c r="O55" s="259">
        <f t="shared" si="21"/>
        <v>995.19299999999987</v>
      </c>
      <c r="P55" s="259">
        <f t="shared" si="21"/>
        <v>995.19299999999987</v>
      </c>
      <c r="Q55" s="259">
        <f t="shared" si="21"/>
        <v>995.19299999999987</v>
      </c>
      <c r="R55" s="259">
        <f t="shared" si="21"/>
        <v>995.19299999999987</v>
      </c>
      <c r="S55" s="259">
        <f t="shared" si="21"/>
        <v>995.19299999999987</v>
      </c>
      <c r="T55" s="259">
        <f t="shared" si="21"/>
        <v>1895.1929999999998</v>
      </c>
      <c r="U55" s="259">
        <f t="shared" si="21"/>
        <v>995.19299999999987</v>
      </c>
      <c r="V55" s="259">
        <f t="shared" si="21"/>
        <v>995.19299999999987</v>
      </c>
      <c r="W55" s="259">
        <f t="shared" si="21"/>
        <v>995.19299999999987</v>
      </c>
      <c r="X55" s="259">
        <f>SUM(X53:X54)</f>
        <v>995.19299999999987</v>
      </c>
      <c r="Y55" s="259">
        <f>SUM(Y53:Y54)</f>
        <v>995.19299999999987</v>
      </c>
      <c r="Z55" s="259">
        <f>SUM(Z53:Z54)</f>
        <v>331.73099999999999</v>
      </c>
      <c r="AA55" s="500">
        <f>SUM(F55:Z55)</f>
        <v>19879.339499999995</v>
      </c>
    </row>
    <row r="56" spans="1:27">
      <c r="A56" s="163" t="s">
        <v>71</v>
      </c>
      <c r="B56" s="23"/>
      <c r="C56" s="23"/>
      <c r="D56" s="23"/>
      <c r="E56" s="23"/>
      <c r="F56" s="758">
        <f ca="1">CF!E12</f>
        <v>1.0374531835205993</v>
      </c>
      <c r="G56" s="758">
        <f ca="1">CF!F12</f>
        <v>1.0620799950339679</v>
      </c>
      <c r="H56" s="758">
        <f ca="1">CF!G12</f>
        <v>1.097180617479341</v>
      </c>
      <c r="I56" s="758">
        <f ca="1">CF!H12</f>
        <v>1.1321906668383659</v>
      </c>
      <c r="J56" s="758">
        <f ca="1">CF!I12</f>
        <v>1.166287045927733</v>
      </c>
      <c r="K56" s="758">
        <f ca="1">CF!J12</f>
        <v>1.2003493342906499</v>
      </c>
      <c r="L56" s="758">
        <f ca="1">CF!K12</f>
        <v>1.2346229437596627</v>
      </c>
      <c r="M56" s="758">
        <f ca="1">CF!L12</f>
        <v>1.2691909562879884</v>
      </c>
      <c r="N56" s="758">
        <f ca="1">CF!M12</f>
        <v>1.3038965761068158</v>
      </c>
      <c r="O56" s="758">
        <f ca="1">CF!N12</f>
        <v>1.3387797805891259</v>
      </c>
      <c r="P56" s="758">
        <f ca="1">CF!O12</f>
        <v>1.3739510144936682</v>
      </c>
      <c r="Q56" s="758">
        <f ca="1">CF!P12</f>
        <v>1.409454688092179</v>
      </c>
      <c r="R56" s="758">
        <f ca="1">CF!Q12</f>
        <v>1.4453629302678073</v>
      </c>
      <c r="S56" s="758">
        <f ca="1">CF!R12</f>
        <v>1.4818086105109716</v>
      </c>
      <c r="T56" s="758">
        <f ca="1">CF!S12</f>
        <v>1.5190107088932228</v>
      </c>
      <c r="U56" s="758">
        <f ca="1">CF!T12</f>
        <v>1.5573978315409176</v>
      </c>
      <c r="V56" s="758">
        <f ca="1">CF!U12</f>
        <v>1.5973303982415077</v>
      </c>
      <c r="W56" s="758">
        <f ca="1">CF!V12</f>
        <v>1.6389834445299432</v>
      </c>
      <c r="X56" s="758">
        <f ca="1">CF!W12</f>
        <v>1.6825466987361488</v>
      </c>
      <c r="Y56" s="758">
        <f ca="1">CF!X12</f>
        <v>1.7280133273368676</v>
      </c>
      <c r="Z56" s="758">
        <f ca="1">CF!Y12</f>
        <v>1.7754357291063123</v>
      </c>
      <c r="AA56" s="509"/>
    </row>
    <row r="57" spans="1:27">
      <c r="A57" s="163" t="s">
        <v>336</v>
      </c>
      <c r="B57" s="23"/>
      <c r="C57" s="23"/>
      <c r="D57" s="23"/>
      <c r="E57" s="23"/>
      <c r="F57" s="259">
        <f ca="1">F55*F56</f>
        <v>0</v>
      </c>
      <c r="G57" s="259">
        <f t="shared" ref="G57:W57" ca="1" si="22">G55*G56</f>
        <v>0</v>
      </c>
      <c r="H57" s="259">
        <f t="shared" ca="1" si="22"/>
        <v>909.92205854259817</v>
      </c>
      <c r="I57" s="259">
        <f t="shared" ca="1" si="22"/>
        <v>1126.7482263028737</v>
      </c>
      <c r="J57" s="259">
        <f t="shared" ca="1" si="22"/>
        <v>2210.3390454329178</v>
      </c>
      <c r="K57" s="259">
        <f t="shared" ca="1" si="22"/>
        <v>1194.5792550407145</v>
      </c>
      <c r="L57" s="259">
        <f t="shared" ca="1" si="22"/>
        <v>1228.6881112690098</v>
      </c>
      <c r="M57" s="259">
        <f t="shared" ca="1" si="22"/>
        <v>1263.0899553611118</v>
      </c>
      <c r="N57" s="259">
        <f t="shared" ca="1" si="22"/>
        <v>1297.6287452654701</v>
      </c>
      <c r="O57" s="259">
        <f t="shared" ca="1" si="22"/>
        <v>1332.344266183834</v>
      </c>
      <c r="P57" s="259">
        <f t="shared" ca="1" si="22"/>
        <v>1367.346431966997</v>
      </c>
      <c r="Q57" s="259">
        <f t="shared" ca="1" si="22"/>
        <v>1402.6794394065198</v>
      </c>
      <c r="R57" s="259">
        <f t="shared" ca="1" si="22"/>
        <v>1438.4150706620098</v>
      </c>
      <c r="S57" s="259">
        <f t="shared" ca="1" si="22"/>
        <v>1474.6855565202452</v>
      </c>
      <c r="T57" s="259">
        <f t="shared" ca="1" si="22"/>
        <v>2878.8184624194732</v>
      </c>
      <c r="U57" s="259">
        <f t="shared" ca="1" si="22"/>
        <v>1549.9114201647003</v>
      </c>
      <c r="V57" s="259">
        <f t="shared" ca="1" si="22"/>
        <v>1589.6520310171607</v>
      </c>
      <c r="W57" s="259">
        <f t="shared" ca="1" si="22"/>
        <v>1631.1048511120875</v>
      </c>
      <c r="X57" s="259">
        <f ca="1">X55*X56</f>
        <v>1674.4586967553239</v>
      </c>
      <c r="Y57" s="259">
        <f ca="1">Y55*Y56</f>
        <v>1719.706767272359</v>
      </c>
      <c r="Z57" s="259">
        <f ca="1">Z55*Z56</f>
        <v>588.96706985216611</v>
      </c>
      <c r="AA57" s="500">
        <f ca="1">SUM(F57:Z57)</f>
        <v>27879.085460547572</v>
      </c>
    </row>
    <row r="58" spans="1:27">
      <c r="A58" s="163"/>
      <c r="B58" s="23"/>
      <c r="C58" s="23"/>
      <c r="D58" s="23"/>
      <c r="E58" s="23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500"/>
    </row>
    <row r="59" spans="1:27">
      <c r="A59" s="466" t="s">
        <v>169</v>
      </c>
      <c r="B59" s="272"/>
      <c r="C59" s="272"/>
      <c r="D59" s="272"/>
      <c r="E59" s="272"/>
      <c r="F59" s="274">
        <f ca="1">F57</f>
        <v>0</v>
      </c>
      <c r="G59" s="274">
        <f t="shared" ref="G59:Z59" ca="1" si="23">G57</f>
        <v>0</v>
      </c>
      <c r="H59" s="274">
        <f t="shared" ca="1" si="23"/>
        <v>909.92205854259817</v>
      </c>
      <c r="I59" s="274">
        <f t="shared" ca="1" si="23"/>
        <v>1126.7482263028737</v>
      </c>
      <c r="J59" s="274">
        <f t="shared" ca="1" si="23"/>
        <v>2210.3390454329178</v>
      </c>
      <c r="K59" s="274">
        <f t="shared" ca="1" si="23"/>
        <v>1194.5792550407145</v>
      </c>
      <c r="L59" s="274">
        <f t="shared" ca="1" si="23"/>
        <v>1228.6881112690098</v>
      </c>
      <c r="M59" s="274">
        <f t="shared" ca="1" si="23"/>
        <v>1263.0899553611118</v>
      </c>
      <c r="N59" s="274">
        <f t="shared" ca="1" si="23"/>
        <v>1297.6287452654701</v>
      </c>
      <c r="O59" s="274">
        <f t="shared" ca="1" si="23"/>
        <v>1332.344266183834</v>
      </c>
      <c r="P59" s="274">
        <f t="shared" ca="1" si="23"/>
        <v>1367.346431966997</v>
      </c>
      <c r="Q59" s="274">
        <f t="shared" ca="1" si="23"/>
        <v>1402.6794394065198</v>
      </c>
      <c r="R59" s="274">
        <f t="shared" ca="1" si="23"/>
        <v>1438.4150706620098</v>
      </c>
      <c r="S59" s="274">
        <f t="shared" ca="1" si="23"/>
        <v>1474.6855565202452</v>
      </c>
      <c r="T59" s="274">
        <f t="shared" ca="1" si="23"/>
        <v>2878.8184624194732</v>
      </c>
      <c r="U59" s="274">
        <f t="shared" ca="1" si="23"/>
        <v>1549.9114201647003</v>
      </c>
      <c r="V59" s="274">
        <f t="shared" ca="1" si="23"/>
        <v>1589.6520310171607</v>
      </c>
      <c r="W59" s="274">
        <f t="shared" ca="1" si="23"/>
        <v>1631.1048511120875</v>
      </c>
      <c r="X59" s="274">
        <f t="shared" ca="1" si="23"/>
        <v>1674.4586967553239</v>
      </c>
      <c r="Y59" s="274">
        <f t="shared" ca="1" si="23"/>
        <v>1719.706767272359</v>
      </c>
      <c r="Z59" s="274">
        <f t="shared" ca="1" si="23"/>
        <v>588.96706985216611</v>
      </c>
      <c r="AA59" s="502">
        <f ca="1">SUM(F59:Z59)</f>
        <v>27879.085460547572</v>
      </c>
    </row>
    <row r="60" spans="1:27">
      <c r="A60" s="492" t="s">
        <v>337</v>
      </c>
      <c r="B60" s="444"/>
      <c r="C60" s="444"/>
      <c r="D60" s="444"/>
      <c r="E60" s="444"/>
      <c r="F60" s="446">
        <f ca="1">F59-F57</f>
        <v>0</v>
      </c>
      <c r="G60" s="446">
        <f t="shared" ref="G60:W60" ca="1" si="24">G59-G57</f>
        <v>0</v>
      </c>
      <c r="H60" s="446">
        <f t="shared" ca="1" si="24"/>
        <v>0</v>
      </c>
      <c r="I60" s="446">
        <f t="shared" ca="1" si="24"/>
        <v>0</v>
      </c>
      <c r="J60" s="446">
        <f t="shared" ca="1" si="24"/>
        <v>0</v>
      </c>
      <c r="K60" s="446">
        <f t="shared" ca="1" si="24"/>
        <v>0</v>
      </c>
      <c r="L60" s="446">
        <f t="shared" ca="1" si="24"/>
        <v>0</v>
      </c>
      <c r="M60" s="446">
        <f t="shared" ca="1" si="24"/>
        <v>0</v>
      </c>
      <c r="N60" s="446">
        <f t="shared" ca="1" si="24"/>
        <v>0</v>
      </c>
      <c r="O60" s="446">
        <f t="shared" ca="1" si="24"/>
        <v>0</v>
      </c>
      <c r="P60" s="446">
        <f t="shared" ca="1" si="24"/>
        <v>0</v>
      </c>
      <c r="Q60" s="446">
        <f t="shared" ca="1" si="24"/>
        <v>0</v>
      </c>
      <c r="R60" s="446">
        <f t="shared" ca="1" si="24"/>
        <v>0</v>
      </c>
      <c r="S60" s="446">
        <f t="shared" ca="1" si="24"/>
        <v>0</v>
      </c>
      <c r="T60" s="446">
        <f t="shared" ca="1" si="24"/>
        <v>0</v>
      </c>
      <c r="U60" s="446">
        <f t="shared" ca="1" si="24"/>
        <v>0</v>
      </c>
      <c r="V60" s="446">
        <f t="shared" ca="1" si="24"/>
        <v>0</v>
      </c>
      <c r="W60" s="446">
        <f t="shared" ca="1" si="24"/>
        <v>0</v>
      </c>
      <c r="X60" s="446">
        <f ca="1">X59-X57</f>
        <v>0</v>
      </c>
      <c r="Y60" s="446">
        <f ca="1">Y59-Y57</f>
        <v>0</v>
      </c>
      <c r="Z60" s="446">
        <f ca="1">Z59-Z57</f>
        <v>0</v>
      </c>
      <c r="AA60" s="505">
        <f ca="1">SUM(F60:Z60)</f>
        <v>0</v>
      </c>
    </row>
    <row r="61" spans="1:27">
      <c r="A61" s="177"/>
      <c r="B61" s="23"/>
      <c r="C61" s="23"/>
      <c r="D61" s="23"/>
      <c r="E61" s="23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500"/>
    </row>
    <row r="62" spans="1:27">
      <c r="A62" s="494" t="s">
        <v>338</v>
      </c>
      <c r="B62" s="23"/>
      <c r="C62" s="23"/>
      <c r="D62" s="23"/>
      <c r="E62" s="23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500"/>
    </row>
    <row r="63" spans="1:27">
      <c r="A63" s="163" t="s">
        <v>164</v>
      </c>
      <c r="B63" s="23"/>
      <c r="C63" s="23"/>
      <c r="D63" s="23"/>
      <c r="E63" s="23"/>
      <c r="F63" s="831">
        <v>0</v>
      </c>
      <c r="G63" s="259">
        <f t="shared" ref="G63:W63" ca="1" si="25">F66</f>
        <v>0</v>
      </c>
      <c r="H63" s="259">
        <f t="shared" ca="1" si="25"/>
        <v>0</v>
      </c>
      <c r="I63" s="259">
        <f t="shared" ca="1" si="25"/>
        <v>0</v>
      </c>
      <c r="J63" s="259">
        <f t="shared" ca="1" si="25"/>
        <v>0</v>
      </c>
      <c r="K63" s="259">
        <f t="shared" ca="1" si="25"/>
        <v>0</v>
      </c>
      <c r="L63" s="259">
        <f t="shared" ca="1" si="25"/>
        <v>0</v>
      </c>
      <c r="M63" s="259">
        <f t="shared" ca="1" si="25"/>
        <v>0</v>
      </c>
      <c r="N63" s="259">
        <f t="shared" ca="1" si="25"/>
        <v>0</v>
      </c>
      <c r="O63" s="259">
        <f t="shared" ca="1" si="25"/>
        <v>0</v>
      </c>
      <c r="P63" s="259">
        <f t="shared" ca="1" si="25"/>
        <v>0</v>
      </c>
      <c r="Q63" s="259">
        <f t="shared" ca="1" si="25"/>
        <v>0</v>
      </c>
      <c r="R63" s="259">
        <f t="shared" ca="1" si="25"/>
        <v>0</v>
      </c>
      <c r="S63" s="259">
        <f t="shared" ca="1" si="25"/>
        <v>0</v>
      </c>
      <c r="T63" s="259">
        <f t="shared" ca="1" si="25"/>
        <v>0</v>
      </c>
      <c r="U63" s="259">
        <f t="shared" ca="1" si="25"/>
        <v>0</v>
      </c>
      <c r="V63" s="259">
        <f t="shared" ca="1" si="25"/>
        <v>0</v>
      </c>
      <c r="W63" s="259">
        <f t="shared" ca="1" si="25"/>
        <v>0</v>
      </c>
      <c r="X63" s="259">
        <f ca="1">W66</f>
        <v>0</v>
      </c>
      <c r="Y63" s="259">
        <f ca="1">X66</f>
        <v>0</v>
      </c>
      <c r="Z63" s="259">
        <f ca="1">Y66</f>
        <v>0</v>
      </c>
      <c r="AA63" s="500">
        <f>F63</f>
        <v>0</v>
      </c>
    </row>
    <row r="64" spans="1:27">
      <c r="A64" s="163" t="s">
        <v>170</v>
      </c>
      <c r="B64" s="23"/>
      <c r="C64" s="23"/>
      <c r="D64" s="23"/>
      <c r="E64" s="23"/>
      <c r="F64" s="259">
        <f ca="1">F59</f>
        <v>0</v>
      </c>
      <c r="G64" s="259">
        <f t="shared" ref="G64:W64" ca="1" si="26">G59</f>
        <v>0</v>
      </c>
      <c r="H64" s="259">
        <f t="shared" ca="1" si="26"/>
        <v>909.92205854259817</v>
      </c>
      <c r="I64" s="259">
        <f t="shared" ca="1" si="26"/>
        <v>1126.7482263028737</v>
      </c>
      <c r="J64" s="259">
        <f t="shared" ca="1" si="26"/>
        <v>2210.3390454329178</v>
      </c>
      <c r="K64" s="259">
        <f t="shared" ca="1" si="26"/>
        <v>1194.5792550407145</v>
      </c>
      <c r="L64" s="259">
        <f t="shared" ca="1" si="26"/>
        <v>1228.6881112690098</v>
      </c>
      <c r="M64" s="259">
        <f t="shared" ca="1" si="26"/>
        <v>1263.0899553611118</v>
      </c>
      <c r="N64" s="259">
        <f t="shared" ca="1" si="26"/>
        <v>1297.6287452654701</v>
      </c>
      <c r="O64" s="259">
        <f t="shared" ca="1" si="26"/>
        <v>1332.344266183834</v>
      </c>
      <c r="P64" s="259">
        <f t="shared" ca="1" si="26"/>
        <v>1367.346431966997</v>
      </c>
      <c r="Q64" s="259">
        <f t="shared" ca="1" si="26"/>
        <v>1402.6794394065198</v>
      </c>
      <c r="R64" s="259">
        <f t="shared" ca="1" si="26"/>
        <v>1438.4150706620098</v>
      </c>
      <c r="S64" s="259">
        <f t="shared" ca="1" si="26"/>
        <v>1474.6855565202452</v>
      </c>
      <c r="T64" s="259">
        <f t="shared" ca="1" si="26"/>
        <v>2878.8184624194732</v>
      </c>
      <c r="U64" s="259">
        <f t="shared" ca="1" si="26"/>
        <v>1549.9114201647003</v>
      </c>
      <c r="V64" s="259">
        <f t="shared" ca="1" si="26"/>
        <v>1589.6520310171607</v>
      </c>
      <c r="W64" s="259">
        <f t="shared" ca="1" si="26"/>
        <v>1631.1048511120875</v>
      </c>
      <c r="X64" s="259">
        <f ca="1">X59</f>
        <v>1674.4586967553239</v>
      </c>
      <c r="Y64" s="259">
        <f ca="1">Y59</f>
        <v>1719.706767272359</v>
      </c>
      <c r="Z64" s="259">
        <f ca="1">Z59</f>
        <v>588.96706985216611</v>
      </c>
      <c r="AA64" s="500">
        <f ca="1">SUM(F64:Z64)</f>
        <v>27879.085460547572</v>
      </c>
    </row>
    <row r="65" spans="1:28">
      <c r="A65" s="163" t="s">
        <v>171</v>
      </c>
      <c r="B65" s="23"/>
      <c r="C65" s="23"/>
      <c r="D65" s="23"/>
      <c r="E65" s="23"/>
      <c r="F65" s="260">
        <f ca="1">-F57</f>
        <v>0</v>
      </c>
      <c r="G65" s="260">
        <f t="shared" ref="G65:W65" ca="1" si="27">-G57</f>
        <v>0</v>
      </c>
      <c r="H65" s="260">
        <f t="shared" ca="1" si="27"/>
        <v>-909.92205854259817</v>
      </c>
      <c r="I65" s="260">
        <f t="shared" ca="1" si="27"/>
        <v>-1126.7482263028737</v>
      </c>
      <c r="J65" s="260">
        <f t="shared" ca="1" si="27"/>
        <v>-2210.3390454329178</v>
      </c>
      <c r="K65" s="260">
        <f t="shared" ca="1" si="27"/>
        <v>-1194.5792550407145</v>
      </c>
      <c r="L65" s="260">
        <f t="shared" ca="1" si="27"/>
        <v>-1228.6881112690098</v>
      </c>
      <c r="M65" s="260">
        <f t="shared" ca="1" si="27"/>
        <v>-1263.0899553611118</v>
      </c>
      <c r="N65" s="260">
        <f t="shared" ca="1" si="27"/>
        <v>-1297.6287452654701</v>
      </c>
      <c r="O65" s="260">
        <f t="shared" ca="1" si="27"/>
        <v>-1332.344266183834</v>
      </c>
      <c r="P65" s="260">
        <f t="shared" ca="1" si="27"/>
        <v>-1367.346431966997</v>
      </c>
      <c r="Q65" s="260">
        <f t="shared" ca="1" si="27"/>
        <v>-1402.6794394065198</v>
      </c>
      <c r="R65" s="260">
        <f t="shared" ca="1" si="27"/>
        <v>-1438.4150706620098</v>
      </c>
      <c r="S65" s="260">
        <f t="shared" ca="1" si="27"/>
        <v>-1474.6855565202452</v>
      </c>
      <c r="T65" s="260">
        <f t="shared" ca="1" si="27"/>
        <v>-2878.8184624194732</v>
      </c>
      <c r="U65" s="260">
        <f t="shared" ca="1" si="27"/>
        <v>-1549.9114201647003</v>
      </c>
      <c r="V65" s="260">
        <f t="shared" ca="1" si="27"/>
        <v>-1589.6520310171607</v>
      </c>
      <c r="W65" s="260">
        <f t="shared" ca="1" si="27"/>
        <v>-1631.1048511120875</v>
      </c>
      <c r="X65" s="260">
        <f ca="1">-X57</f>
        <v>-1674.4586967553239</v>
      </c>
      <c r="Y65" s="260">
        <f ca="1">-Y57</f>
        <v>-1719.706767272359</v>
      </c>
      <c r="Z65" s="260">
        <f ca="1">-Z57</f>
        <v>-588.96706985216611</v>
      </c>
      <c r="AA65" s="501">
        <f ca="1">SUM(F65:Z65)</f>
        <v>-27879.085460547572</v>
      </c>
    </row>
    <row r="66" spans="1:28">
      <c r="A66" s="493" t="s">
        <v>172</v>
      </c>
      <c r="B66" s="25"/>
      <c r="C66" s="25"/>
      <c r="D66" s="25"/>
      <c r="E66" s="25"/>
      <c r="F66" s="265">
        <f ca="1">SUM(F63:F65)</f>
        <v>0</v>
      </c>
      <c r="G66" s="265">
        <f t="shared" ref="G66:AA66" ca="1" si="28">SUM(G63:G65)</f>
        <v>0</v>
      </c>
      <c r="H66" s="265">
        <f t="shared" ca="1" si="28"/>
        <v>0</v>
      </c>
      <c r="I66" s="265">
        <f t="shared" ca="1" si="28"/>
        <v>0</v>
      </c>
      <c r="J66" s="265">
        <f t="shared" ca="1" si="28"/>
        <v>0</v>
      </c>
      <c r="K66" s="265">
        <f t="shared" ca="1" si="28"/>
        <v>0</v>
      </c>
      <c r="L66" s="265">
        <f t="shared" ca="1" si="28"/>
        <v>0</v>
      </c>
      <c r="M66" s="265">
        <f t="shared" ca="1" si="28"/>
        <v>0</v>
      </c>
      <c r="N66" s="265">
        <f t="shared" ca="1" si="28"/>
        <v>0</v>
      </c>
      <c r="O66" s="265">
        <f t="shared" ca="1" si="28"/>
        <v>0</v>
      </c>
      <c r="P66" s="265">
        <f t="shared" ca="1" si="28"/>
        <v>0</v>
      </c>
      <c r="Q66" s="265">
        <f t="shared" ca="1" si="28"/>
        <v>0</v>
      </c>
      <c r="R66" s="265">
        <f t="shared" ca="1" si="28"/>
        <v>0</v>
      </c>
      <c r="S66" s="265">
        <f t="shared" ca="1" si="28"/>
        <v>0</v>
      </c>
      <c r="T66" s="265">
        <f t="shared" ca="1" si="28"/>
        <v>0</v>
      </c>
      <c r="U66" s="265">
        <f t="shared" ca="1" si="28"/>
        <v>0</v>
      </c>
      <c r="V66" s="265">
        <f t="shared" ca="1" si="28"/>
        <v>0</v>
      </c>
      <c r="W66" s="265">
        <f t="shared" ca="1" si="28"/>
        <v>0</v>
      </c>
      <c r="X66" s="265">
        <f ca="1">SUM(X63:X65)</f>
        <v>0</v>
      </c>
      <c r="Y66" s="265">
        <f ca="1">SUM(Y63:Y65)</f>
        <v>0</v>
      </c>
      <c r="Z66" s="265">
        <f ca="1">SUM(Z63:Z65)</f>
        <v>0</v>
      </c>
      <c r="AA66" s="507">
        <f t="shared" ca="1" si="28"/>
        <v>0</v>
      </c>
      <c r="AB66" s="288" t="s">
        <v>865</v>
      </c>
    </row>
    <row r="67" spans="1:28">
      <c r="A67" s="163"/>
      <c r="B67" s="23"/>
      <c r="C67" s="23"/>
      <c r="D67" s="23"/>
      <c r="E67" s="23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499"/>
      <c r="AB67" s="1037" t="s">
        <v>867</v>
      </c>
    </row>
    <row r="68" spans="1:28" s="23" customFormat="1">
      <c r="A68" s="177" t="s">
        <v>173</v>
      </c>
      <c r="E68" s="975">
        <v>1998</v>
      </c>
      <c r="F68" s="269">
        <f>E68+1</f>
        <v>1999</v>
      </c>
      <c r="G68" s="269">
        <f t="shared" ref="G68:W68" si="29">F68+1</f>
        <v>2000</v>
      </c>
      <c r="H68" s="269">
        <f t="shared" si="29"/>
        <v>2001</v>
      </c>
      <c r="I68" s="269">
        <f t="shared" si="29"/>
        <v>2002</v>
      </c>
      <c r="J68" s="269">
        <f t="shared" si="29"/>
        <v>2003</v>
      </c>
      <c r="K68" s="269">
        <f t="shared" si="29"/>
        <v>2004</v>
      </c>
      <c r="L68" s="269">
        <f t="shared" si="29"/>
        <v>2005</v>
      </c>
      <c r="M68" s="269">
        <f t="shared" si="29"/>
        <v>2006</v>
      </c>
      <c r="N68" s="269">
        <f t="shared" si="29"/>
        <v>2007</v>
      </c>
      <c r="O68" s="269">
        <f t="shared" si="29"/>
        <v>2008</v>
      </c>
      <c r="P68" s="269">
        <f t="shared" si="29"/>
        <v>2009</v>
      </c>
      <c r="Q68" s="269">
        <f t="shared" si="29"/>
        <v>2010</v>
      </c>
      <c r="R68" s="269">
        <f t="shared" si="29"/>
        <v>2011</v>
      </c>
      <c r="S68" s="269">
        <f t="shared" si="29"/>
        <v>2012</v>
      </c>
      <c r="T68" s="269">
        <f t="shared" si="29"/>
        <v>2013</v>
      </c>
      <c r="U68" s="269">
        <f t="shared" si="29"/>
        <v>2014</v>
      </c>
      <c r="V68" s="269">
        <f t="shared" si="29"/>
        <v>2015</v>
      </c>
      <c r="W68" s="269">
        <f t="shared" si="29"/>
        <v>2016</v>
      </c>
      <c r="X68" s="269">
        <f>W68+1</f>
        <v>2017</v>
      </c>
      <c r="Y68" s="269">
        <f>X68+1</f>
        <v>2018</v>
      </c>
      <c r="Z68" s="269">
        <f>Y68+1</f>
        <v>2019</v>
      </c>
      <c r="AA68" s="510" t="s">
        <v>152</v>
      </c>
      <c r="AB68" s="1007">
        <v>1</v>
      </c>
    </row>
    <row r="69" spans="1:28">
      <c r="A69" s="494" t="s">
        <v>710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499"/>
      <c r="AB69" s="397">
        <f t="shared" ref="AB69:AB87" si="30">AB68+1</f>
        <v>2</v>
      </c>
    </row>
    <row r="70" spans="1:28">
      <c r="A70" s="163" t="s">
        <v>566</v>
      </c>
      <c r="B70" s="23"/>
      <c r="C70" s="23"/>
      <c r="D70" s="23"/>
      <c r="E70" s="259">
        <f ca="1">IF(E$68&lt;YEAR(Startops1),0,HLOOKUP(E$68,CF_Table,CF!$AB$18))</f>
        <v>0</v>
      </c>
      <c r="F70" s="259">
        <f ca="1">IF(F$68&lt;YEAR(Startops1),0,HLOOKUP(F$68,CF_Table,CF!$AB$18))</f>
        <v>0</v>
      </c>
      <c r="G70" s="259">
        <f ca="1">IF(G$68&lt;YEAR(Startops1),0,HLOOKUP(G$68,CF_Table,CF!$AB$18))</f>
        <v>0</v>
      </c>
      <c r="H70" s="259">
        <f ca="1">IF(H$68&lt;YEAR(Startops1),0,HLOOKUP(H$68,CF_Table,CF!$AB$18))</f>
        <v>14282.925136278027</v>
      </c>
      <c r="I70" s="259">
        <f ca="1">IF(I$68&lt;YEAR(Startops1),0,HLOOKUP(I$68,CF_Table,CF!$AB$18))</f>
        <v>24055.05101070087</v>
      </c>
      <c r="J70" s="259">
        <f ca="1">IF(J$68&lt;YEAR(Startops1),0,HLOOKUP(J$68,CF_Table,CF!$AB$18))</f>
        <v>24793.36661323718</v>
      </c>
      <c r="K70" s="259">
        <f ca="1">IF(K$68&lt;YEAR(Startops1),0,HLOOKUP(K$68,CF_Table,CF!$AB$18))</f>
        <v>25593.329628871357</v>
      </c>
      <c r="L70" s="259">
        <f ca="1">IF(L$68&lt;YEAR(Startops1),0,HLOOKUP(L$68,CF_Table,CF!$AB$18))</f>
        <v>26258.924245431124</v>
      </c>
      <c r="M70" s="259">
        <f ca="1">IF(M$68&lt;YEAR(Startops1),0,HLOOKUP(M$68,CF_Table,CF!$AB$18))</f>
        <v>26998.838079134002</v>
      </c>
      <c r="N70" s="259">
        <f ca="1">IF(N$68&lt;YEAR(Startops1),0,HLOOKUP(N$68,CF_Table,CF!$AB$18))</f>
        <v>27742.812098795694</v>
      </c>
      <c r="O70" s="259">
        <f ca="1">IF(O$68&lt;YEAR(Startops1),0,HLOOKUP(O$68,CF_Table,CF!$AB$18))</f>
        <v>28566.99450136954</v>
      </c>
      <c r="P70" s="259">
        <f ca="1">IF(P$68&lt;YEAR(Startops1),0,HLOOKUP(P$68,CF_Table,CF!$AB$18))</f>
        <v>29243.222568026747</v>
      </c>
      <c r="Q70" s="259">
        <f ca="1">IF(Q$68&lt;YEAR(Startops1),0,HLOOKUP(Q$68,CF_Table,CF!$AB$18))</f>
        <v>30002.951649161452</v>
      </c>
      <c r="R70" s="259">
        <f ca="1">IF(R$68&lt;YEAR(Startops1),0,HLOOKUP(R$68,CF_Table,CF!$AB$18))</f>
        <v>30770.855661206879</v>
      </c>
      <c r="S70" s="259">
        <f ca="1">IF(S$68&lt;YEAR(Startops1),0,HLOOKUP(S$68,CF_Table,CF!$AB$18))</f>
        <v>31634.35592757594</v>
      </c>
      <c r="T70" s="259">
        <f ca="1">IF(T$68&lt;YEAR(Startops1),0,HLOOKUP(T$68,CF_Table,CF!$AB$18))</f>
        <v>32342.551229746583</v>
      </c>
      <c r="U70" s="259">
        <f ca="1">IF(U$68&lt;YEAR(Startops1),0,HLOOKUP(U$68,CF_Table,CF!$AB$18))</f>
        <v>33158.156039656191</v>
      </c>
      <c r="V70" s="259">
        <f ca="1">IF(V$68&lt;YEAR(Startops1),0,HLOOKUP(V$68,CF_Table,CF!$AB$18))</f>
        <v>34004.389875094806</v>
      </c>
      <c r="W70" s="259">
        <f ca="1">IF(W$68&lt;YEAR(Startops1),0,HLOOKUP(W$68,CF_Table,CF!$AB$18))</f>
        <v>34980.252818087909</v>
      </c>
      <c r="X70" s="259">
        <f ca="1">IF(X$68&lt;YEAR(Startops1),0,HLOOKUP(X$68,CF_Table,CF!$AB$18))</f>
        <v>35807.909346175526</v>
      </c>
      <c r="Y70" s="259">
        <f ca="1">IF(Y$68&lt;YEAR(Startops1),0,HLOOKUP(Y$68,CF_Table,CF!$AB$18))</f>
        <v>36770.404189155677</v>
      </c>
      <c r="Z70" s="259">
        <f ca="1">IF(Z$68&lt;YEAR(Startops1),0,HLOOKUP(Z$68,CF_Table,CF!$AB$18))</f>
        <v>12194.385801560777</v>
      </c>
      <c r="AA70" s="500">
        <f ca="1">SUM(D70:Z70)</f>
        <v>539201.67641926638</v>
      </c>
      <c r="AB70" s="397">
        <f t="shared" si="30"/>
        <v>3</v>
      </c>
    </row>
    <row r="71" spans="1:28">
      <c r="A71" s="163" t="s">
        <v>339</v>
      </c>
      <c r="B71" s="257">
        <f>Vat</f>
        <v>0.13</v>
      </c>
      <c r="C71" s="23"/>
      <c r="D71" s="23"/>
      <c r="E71" s="258">
        <f t="shared" ref="E71:Z71" si="31">$B71</f>
        <v>0.13</v>
      </c>
      <c r="F71" s="258">
        <f t="shared" si="31"/>
        <v>0.13</v>
      </c>
      <c r="G71" s="258">
        <f t="shared" si="31"/>
        <v>0.13</v>
      </c>
      <c r="H71" s="258">
        <f t="shared" si="31"/>
        <v>0.13</v>
      </c>
      <c r="I71" s="258">
        <f t="shared" si="31"/>
        <v>0.13</v>
      </c>
      <c r="J71" s="258">
        <f t="shared" si="31"/>
        <v>0.13</v>
      </c>
      <c r="K71" s="258">
        <f t="shared" si="31"/>
        <v>0.13</v>
      </c>
      <c r="L71" s="258">
        <f t="shared" si="31"/>
        <v>0.13</v>
      </c>
      <c r="M71" s="258">
        <f t="shared" si="31"/>
        <v>0.13</v>
      </c>
      <c r="N71" s="258">
        <f t="shared" si="31"/>
        <v>0.13</v>
      </c>
      <c r="O71" s="258">
        <f t="shared" si="31"/>
        <v>0.13</v>
      </c>
      <c r="P71" s="258">
        <f t="shared" si="31"/>
        <v>0.13</v>
      </c>
      <c r="Q71" s="258">
        <f t="shared" si="31"/>
        <v>0.13</v>
      </c>
      <c r="R71" s="258">
        <f t="shared" si="31"/>
        <v>0.13</v>
      </c>
      <c r="S71" s="258">
        <f t="shared" si="31"/>
        <v>0.13</v>
      </c>
      <c r="T71" s="258">
        <f t="shared" si="31"/>
        <v>0.13</v>
      </c>
      <c r="U71" s="258">
        <f t="shared" si="31"/>
        <v>0.13</v>
      </c>
      <c r="V71" s="258">
        <f t="shared" si="31"/>
        <v>0.13</v>
      </c>
      <c r="W71" s="258">
        <f t="shared" si="31"/>
        <v>0.13</v>
      </c>
      <c r="X71" s="258">
        <f t="shared" si="31"/>
        <v>0.13</v>
      </c>
      <c r="Y71" s="258">
        <f t="shared" si="31"/>
        <v>0.13</v>
      </c>
      <c r="Z71" s="258">
        <f t="shared" si="31"/>
        <v>0.13</v>
      </c>
      <c r="AA71" s="511"/>
      <c r="AB71" s="397">
        <f t="shared" si="30"/>
        <v>4</v>
      </c>
    </row>
    <row r="72" spans="1:28">
      <c r="A72" s="163" t="s">
        <v>713</v>
      </c>
      <c r="B72" s="256"/>
      <c r="C72" s="23"/>
      <c r="D72" s="23"/>
      <c r="E72" s="259">
        <f ca="1">E70*E71</f>
        <v>0</v>
      </c>
      <c r="F72" s="259">
        <f t="shared" ref="F72:Z72" ca="1" si="32">F70*F71</f>
        <v>0</v>
      </c>
      <c r="G72" s="259">
        <f t="shared" ca="1" si="32"/>
        <v>0</v>
      </c>
      <c r="H72" s="259">
        <f t="shared" ca="1" si="32"/>
        <v>1856.7802677161435</v>
      </c>
      <c r="I72" s="259">
        <f t="shared" ca="1" si="32"/>
        <v>3127.1566313911135</v>
      </c>
      <c r="J72" s="259">
        <f t="shared" ca="1" si="32"/>
        <v>3223.1376597208337</v>
      </c>
      <c r="K72" s="259">
        <f t="shared" ca="1" si="32"/>
        <v>3327.1328517532766</v>
      </c>
      <c r="L72" s="259">
        <f t="shared" ca="1" si="32"/>
        <v>3413.6601519060464</v>
      </c>
      <c r="M72" s="259">
        <f t="shared" ca="1" si="32"/>
        <v>3509.8489502874204</v>
      </c>
      <c r="N72" s="259">
        <f t="shared" ca="1" si="32"/>
        <v>3606.5655728434403</v>
      </c>
      <c r="O72" s="259">
        <f t="shared" ca="1" si="32"/>
        <v>3713.7092851780403</v>
      </c>
      <c r="P72" s="259">
        <f t="shared" ca="1" si="32"/>
        <v>3801.6189338434774</v>
      </c>
      <c r="Q72" s="259">
        <f t="shared" ca="1" si="32"/>
        <v>3900.3837143909891</v>
      </c>
      <c r="R72" s="259">
        <f t="shared" ca="1" si="32"/>
        <v>4000.2112359568946</v>
      </c>
      <c r="S72" s="259">
        <f t="shared" ca="1" si="32"/>
        <v>4112.4662705848723</v>
      </c>
      <c r="T72" s="259">
        <f t="shared" ca="1" si="32"/>
        <v>4204.5316598670561</v>
      </c>
      <c r="U72" s="259">
        <f t="shared" ca="1" si="32"/>
        <v>4310.5602851553049</v>
      </c>
      <c r="V72" s="259">
        <f t="shared" ca="1" si="32"/>
        <v>4420.5706837623247</v>
      </c>
      <c r="W72" s="259">
        <f t="shared" ca="1" si="32"/>
        <v>4547.4328663514279</v>
      </c>
      <c r="X72" s="259">
        <f t="shared" ca="1" si="32"/>
        <v>4655.0282150028188</v>
      </c>
      <c r="Y72" s="259">
        <f t="shared" ca="1" si="32"/>
        <v>4780.152544590238</v>
      </c>
      <c r="Z72" s="259">
        <f t="shared" ca="1" si="32"/>
        <v>1585.270154202901</v>
      </c>
      <c r="AA72" s="500">
        <f ca="1">SUM(D72:Z72)</f>
        <v>70096.217934504617</v>
      </c>
      <c r="AB72" s="397">
        <f t="shared" si="30"/>
        <v>5</v>
      </c>
    </row>
    <row r="73" spans="1:28">
      <c r="A73" s="163"/>
      <c r="B73" s="256"/>
      <c r="C73" s="23"/>
      <c r="D73" s="23"/>
      <c r="E73" s="271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500"/>
      <c r="AB73" s="397">
        <f t="shared" si="30"/>
        <v>6</v>
      </c>
    </row>
    <row r="74" spans="1:28">
      <c r="A74" s="494" t="s">
        <v>717</v>
      </c>
      <c r="B74" s="23"/>
      <c r="C74" s="23"/>
      <c r="D74" s="23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500"/>
      <c r="AB74" s="397">
        <f t="shared" si="30"/>
        <v>7</v>
      </c>
    </row>
    <row r="75" spans="1:28">
      <c r="A75" s="163" t="s">
        <v>342</v>
      </c>
      <c r="B75" s="23"/>
      <c r="C75" s="23"/>
      <c r="D75" s="23"/>
      <c r="E75" s="259">
        <f ca="1">IF(E$68&lt;YEAR(Startconst),0,-Depr!$D14*HLOOKUP(DATE(E$68,12,31),Idc_Table,IDC!$AP$21)-SUM($D75:D75))</f>
        <v>411.31880302579816</v>
      </c>
      <c r="F75" s="259">
        <f ca="1">IF(F$68&lt;YEAR(Startconst),0,-Depr!$D14*HLOOKUP(DATE(F$68,12,31),Idc_Table,IDC!$AP$21)-SUM($D75:E75))</f>
        <v>2909.9885004912194</v>
      </c>
      <c r="G75" s="259">
        <f ca="1">IF(G$68&lt;YEAR(Startconst),0,-Depr!$D14*HLOOKUP(DATE(G$68,12,31),Idc_Table,IDC!$AP$21)-SUM($D75:F75))</f>
        <v>2537.8860769937801</v>
      </c>
      <c r="H75" s="259">
        <f ca="1">IF(H$68&lt;YEAR(Startconst),0,-Depr!$D14*HLOOKUP(DATE(H$68,12,31),Idc_Table,IDC!$AP$21)-SUM($D75:G75))</f>
        <v>1.4205696097633336E-2</v>
      </c>
      <c r="I75" s="259">
        <f ca="1">IF(I$68&lt;YEAR(Startconst),0,-Depr!$D14*HLOOKUP(DATE(I$68,12,31),Idc_Table,IDC!$AP$21)-SUM($D75:H75))</f>
        <v>0</v>
      </c>
      <c r="J75" s="259">
        <f ca="1">IF(J$68&lt;YEAR(Startconst),0,-Depr!$D14*HLOOKUP(DATE(J$68,12,31),Idc_Table,IDC!$AP$21)-SUM($D75:I75))</f>
        <v>0</v>
      </c>
      <c r="K75" s="259">
        <f ca="1">IF(K$68&lt;YEAR(Startconst),0,-Depr!$D14*HLOOKUP(DATE(K$68,12,31),Idc_Table,IDC!$AP$21)-SUM($D75:J75))</f>
        <v>0</v>
      </c>
      <c r="L75" s="259">
        <f ca="1">IF(L$68&lt;YEAR(Startconst),0,-Depr!$D14*HLOOKUP(DATE(L$68,12,31),Idc_Table,IDC!$AP$21)-SUM($D75:K75))</f>
        <v>0</v>
      </c>
      <c r="M75" s="259">
        <f ca="1">IF(M$68&lt;YEAR(Startconst),0,-Depr!$D14*HLOOKUP(DATE(M$68,12,31),Idc_Table,IDC!$AP$21)-SUM($D75:L75))</f>
        <v>0</v>
      </c>
      <c r="N75" s="259">
        <f ca="1">IF(N$68&lt;YEAR(Startconst),0,-Depr!$D14*HLOOKUP(DATE(N$68,12,31),Idc_Table,IDC!$AP$21)-SUM($D75:M75))</f>
        <v>0</v>
      </c>
      <c r="O75" s="259">
        <f ca="1">IF(O$68&lt;YEAR(Startconst),0,-Depr!$D14*HLOOKUP(DATE(O$68,12,31),Idc_Table,IDC!$AP$21)-SUM($D75:N75))</f>
        <v>0</v>
      </c>
      <c r="P75" s="259">
        <f ca="1">IF(P$68&lt;YEAR(Startconst),0,-Depr!$D14*HLOOKUP(DATE(P$68,12,31),Idc_Table,IDC!$AP$21)-SUM($D75:O75))</f>
        <v>0</v>
      </c>
      <c r="Q75" s="259">
        <f ca="1">IF(Q$68&lt;YEAR(Startconst),0,-Depr!$D14*HLOOKUP(DATE(Q$68,12,31),Idc_Table,IDC!$AP$21)-SUM($D75:P75))</f>
        <v>0</v>
      </c>
      <c r="R75" s="259">
        <f ca="1">IF(R$68&lt;YEAR(Startconst),0,-Depr!$D14*HLOOKUP(DATE(R$68,12,31),Idc_Table,IDC!$AP$21)-SUM($D75:Q75))</f>
        <v>0</v>
      </c>
      <c r="S75" s="259">
        <f ca="1">IF(S$68&lt;YEAR(Startconst),0,-Depr!$D14*HLOOKUP(DATE(S$68,12,31),Idc_Table,IDC!$AP$21)-SUM($D75:R75))</f>
        <v>0</v>
      </c>
      <c r="T75" s="259">
        <f ca="1">IF(T$68&lt;YEAR(Startconst),0,-Depr!$D14*HLOOKUP(DATE(T$68,12,31),Idc_Table,IDC!$AP$21)-SUM($D75:S75))</f>
        <v>0</v>
      </c>
      <c r="U75" s="259">
        <f ca="1">IF(U$68&lt;YEAR(Startconst),0,-Depr!$D14*HLOOKUP(DATE(U$68,12,31),Idc_Table,IDC!$AP$21)-SUM($D75:T75))</f>
        <v>0</v>
      </c>
      <c r="V75" s="259">
        <f ca="1">IF(V$68&lt;YEAR(Startconst),0,-Depr!$D14*HLOOKUP(DATE(V$68,12,31),Idc_Table,IDC!$AP$21)-SUM($D75:U75))</f>
        <v>0</v>
      </c>
      <c r="W75" s="259">
        <f ca="1">IF(W$68&lt;YEAR(Startconst),0,-Depr!$D14*HLOOKUP(DATE(W$68,12,31),Idc_Table,IDC!$AP$21)-SUM($D75:V75))</f>
        <v>0</v>
      </c>
      <c r="X75" s="259">
        <f ca="1">IF(X$68&lt;YEAR(Startconst),0,-Depr!$D14*HLOOKUP(DATE(X$68,12,31),Idc_Table,IDC!$AP$21)-SUM($D75:W75))</f>
        <v>0</v>
      </c>
      <c r="Y75" s="259">
        <f ca="1">IF(Y$68&lt;YEAR(Startconst),0,-Depr!$D14*HLOOKUP(DATE(Y$68,12,31),Idc_Table,IDC!$AP$21)-SUM($D75:X75))</f>
        <v>0</v>
      </c>
      <c r="Z75" s="259">
        <f ca="1">IF(Z$68&lt;YEAR(Startconst),0,-Depr!$D14*HLOOKUP(DATE(Z$68,12,31),Idc_Table,IDC!$AP$21)-SUM($D75:Y75))</f>
        <v>0</v>
      </c>
      <c r="AA75" s="500">
        <f ca="1">SUM(D75:Z75)</f>
        <v>5859.207586206895</v>
      </c>
      <c r="AB75" s="397">
        <f t="shared" si="30"/>
        <v>8</v>
      </c>
    </row>
    <row r="76" spans="1:28">
      <c r="A76" s="163" t="s">
        <v>174</v>
      </c>
      <c r="B76" s="23"/>
      <c r="C76" s="23"/>
      <c r="D76" s="23"/>
      <c r="E76" s="259">
        <f ca="1">IF(E$68&lt;YEAR(Startconst),0,-Depr!$D15*HLOOKUP(DATE(E$68,12,31),Idc_Table,IDC!$AP$21)-SUM($D76:D76))</f>
        <v>19.707094559148153</v>
      </c>
      <c r="F76" s="259">
        <f ca="1">IF(F$68&lt;YEAR(Startconst),0,-Depr!$D15*HLOOKUP(DATE(F$68,12,31),Idc_Table,IDC!$AP$21)-SUM($D76:E76))</f>
        <v>139.42328462338091</v>
      </c>
      <c r="G76" s="259">
        <f ca="1">IF(G$68&lt;YEAR(Startconst),0,-Depr!$D15*HLOOKUP(DATE(G$68,12,31),Idc_Table,IDC!$AP$21)-SUM($D76:F76))</f>
        <v>121.59512410261743</v>
      </c>
      <c r="H76" s="259">
        <f ca="1">IF(H$68&lt;YEAR(Startconst),0,-Depr!$D15*HLOOKUP(DATE(H$68,12,31),Idc_Table,IDC!$AP$21)-SUM($D76:G76))</f>
        <v>6.806228993809782E-4</v>
      </c>
      <c r="I76" s="259">
        <f ca="1">IF(I$68&lt;YEAR(Startconst),0,-Depr!$D15*HLOOKUP(DATE(I$68,12,31),Idc_Table,IDC!$AP$21)-SUM($D76:H76))</f>
        <v>0</v>
      </c>
      <c r="J76" s="259">
        <f ca="1">IF(J$68&lt;YEAR(Startconst),0,-Depr!$D15*HLOOKUP(DATE(J$68,12,31),Idc_Table,IDC!$AP$21)-SUM($D76:I76))</f>
        <v>0</v>
      </c>
      <c r="K76" s="259">
        <f ca="1">IF(K$68&lt;YEAR(Startconst),0,-Depr!$D15*HLOOKUP(DATE(K$68,12,31),Idc_Table,IDC!$AP$21)-SUM($D76:J76))</f>
        <v>0</v>
      </c>
      <c r="L76" s="259">
        <f ca="1">IF(L$68&lt;YEAR(Startconst),0,-Depr!$D15*HLOOKUP(DATE(L$68,12,31),Idc_Table,IDC!$AP$21)-SUM($D76:K76))</f>
        <v>0</v>
      </c>
      <c r="M76" s="259">
        <f ca="1">IF(M$68&lt;YEAR(Startconst),0,-Depr!$D15*HLOOKUP(DATE(M$68,12,31),Idc_Table,IDC!$AP$21)-SUM($D76:L76))</f>
        <v>0</v>
      </c>
      <c r="N76" s="259">
        <f ca="1">IF(N$68&lt;YEAR(Startconst),0,-Depr!$D15*HLOOKUP(DATE(N$68,12,31),Idc_Table,IDC!$AP$21)-SUM($D76:M76))</f>
        <v>0</v>
      </c>
      <c r="O76" s="259">
        <f ca="1">IF(O$68&lt;YEAR(Startconst),0,-Depr!$D15*HLOOKUP(DATE(O$68,12,31),Idc_Table,IDC!$AP$21)-SUM($D76:N76))</f>
        <v>0</v>
      </c>
      <c r="P76" s="259">
        <f ca="1">IF(P$68&lt;YEAR(Startconst),0,-Depr!$D15*HLOOKUP(DATE(P$68,12,31),Idc_Table,IDC!$AP$21)-SUM($D76:O76))</f>
        <v>0</v>
      </c>
      <c r="Q76" s="259">
        <f ca="1">IF(Q$68&lt;YEAR(Startconst),0,-Depr!$D15*HLOOKUP(DATE(Q$68,12,31),Idc_Table,IDC!$AP$21)-SUM($D76:P76))</f>
        <v>0</v>
      </c>
      <c r="R76" s="259">
        <f ca="1">IF(R$68&lt;YEAR(Startconst),0,-Depr!$D15*HLOOKUP(DATE(R$68,12,31),Idc_Table,IDC!$AP$21)-SUM($D76:Q76))</f>
        <v>0</v>
      </c>
      <c r="S76" s="259">
        <f ca="1">IF(S$68&lt;YEAR(Startconst),0,-Depr!$D15*HLOOKUP(DATE(S$68,12,31),Idc_Table,IDC!$AP$21)-SUM($D76:R76))</f>
        <v>0</v>
      </c>
      <c r="T76" s="259">
        <f ca="1">IF(T$68&lt;YEAR(Startconst),0,-Depr!$D15*HLOOKUP(DATE(T$68,12,31),Idc_Table,IDC!$AP$21)-SUM($D76:S76))</f>
        <v>0</v>
      </c>
      <c r="U76" s="259">
        <f ca="1">IF(U$68&lt;YEAR(Startconst),0,-Depr!$D15*HLOOKUP(DATE(U$68,12,31),Idc_Table,IDC!$AP$21)-SUM($D76:T76))</f>
        <v>0</v>
      </c>
      <c r="V76" s="259">
        <f ca="1">IF(V$68&lt;YEAR(Startconst),0,-Depr!$D15*HLOOKUP(DATE(V$68,12,31),Idc_Table,IDC!$AP$21)-SUM($D76:U76))</f>
        <v>0</v>
      </c>
      <c r="W76" s="259">
        <f ca="1">IF(W$68&lt;YEAR(Startconst),0,-Depr!$D15*HLOOKUP(DATE(W$68,12,31),Idc_Table,IDC!$AP$21)-SUM($D76:V76))</f>
        <v>0</v>
      </c>
      <c r="X76" s="259">
        <f ca="1">IF(X$68&lt;YEAR(Startconst),0,-Depr!$D15*HLOOKUP(DATE(X$68,12,31),Idc_Table,IDC!$AP$21)-SUM($D76:W76))</f>
        <v>0</v>
      </c>
      <c r="Y76" s="259">
        <f ca="1">IF(Y$68&lt;YEAR(Startconst),0,-Depr!$D15*HLOOKUP(DATE(Y$68,12,31),Idc_Table,IDC!$AP$21)-SUM($D76:X76))</f>
        <v>0</v>
      </c>
      <c r="Z76" s="259">
        <f ca="1">IF(Z$68&lt;YEAR(Startconst),0,-Depr!$D15*HLOOKUP(DATE(Z$68,12,31),Idc_Table,IDC!$AP$21)-SUM($D76:Y76))</f>
        <v>0</v>
      </c>
      <c r="AA76" s="500">
        <f ca="1">SUM(D76:Z76)</f>
        <v>280.72618390804587</v>
      </c>
      <c r="AB76" s="397">
        <f t="shared" si="30"/>
        <v>9</v>
      </c>
    </row>
    <row r="77" spans="1:28">
      <c r="A77" s="163" t="s">
        <v>698</v>
      </c>
      <c r="B77" s="23"/>
      <c r="C77" s="23"/>
      <c r="D77" s="23"/>
      <c r="E77" s="260">
        <f ca="1">IF(E$68&lt;YEAR(Startconst),0,-Depr!$D16*HLOOKUP(DATE(E$68,12,31),Idc_Table,IDC!$AP$21)-SUM($D77:D77))</f>
        <v>394.11717857160437</v>
      </c>
      <c r="F77" s="260">
        <f ca="1">IF(F$68&lt;YEAR(Startconst),0,-Depr!$D16*HLOOKUP(DATE(F$68,12,31),Idc_Table,IDC!$AP$21)-SUM($D77:E77))</f>
        <v>2788.290856271602</v>
      </c>
      <c r="G77" s="260">
        <f ca="1">IF(G$68&lt;YEAR(Startconst),0,-Depr!$D16*HLOOKUP(DATE(G$68,12,31),Idc_Table,IDC!$AP$21)-SUM($D77:F77))</f>
        <v>2431.7500022925324</v>
      </c>
      <c r="H77" s="260">
        <f ca="1">IF(H$68&lt;YEAR(Startconst),0,-Depr!$D16*HLOOKUP(DATE(H$68,12,31),Idc_Table,IDC!$AP$21)-SUM($D77:G77))</f>
        <v>1.361160448868759E-2</v>
      </c>
      <c r="I77" s="260">
        <f ca="1">IF(I$68&lt;YEAR(Startconst),0,-Depr!$D16*HLOOKUP(DATE(I$68,12,31),Idc_Table,IDC!$AP$21)-SUM($D77:H77))</f>
        <v>0</v>
      </c>
      <c r="J77" s="260">
        <f ca="1">IF(J$68&lt;YEAR(Startconst),0,-Depr!$D16*HLOOKUP(DATE(J$68,12,31),Idc_Table,IDC!$AP$21)-SUM($D77:I77))</f>
        <v>0</v>
      </c>
      <c r="K77" s="260">
        <f ca="1">IF(K$68&lt;YEAR(Startconst),0,-Depr!$D16*HLOOKUP(DATE(K$68,12,31),Idc_Table,IDC!$AP$21)-SUM($D77:J77))</f>
        <v>0</v>
      </c>
      <c r="L77" s="260">
        <f ca="1">IF(L$68&lt;YEAR(Startconst),0,-Depr!$D16*HLOOKUP(DATE(L$68,12,31),Idc_Table,IDC!$AP$21)-SUM($D77:K77))</f>
        <v>0</v>
      </c>
      <c r="M77" s="260">
        <f ca="1">IF(M$68&lt;YEAR(Startconst),0,-Depr!$D16*HLOOKUP(DATE(M$68,12,31),Idc_Table,IDC!$AP$21)-SUM($D77:L77))</f>
        <v>0</v>
      </c>
      <c r="N77" s="260">
        <f ca="1">IF(N$68&lt;YEAR(Startconst),0,-Depr!$D16*HLOOKUP(DATE(N$68,12,31),Idc_Table,IDC!$AP$21)-SUM($D77:M77))</f>
        <v>0</v>
      </c>
      <c r="O77" s="260">
        <f ca="1">IF(O$68&lt;YEAR(Startconst),0,-Depr!$D16*HLOOKUP(DATE(O$68,12,31),Idc_Table,IDC!$AP$21)-SUM($D77:N77))</f>
        <v>0</v>
      </c>
      <c r="P77" s="260">
        <f ca="1">IF(P$68&lt;YEAR(Startconst),0,-Depr!$D16*HLOOKUP(DATE(P$68,12,31),Idc_Table,IDC!$AP$21)-SUM($D77:O77))</f>
        <v>0</v>
      </c>
      <c r="Q77" s="260">
        <f ca="1">IF(Q$68&lt;YEAR(Startconst),0,-Depr!$D16*HLOOKUP(DATE(Q$68,12,31),Idc_Table,IDC!$AP$21)-SUM($D77:P77))</f>
        <v>0</v>
      </c>
      <c r="R77" s="260">
        <f ca="1">IF(R$68&lt;YEAR(Startconst),0,-Depr!$D16*HLOOKUP(DATE(R$68,12,31),Idc_Table,IDC!$AP$21)-SUM($D77:Q77))</f>
        <v>0</v>
      </c>
      <c r="S77" s="260">
        <f ca="1">IF(S$68&lt;YEAR(Startconst),0,-Depr!$D16*HLOOKUP(DATE(S$68,12,31),Idc_Table,IDC!$AP$21)-SUM($D77:R77))</f>
        <v>0</v>
      </c>
      <c r="T77" s="260">
        <f ca="1">IF(T$68&lt;YEAR(Startconst),0,-Depr!$D16*HLOOKUP(DATE(T$68,12,31),Idc_Table,IDC!$AP$21)-SUM($D77:S77))</f>
        <v>0</v>
      </c>
      <c r="U77" s="260">
        <f ca="1">IF(U$68&lt;YEAR(Startconst),0,-Depr!$D16*HLOOKUP(DATE(U$68,12,31),Idc_Table,IDC!$AP$21)-SUM($D77:T77))</f>
        <v>0</v>
      </c>
      <c r="V77" s="260">
        <f ca="1">IF(V$68&lt;YEAR(Startconst),0,-Depr!$D16*HLOOKUP(DATE(V$68,12,31),Idc_Table,IDC!$AP$21)-SUM($D77:U77))</f>
        <v>0</v>
      </c>
      <c r="W77" s="260">
        <f ca="1">IF(W$68&lt;YEAR(Startconst),0,-Depr!$D16*HLOOKUP(DATE(W$68,12,31),Idc_Table,IDC!$AP$21)-SUM($D77:V77))</f>
        <v>0</v>
      </c>
      <c r="X77" s="260">
        <f ca="1">IF(X$68&lt;YEAR(Startconst),0,-Depr!$D16*HLOOKUP(DATE(X$68,12,31),Idc_Table,IDC!$AP$21)-SUM($D77:W77))</f>
        <v>0</v>
      </c>
      <c r="Y77" s="260">
        <f ca="1">IF(Y$68&lt;YEAR(Startconst),0,-Depr!$D16*HLOOKUP(DATE(Y$68,12,31),Idc_Table,IDC!$AP$21)-SUM($D77:X77))</f>
        <v>0</v>
      </c>
      <c r="Z77" s="260">
        <f ca="1">IF(Z$68&lt;YEAR(Startconst),0,-Depr!$D16*HLOOKUP(DATE(Z$68,12,31),Idc_Table,IDC!$AP$21)-SUM($D77:Y77))</f>
        <v>0</v>
      </c>
      <c r="AA77" s="501">
        <f ca="1">SUM(D77:Z77)</f>
        <v>5614.1716487402273</v>
      </c>
      <c r="AB77" s="397">
        <f t="shared" si="30"/>
        <v>10</v>
      </c>
    </row>
    <row r="78" spans="1:28">
      <c r="A78" s="163" t="s">
        <v>341</v>
      </c>
      <c r="B78" s="23"/>
      <c r="C78" s="23"/>
      <c r="D78" s="23"/>
      <c r="E78" s="259">
        <f t="shared" ref="E78:Z78" ca="1" si="33">SUM(E75:E77)</f>
        <v>825.14307615655071</v>
      </c>
      <c r="F78" s="259">
        <f t="shared" ca="1" si="33"/>
        <v>5837.7026413862022</v>
      </c>
      <c r="G78" s="259">
        <f t="shared" ca="1" si="33"/>
        <v>5091.2312033889302</v>
      </c>
      <c r="H78" s="259">
        <f t="shared" ca="1" si="33"/>
        <v>2.8497923485701904E-2</v>
      </c>
      <c r="I78" s="259">
        <f t="shared" ca="1" si="33"/>
        <v>0</v>
      </c>
      <c r="J78" s="259">
        <f t="shared" ca="1" si="33"/>
        <v>0</v>
      </c>
      <c r="K78" s="259">
        <f t="shared" ca="1" si="33"/>
        <v>0</v>
      </c>
      <c r="L78" s="259">
        <f t="shared" ca="1" si="33"/>
        <v>0</v>
      </c>
      <c r="M78" s="259">
        <f t="shared" ca="1" si="33"/>
        <v>0</v>
      </c>
      <c r="N78" s="259">
        <f t="shared" ca="1" si="33"/>
        <v>0</v>
      </c>
      <c r="O78" s="259">
        <f t="shared" ca="1" si="33"/>
        <v>0</v>
      </c>
      <c r="P78" s="259">
        <f t="shared" ca="1" si="33"/>
        <v>0</v>
      </c>
      <c r="Q78" s="259">
        <f t="shared" ca="1" si="33"/>
        <v>0</v>
      </c>
      <c r="R78" s="259">
        <f t="shared" ca="1" si="33"/>
        <v>0</v>
      </c>
      <c r="S78" s="259">
        <f t="shared" ca="1" si="33"/>
        <v>0</v>
      </c>
      <c r="T78" s="259">
        <f t="shared" ca="1" si="33"/>
        <v>0</v>
      </c>
      <c r="U78" s="259">
        <f t="shared" ca="1" si="33"/>
        <v>0</v>
      </c>
      <c r="V78" s="259">
        <f t="shared" ca="1" si="33"/>
        <v>0</v>
      </c>
      <c r="W78" s="259">
        <f t="shared" ca="1" si="33"/>
        <v>0</v>
      </c>
      <c r="X78" s="259">
        <f t="shared" ca="1" si="33"/>
        <v>0</v>
      </c>
      <c r="Y78" s="259">
        <f t="shared" ca="1" si="33"/>
        <v>0</v>
      </c>
      <c r="Z78" s="259">
        <f t="shared" ca="1" si="33"/>
        <v>0</v>
      </c>
      <c r="AA78" s="500">
        <f ca="1">SUM(D78:Z78)</f>
        <v>11754.105418855168</v>
      </c>
      <c r="AB78" s="397">
        <f t="shared" si="30"/>
        <v>11</v>
      </c>
    </row>
    <row r="79" spans="1:28">
      <c r="A79" s="163"/>
      <c r="B79" s="256"/>
      <c r="C79" s="23"/>
      <c r="D79" s="23"/>
      <c r="E79" s="271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  <c r="AA79" s="500"/>
      <c r="AB79" s="397">
        <f t="shared" si="30"/>
        <v>12</v>
      </c>
    </row>
    <row r="80" spans="1:28">
      <c r="A80" s="163" t="s">
        <v>175</v>
      </c>
      <c r="B80" s="23"/>
      <c r="C80" s="23"/>
      <c r="D80" s="23"/>
      <c r="E80" s="831">
        <v>0</v>
      </c>
      <c r="F80" s="259">
        <f t="shared" ref="F80:W80" ca="1" si="34">E83</f>
        <v>825.14307615655071</v>
      </c>
      <c r="G80" s="259">
        <f t="shared" ca="1" si="34"/>
        <v>6662.8457175427529</v>
      </c>
      <c r="H80" s="259">
        <f t="shared" ca="1" si="34"/>
        <v>11754.076920931682</v>
      </c>
      <c r="I80" s="259">
        <f t="shared" ca="1" si="34"/>
        <v>9897.3251511390245</v>
      </c>
      <c r="J80" s="259">
        <f t="shared" ca="1" si="34"/>
        <v>6770.168519747911</v>
      </c>
      <c r="K80" s="259">
        <f t="shared" ca="1" si="34"/>
        <v>3547.0308600270773</v>
      </c>
      <c r="L80" s="259">
        <f t="shared" ca="1" si="34"/>
        <v>219.89800827380077</v>
      </c>
      <c r="M80" s="259">
        <f t="shared" ca="1" si="34"/>
        <v>0</v>
      </c>
      <c r="N80" s="259">
        <f t="shared" ca="1" si="34"/>
        <v>0</v>
      </c>
      <c r="O80" s="259">
        <f t="shared" ca="1" si="34"/>
        <v>0</v>
      </c>
      <c r="P80" s="259">
        <f t="shared" ca="1" si="34"/>
        <v>0</v>
      </c>
      <c r="Q80" s="259">
        <f t="shared" ca="1" si="34"/>
        <v>0</v>
      </c>
      <c r="R80" s="259">
        <f t="shared" ca="1" si="34"/>
        <v>0</v>
      </c>
      <c r="S80" s="259">
        <f t="shared" ca="1" si="34"/>
        <v>0</v>
      </c>
      <c r="T80" s="259">
        <f t="shared" ca="1" si="34"/>
        <v>0</v>
      </c>
      <c r="U80" s="259">
        <f t="shared" ca="1" si="34"/>
        <v>0</v>
      </c>
      <c r="V80" s="259">
        <f t="shared" ca="1" si="34"/>
        <v>0</v>
      </c>
      <c r="W80" s="259">
        <f t="shared" ca="1" si="34"/>
        <v>0</v>
      </c>
      <c r="X80" s="259">
        <f ca="1">W83</f>
        <v>0</v>
      </c>
      <c r="Y80" s="259">
        <f ca="1">X83</f>
        <v>0</v>
      </c>
      <c r="Z80" s="259">
        <f ca="1">Y83</f>
        <v>0</v>
      </c>
      <c r="AA80" s="500">
        <f>E80</f>
        <v>0</v>
      </c>
      <c r="AB80" s="397">
        <f t="shared" si="30"/>
        <v>13</v>
      </c>
    </row>
    <row r="81" spans="1:28">
      <c r="A81" s="163" t="s">
        <v>718</v>
      </c>
      <c r="B81" s="23"/>
      <c r="C81" s="23"/>
      <c r="D81" s="23"/>
      <c r="E81" s="259">
        <f t="shared" ref="E81:W81" ca="1" si="35">E78</f>
        <v>825.14307615655071</v>
      </c>
      <c r="F81" s="259">
        <f t="shared" ca="1" si="35"/>
        <v>5837.7026413862022</v>
      </c>
      <c r="G81" s="259">
        <f t="shared" ca="1" si="35"/>
        <v>5091.2312033889302</v>
      </c>
      <c r="H81" s="259">
        <f t="shared" ca="1" si="35"/>
        <v>2.8497923485701904E-2</v>
      </c>
      <c r="I81" s="259">
        <f t="shared" ca="1" si="35"/>
        <v>0</v>
      </c>
      <c r="J81" s="259">
        <f t="shared" ca="1" si="35"/>
        <v>0</v>
      </c>
      <c r="K81" s="259">
        <f t="shared" ca="1" si="35"/>
        <v>0</v>
      </c>
      <c r="L81" s="259">
        <f t="shared" ca="1" si="35"/>
        <v>0</v>
      </c>
      <c r="M81" s="259">
        <f t="shared" ca="1" si="35"/>
        <v>0</v>
      </c>
      <c r="N81" s="259">
        <f t="shared" ca="1" si="35"/>
        <v>0</v>
      </c>
      <c r="O81" s="259">
        <f t="shared" ca="1" si="35"/>
        <v>0</v>
      </c>
      <c r="P81" s="259">
        <f t="shared" ca="1" si="35"/>
        <v>0</v>
      </c>
      <c r="Q81" s="259">
        <f t="shared" ca="1" si="35"/>
        <v>0</v>
      </c>
      <c r="R81" s="259">
        <f t="shared" ca="1" si="35"/>
        <v>0</v>
      </c>
      <c r="S81" s="259">
        <f t="shared" ca="1" si="35"/>
        <v>0</v>
      </c>
      <c r="T81" s="259">
        <f t="shared" ca="1" si="35"/>
        <v>0</v>
      </c>
      <c r="U81" s="259">
        <f t="shared" ca="1" si="35"/>
        <v>0</v>
      </c>
      <c r="V81" s="259">
        <f t="shared" ca="1" si="35"/>
        <v>0</v>
      </c>
      <c r="W81" s="259">
        <f t="shared" ca="1" si="35"/>
        <v>0</v>
      </c>
      <c r="X81" s="259">
        <f ca="1">X78</f>
        <v>0</v>
      </c>
      <c r="Y81" s="259">
        <f ca="1">Y78</f>
        <v>0</v>
      </c>
      <c r="Z81" s="259">
        <f ca="1">Z78</f>
        <v>0</v>
      </c>
      <c r="AA81" s="500">
        <f ca="1">SUM(D81:Z81)</f>
        <v>11754.105418855168</v>
      </c>
      <c r="AB81" s="397">
        <f t="shared" si="30"/>
        <v>14</v>
      </c>
    </row>
    <row r="82" spans="1:28">
      <c r="A82" s="163" t="s">
        <v>715</v>
      </c>
      <c r="B82" s="23"/>
      <c r="C82" s="23"/>
      <c r="D82" s="23"/>
      <c r="E82" s="260">
        <f t="shared" ref="E82:Z82" ca="1" si="36">-MIN(E72,SUM(E80:E81))</f>
        <v>0</v>
      </c>
      <c r="F82" s="260">
        <f t="shared" ca="1" si="36"/>
        <v>0</v>
      </c>
      <c r="G82" s="260">
        <f t="shared" ca="1" si="36"/>
        <v>0</v>
      </c>
      <c r="H82" s="260">
        <f t="shared" ca="1" si="36"/>
        <v>-1856.7802677161435</v>
      </c>
      <c r="I82" s="260">
        <f t="shared" ca="1" si="36"/>
        <v>-3127.1566313911135</v>
      </c>
      <c r="J82" s="260">
        <f t="shared" ca="1" si="36"/>
        <v>-3223.1376597208337</v>
      </c>
      <c r="K82" s="260">
        <f t="shared" ca="1" si="36"/>
        <v>-3327.1328517532766</v>
      </c>
      <c r="L82" s="260">
        <f t="shared" ca="1" si="36"/>
        <v>-219.89800827380077</v>
      </c>
      <c r="M82" s="260">
        <f t="shared" ca="1" si="36"/>
        <v>0</v>
      </c>
      <c r="N82" s="260">
        <f t="shared" ca="1" si="36"/>
        <v>0</v>
      </c>
      <c r="O82" s="260">
        <f t="shared" ca="1" si="36"/>
        <v>0</v>
      </c>
      <c r="P82" s="260">
        <f t="shared" ca="1" si="36"/>
        <v>0</v>
      </c>
      <c r="Q82" s="260">
        <f t="shared" ca="1" si="36"/>
        <v>0</v>
      </c>
      <c r="R82" s="260">
        <f t="shared" ca="1" si="36"/>
        <v>0</v>
      </c>
      <c r="S82" s="260">
        <f t="shared" ca="1" si="36"/>
        <v>0</v>
      </c>
      <c r="T82" s="260">
        <f t="shared" ca="1" si="36"/>
        <v>0</v>
      </c>
      <c r="U82" s="260">
        <f t="shared" ca="1" si="36"/>
        <v>0</v>
      </c>
      <c r="V82" s="260">
        <f t="shared" ca="1" si="36"/>
        <v>0</v>
      </c>
      <c r="W82" s="260">
        <f t="shared" ca="1" si="36"/>
        <v>0</v>
      </c>
      <c r="X82" s="260">
        <f t="shared" ca="1" si="36"/>
        <v>0</v>
      </c>
      <c r="Y82" s="260">
        <f t="shared" ca="1" si="36"/>
        <v>0</v>
      </c>
      <c r="Z82" s="260">
        <f t="shared" ca="1" si="36"/>
        <v>0</v>
      </c>
      <c r="AA82" s="501">
        <f ca="1">SUM(D82:Z82)</f>
        <v>-11754.105418855168</v>
      </c>
      <c r="AB82" s="397">
        <f t="shared" si="30"/>
        <v>15</v>
      </c>
    </row>
    <row r="83" spans="1:28">
      <c r="A83" s="163" t="s">
        <v>172</v>
      </c>
      <c r="B83" s="23"/>
      <c r="C83" s="23"/>
      <c r="D83" s="23"/>
      <c r="E83" s="259">
        <f ca="1">SUM(E80:E82)</f>
        <v>825.14307615655071</v>
      </c>
      <c r="F83" s="259">
        <f t="shared" ref="F83:W83" ca="1" si="37">SUM(F80:F82)</f>
        <v>6662.8457175427529</v>
      </c>
      <c r="G83" s="259">
        <f t="shared" ca="1" si="37"/>
        <v>11754.076920931682</v>
      </c>
      <c r="H83" s="259">
        <f t="shared" ca="1" si="37"/>
        <v>9897.3251511390245</v>
      </c>
      <c r="I83" s="259">
        <f t="shared" ca="1" si="37"/>
        <v>6770.168519747911</v>
      </c>
      <c r="J83" s="259">
        <f t="shared" ca="1" si="37"/>
        <v>3547.0308600270773</v>
      </c>
      <c r="K83" s="259">
        <f t="shared" ca="1" si="37"/>
        <v>219.89800827380077</v>
      </c>
      <c r="L83" s="259">
        <f t="shared" ca="1" si="37"/>
        <v>0</v>
      </c>
      <c r="M83" s="259">
        <f t="shared" ca="1" si="37"/>
        <v>0</v>
      </c>
      <c r="N83" s="259">
        <f t="shared" ca="1" si="37"/>
        <v>0</v>
      </c>
      <c r="O83" s="259">
        <f t="shared" ca="1" si="37"/>
        <v>0</v>
      </c>
      <c r="P83" s="259">
        <f t="shared" ca="1" si="37"/>
        <v>0</v>
      </c>
      <c r="Q83" s="259">
        <f t="shared" ca="1" si="37"/>
        <v>0</v>
      </c>
      <c r="R83" s="259">
        <f t="shared" ca="1" si="37"/>
        <v>0</v>
      </c>
      <c r="S83" s="259">
        <f t="shared" ca="1" si="37"/>
        <v>0</v>
      </c>
      <c r="T83" s="259">
        <f t="shared" ca="1" si="37"/>
        <v>0</v>
      </c>
      <c r="U83" s="259">
        <f t="shared" ca="1" si="37"/>
        <v>0</v>
      </c>
      <c r="V83" s="259">
        <f t="shared" ca="1" si="37"/>
        <v>0</v>
      </c>
      <c r="W83" s="259">
        <f t="shared" ca="1" si="37"/>
        <v>0</v>
      </c>
      <c r="X83" s="259">
        <f ca="1">SUM(X80:X82)</f>
        <v>0</v>
      </c>
      <c r="Y83" s="259">
        <f ca="1">SUM(Y80:Y82)</f>
        <v>0</v>
      </c>
      <c r="Z83" s="259">
        <f ca="1">SUM(Z80:Z82)</f>
        <v>0</v>
      </c>
      <c r="AA83" s="500">
        <f ca="1">SUM(AA80:AA82)</f>
        <v>0</v>
      </c>
      <c r="AB83" s="397">
        <f t="shared" si="30"/>
        <v>16</v>
      </c>
    </row>
    <row r="84" spans="1:28">
      <c r="A84" s="163"/>
      <c r="B84" s="23"/>
      <c r="C84" s="23"/>
      <c r="D84" s="23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  <c r="AA84" s="500"/>
      <c r="AB84" s="397">
        <f t="shared" si="30"/>
        <v>17</v>
      </c>
    </row>
    <row r="85" spans="1:28">
      <c r="A85" s="163" t="s">
        <v>344</v>
      </c>
      <c r="B85" s="23"/>
      <c r="C85" s="23"/>
      <c r="D85" s="23"/>
      <c r="E85" s="259">
        <f ca="1">-E82</f>
        <v>0</v>
      </c>
      <c r="F85" s="259">
        <f t="shared" ref="F85:Z85" ca="1" si="38">-F82</f>
        <v>0</v>
      </c>
      <c r="G85" s="259">
        <f t="shared" ca="1" si="38"/>
        <v>0</v>
      </c>
      <c r="H85" s="259">
        <f t="shared" ca="1" si="38"/>
        <v>1856.7802677161435</v>
      </c>
      <c r="I85" s="259">
        <f t="shared" ca="1" si="38"/>
        <v>3127.1566313911135</v>
      </c>
      <c r="J85" s="259">
        <f t="shared" ca="1" si="38"/>
        <v>3223.1376597208337</v>
      </c>
      <c r="K85" s="259">
        <f t="shared" ca="1" si="38"/>
        <v>3327.1328517532766</v>
      </c>
      <c r="L85" s="259">
        <f t="shared" ca="1" si="38"/>
        <v>219.89800827380077</v>
      </c>
      <c r="M85" s="259">
        <f t="shared" ca="1" si="38"/>
        <v>0</v>
      </c>
      <c r="N85" s="259">
        <f t="shared" ca="1" si="38"/>
        <v>0</v>
      </c>
      <c r="O85" s="259">
        <f t="shared" ca="1" si="38"/>
        <v>0</v>
      </c>
      <c r="P85" s="259">
        <f t="shared" ca="1" si="38"/>
        <v>0</v>
      </c>
      <c r="Q85" s="259">
        <f t="shared" ca="1" si="38"/>
        <v>0</v>
      </c>
      <c r="R85" s="259">
        <f t="shared" ca="1" si="38"/>
        <v>0</v>
      </c>
      <c r="S85" s="259">
        <f t="shared" ca="1" si="38"/>
        <v>0</v>
      </c>
      <c r="T85" s="259">
        <f t="shared" ca="1" si="38"/>
        <v>0</v>
      </c>
      <c r="U85" s="259">
        <f t="shared" ca="1" si="38"/>
        <v>0</v>
      </c>
      <c r="V85" s="259">
        <f t="shared" ca="1" si="38"/>
        <v>0</v>
      </c>
      <c r="W85" s="259">
        <f t="shared" ca="1" si="38"/>
        <v>0</v>
      </c>
      <c r="X85" s="259">
        <f t="shared" ca="1" si="38"/>
        <v>0</v>
      </c>
      <c r="Y85" s="259">
        <f t="shared" ca="1" si="38"/>
        <v>0</v>
      </c>
      <c r="Z85" s="259">
        <f t="shared" ca="1" si="38"/>
        <v>0</v>
      </c>
      <c r="AA85" s="500">
        <f ca="1">SUM(D85:Z85)</f>
        <v>11754.105418855168</v>
      </c>
      <c r="AB85" s="397">
        <f t="shared" si="30"/>
        <v>18</v>
      </c>
    </row>
    <row r="86" spans="1:28">
      <c r="A86" s="163" t="s">
        <v>714</v>
      </c>
      <c r="B86" s="23"/>
      <c r="C86" s="268">
        <f>Assm!$J$34</f>
        <v>0.02</v>
      </c>
      <c r="D86" s="23"/>
      <c r="E86" s="260">
        <f ca="1">-E85*$C86</f>
        <v>0</v>
      </c>
      <c r="F86" s="260">
        <f t="shared" ref="F86:Z86" ca="1" si="39">-F85*$C86</f>
        <v>0</v>
      </c>
      <c r="G86" s="260">
        <f t="shared" ca="1" si="39"/>
        <v>0</v>
      </c>
      <c r="H86" s="260">
        <f t="shared" ca="1" si="39"/>
        <v>-37.13560535432287</v>
      </c>
      <c r="I86" s="260">
        <f t="shared" ca="1" si="39"/>
        <v>-62.543132627822274</v>
      </c>
      <c r="J86" s="260">
        <f t="shared" ca="1" si="39"/>
        <v>-64.462753194416678</v>
      </c>
      <c r="K86" s="260">
        <f t="shared" ca="1" si="39"/>
        <v>-66.542657035065531</v>
      </c>
      <c r="L86" s="260">
        <f t="shared" ca="1" si="39"/>
        <v>-4.3979601654760154</v>
      </c>
      <c r="M86" s="260">
        <f t="shared" ca="1" si="39"/>
        <v>0</v>
      </c>
      <c r="N86" s="260">
        <f t="shared" ca="1" si="39"/>
        <v>0</v>
      </c>
      <c r="O86" s="260">
        <f t="shared" ca="1" si="39"/>
        <v>0</v>
      </c>
      <c r="P86" s="260">
        <f t="shared" ca="1" si="39"/>
        <v>0</v>
      </c>
      <c r="Q86" s="260">
        <f t="shared" ca="1" si="39"/>
        <v>0</v>
      </c>
      <c r="R86" s="260">
        <f t="shared" ca="1" si="39"/>
        <v>0</v>
      </c>
      <c r="S86" s="260">
        <f t="shared" ca="1" si="39"/>
        <v>0</v>
      </c>
      <c r="T86" s="260">
        <f t="shared" ca="1" si="39"/>
        <v>0</v>
      </c>
      <c r="U86" s="260">
        <f t="shared" ca="1" si="39"/>
        <v>0</v>
      </c>
      <c r="V86" s="260">
        <f t="shared" ca="1" si="39"/>
        <v>0</v>
      </c>
      <c r="W86" s="260">
        <f t="shared" ca="1" si="39"/>
        <v>0</v>
      </c>
      <c r="X86" s="260">
        <f t="shared" ca="1" si="39"/>
        <v>0</v>
      </c>
      <c r="Y86" s="260">
        <f t="shared" ca="1" si="39"/>
        <v>0</v>
      </c>
      <c r="Z86" s="260">
        <f t="shared" ca="1" si="39"/>
        <v>0</v>
      </c>
      <c r="AA86" s="501">
        <f ca="1">SUM(D86:Z86)</f>
        <v>-235.08210837710337</v>
      </c>
      <c r="AB86" s="397">
        <f t="shared" si="30"/>
        <v>19</v>
      </c>
    </row>
    <row r="87" spans="1:28" ht="13.5" thickBot="1">
      <c r="A87" s="495" t="s">
        <v>345</v>
      </c>
      <c r="B87" s="327"/>
      <c r="C87" s="327"/>
      <c r="D87" s="327"/>
      <c r="E87" s="496">
        <f ca="1">SUM(E85:E86)</f>
        <v>0</v>
      </c>
      <c r="F87" s="496">
        <f t="shared" ref="F87:Z87" ca="1" si="40">SUM(F85:F86)</f>
        <v>0</v>
      </c>
      <c r="G87" s="496">
        <f t="shared" ca="1" si="40"/>
        <v>0</v>
      </c>
      <c r="H87" s="496">
        <f t="shared" ca="1" si="40"/>
        <v>1819.6446623618206</v>
      </c>
      <c r="I87" s="496">
        <f t="shared" ca="1" si="40"/>
        <v>3064.6134987632913</v>
      </c>
      <c r="J87" s="496">
        <f t="shared" ca="1" si="40"/>
        <v>3158.6749065264171</v>
      </c>
      <c r="K87" s="496">
        <f t="shared" ca="1" si="40"/>
        <v>3260.590194718211</v>
      </c>
      <c r="L87" s="496">
        <f t="shared" ca="1" si="40"/>
        <v>215.50004810832476</v>
      </c>
      <c r="M87" s="496">
        <f t="shared" ca="1" si="40"/>
        <v>0</v>
      </c>
      <c r="N87" s="496">
        <f t="shared" ca="1" si="40"/>
        <v>0</v>
      </c>
      <c r="O87" s="496">
        <f t="shared" ca="1" si="40"/>
        <v>0</v>
      </c>
      <c r="P87" s="496">
        <f t="shared" ca="1" si="40"/>
        <v>0</v>
      </c>
      <c r="Q87" s="496">
        <f t="shared" ca="1" si="40"/>
        <v>0</v>
      </c>
      <c r="R87" s="496">
        <f t="shared" ca="1" si="40"/>
        <v>0</v>
      </c>
      <c r="S87" s="496">
        <f t="shared" ca="1" si="40"/>
        <v>0</v>
      </c>
      <c r="T87" s="496">
        <f t="shared" ca="1" si="40"/>
        <v>0</v>
      </c>
      <c r="U87" s="496">
        <f t="shared" ca="1" si="40"/>
        <v>0</v>
      </c>
      <c r="V87" s="496">
        <f t="shared" ca="1" si="40"/>
        <v>0</v>
      </c>
      <c r="W87" s="496">
        <f t="shared" ca="1" si="40"/>
        <v>0</v>
      </c>
      <c r="X87" s="496">
        <f t="shared" ca="1" si="40"/>
        <v>0</v>
      </c>
      <c r="Y87" s="496">
        <f t="shared" ca="1" si="40"/>
        <v>0</v>
      </c>
      <c r="Z87" s="496">
        <f t="shared" ca="1" si="40"/>
        <v>0</v>
      </c>
      <c r="AA87" s="512">
        <f ca="1">SUM(D87:Z87)</f>
        <v>11519.023310478065</v>
      </c>
      <c r="AB87" s="397">
        <f t="shared" si="30"/>
        <v>20</v>
      </c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T62"/>
  <sheetViews>
    <sheetView showGridLines="0" zoomScale="80" zoomScaleNormal="90" workbookViewId="0">
      <selection activeCell="D60" sqref="D60"/>
    </sheetView>
  </sheetViews>
  <sheetFormatPr defaultRowHeight="12.75"/>
  <cols>
    <col min="1" max="1" width="42.85546875" style="5" customWidth="1"/>
    <col min="2" max="4" width="12.7109375" style="5" customWidth="1"/>
    <col min="5" max="5" width="3.7109375" style="5" customWidth="1"/>
    <col min="6" max="6" width="1.7109375" style="5" customWidth="1"/>
    <col min="7" max="7" width="33.7109375" style="8" customWidth="1"/>
    <col min="8" max="8" width="12.7109375" style="281" customWidth="1"/>
    <col min="9" max="11" width="12.7109375" style="5" customWidth="1"/>
    <col min="12" max="16384" width="9.140625" style="5"/>
  </cols>
  <sheetData>
    <row r="1" spans="1:20" ht="15.75">
      <c r="A1" s="996" t="str">
        <f>Assm!A1</f>
        <v>GAS ORIENTE BOLIVIANO S.A. (GASBOL) *** DRAFT COPY ***</v>
      </c>
      <c r="B1" s="996"/>
      <c r="C1" s="205"/>
      <c r="D1" s="205"/>
      <c r="E1" s="205"/>
      <c r="F1" s="134"/>
      <c r="J1" s="47"/>
      <c r="R1" s="94"/>
    </row>
    <row r="2" spans="1:20" ht="15.75">
      <c r="A2" s="996" t="str">
        <f>Assm!A2</f>
        <v>369 KM PIPELINE SPUR FOR CUIABA POWER PLANT (BOLIVIA)</v>
      </c>
      <c r="B2" s="996"/>
      <c r="C2" s="205"/>
      <c r="D2" s="205"/>
      <c r="E2" s="205"/>
      <c r="F2" s="134"/>
      <c r="J2" s="47"/>
      <c r="R2" s="94"/>
    </row>
    <row r="3" spans="1:20" ht="15.75">
      <c r="A3" s="206" t="str">
        <f>Assm!A3</f>
        <v>ENRON INTERNATIONAL</v>
      </c>
      <c r="B3" s="206"/>
      <c r="C3" s="206"/>
      <c r="D3" s="206"/>
      <c r="E3" s="206"/>
      <c r="F3" s="134"/>
      <c r="J3" s="47"/>
      <c r="S3" s="69"/>
      <c r="T3" s="69"/>
    </row>
    <row r="4" spans="1:20" ht="15.75">
      <c r="A4" s="820" t="s">
        <v>903</v>
      </c>
      <c r="B4" s="820"/>
      <c r="C4" s="820"/>
      <c r="D4" s="820"/>
      <c r="E4" s="820"/>
      <c r="F4" s="134"/>
      <c r="J4" s="47"/>
    </row>
    <row r="5" spans="1:20" ht="13.5" thickBot="1"/>
    <row r="6" spans="1:20">
      <c r="A6" s="463" t="s">
        <v>636</v>
      </c>
      <c r="B6" s="78"/>
      <c r="C6" s="558"/>
      <c r="D6" s="720"/>
      <c r="F6" s="447" t="s">
        <v>145</v>
      </c>
      <c r="G6" s="462"/>
      <c r="H6" s="462"/>
      <c r="I6" s="462"/>
      <c r="J6" s="462"/>
      <c r="K6" s="142"/>
    </row>
    <row r="7" spans="1:20">
      <c r="A7" s="385"/>
      <c r="B7" s="363"/>
      <c r="C7" s="715" t="s">
        <v>687</v>
      </c>
      <c r="D7" s="721" t="s">
        <v>687</v>
      </c>
      <c r="F7" s="450"/>
      <c r="G7" s="152"/>
      <c r="H7" s="645"/>
      <c r="I7" s="645"/>
      <c r="J7" s="645"/>
      <c r="K7" s="646"/>
    </row>
    <row r="8" spans="1:20">
      <c r="A8" s="385"/>
      <c r="B8" s="363"/>
      <c r="C8" s="722" t="s">
        <v>688</v>
      </c>
      <c r="D8" s="723" t="s">
        <v>689</v>
      </c>
      <c r="F8" s="146" t="s">
        <v>174</v>
      </c>
      <c r="H8" s="643" t="s">
        <v>146</v>
      </c>
      <c r="I8" s="643" t="s">
        <v>147</v>
      </c>
      <c r="J8" s="643" t="s">
        <v>629</v>
      </c>
      <c r="K8" s="644" t="s">
        <v>148</v>
      </c>
    </row>
    <row r="9" spans="1:20">
      <c r="A9" s="139" t="s">
        <v>679</v>
      </c>
      <c r="B9" s="8"/>
      <c r="C9" s="831">
        <v>1396.999</v>
      </c>
      <c r="D9" s="850">
        <v>1396.999</v>
      </c>
      <c r="F9" s="139" t="s">
        <v>631</v>
      </c>
      <c r="H9" s="725">
        <f>Assm!$J$16</f>
        <v>0.14942528735632185</v>
      </c>
      <c r="I9" s="884">
        <v>0</v>
      </c>
      <c r="J9" s="156">
        <f>D13</f>
        <v>39211.620000000003</v>
      </c>
      <c r="K9" s="343">
        <f>J9*I9*H9</f>
        <v>0</v>
      </c>
    </row>
    <row r="10" spans="1:20">
      <c r="A10" s="139" t="s">
        <v>680</v>
      </c>
      <c r="B10" s="8"/>
      <c r="C10" s="831">
        <v>1625.069</v>
      </c>
      <c r="D10" s="850">
        <v>1625.069</v>
      </c>
      <c r="F10" s="139" t="s">
        <v>684</v>
      </c>
      <c r="H10" s="725">
        <f>Assm!$J$16</f>
        <v>0.14942528735632185</v>
      </c>
      <c r="I10" s="884">
        <v>1</v>
      </c>
      <c r="J10" s="156">
        <f>D14</f>
        <v>94.757999999999996</v>
      </c>
      <c r="K10" s="343">
        <f>J10*I10*H10</f>
        <v>14.159241379310345</v>
      </c>
    </row>
    <row r="11" spans="1:20">
      <c r="A11" s="139" t="s">
        <v>681</v>
      </c>
      <c r="B11" s="8"/>
      <c r="C11" s="831">
        <v>32090.624</v>
      </c>
      <c r="D11" s="850">
        <v>32090.624</v>
      </c>
      <c r="F11" s="139" t="s">
        <v>299</v>
      </c>
      <c r="H11" s="725">
        <f>Assm!$J$16</f>
        <v>0.14942528735632185</v>
      </c>
      <c r="I11" s="884">
        <v>1</v>
      </c>
      <c r="J11" s="156">
        <f>D15</f>
        <v>712.03700000000003</v>
      </c>
      <c r="K11" s="343">
        <f>J11*I11*H11</f>
        <v>106.39633333333335</v>
      </c>
    </row>
    <row r="12" spans="1:20">
      <c r="A12" s="139" t="s">
        <v>682</v>
      </c>
      <c r="B12" s="8"/>
      <c r="C12" s="831">
        <v>1782.2249999999999</v>
      </c>
      <c r="D12" s="850">
        <v>1782.2249999999999</v>
      </c>
      <c r="F12" s="139" t="s">
        <v>685</v>
      </c>
      <c r="H12" s="725">
        <f>Assm!$J$16</f>
        <v>0.14942528735632185</v>
      </c>
      <c r="I12" s="884">
        <v>1</v>
      </c>
      <c r="J12" s="156">
        <f>D16</f>
        <v>1063.5050000000001</v>
      </c>
      <c r="K12" s="343">
        <f>J12*I12*H12</f>
        <v>158.91454022988509</v>
      </c>
    </row>
    <row r="13" spans="1:20">
      <c r="A13" s="139" t="s">
        <v>683</v>
      </c>
      <c r="B13" s="8"/>
      <c r="C13" s="831">
        <v>39211.620000000003</v>
      </c>
      <c r="D13" s="850">
        <v>39211.620000000003</v>
      </c>
      <c r="F13" s="139" t="s">
        <v>686</v>
      </c>
      <c r="H13" s="725">
        <f>Assm!$J$16</f>
        <v>0.14942528735632185</v>
      </c>
      <c r="I13" s="884">
        <v>1</v>
      </c>
      <c r="J13" s="156">
        <f>D17</f>
        <v>8.4060000000000006</v>
      </c>
      <c r="K13" s="556">
        <f>J13*I13*H13</f>
        <v>1.2560689655172417</v>
      </c>
    </row>
    <row r="14" spans="1:20">
      <c r="A14" s="139" t="s">
        <v>684</v>
      </c>
      <c r="B14" s="8"/>
      <c r="C14" s="831">
        <v>94.757999999999996</v>
      </c>
      <c r="D14" s="850">
        <v>94.757999999999996</v>
      </c>
      <c r="F14" s="139"/>
      <c r="G14" s="32" t="s">
        <v>559</v>
      </c>
      <c r="H14" s="152"/>
      <c r="I14" s="152"/>
      <c r="J14" s="156"/>
      <c r="K14" s="641">
        <f>SUM(K9:K13)</f>
        <v>280.72618390804598</v>
      </c>
    </row>
    <row r="15" spans="1:20">
      <c r="A15" s="139" t="s">
        <v>299</v>
      </c>
      <c r="B15" s="8"/>
      <c r="C15" s="831">
        <v>712.03700000000003</v>
      </c>
      <c r="D15" s="850">
        <v>712.03700000000003</v>
      </c>
      <c r="F15" s="139"/>
      <c r="H15" s="152"/>
      <c r="I15" s="8"/>
      <c r="J15" s="8"/>
      <c r="K15" s="150"/>
    </row>
    <row r="16" spans="1:20">
      <c r="A16" s="139" t="s">
        <v>685</v>
      </c>
      <c r="B16" s="8"/>
      <c r="C16" s="831">
        <v>1063.5050000000001</v>
      </c>
      <c r="D16" s="850">
        <v>1063.5050000000001</v>
      </c>
      <c r="F16" s="146" t="s">
        <v>343</v>
      </c>
      <c r="H16" s="152"/>
      <c r="I16" s="8"/>
      <c r="J16" s="53"/>
      <c r="K16" s="183"/>
    </row>
    <row r="17" spans="1:11">
      <c r="A17" s="139" t="s">
        <v>686</v>
      </c>
      <c r="B17" s="8"/>
      <c r="C17" s="831">
        <v>8.4060000000000006</v>
      </c>
      <c r="D17" s="850">
        <v>8.4060000000000006</v>
      </c>
      <c r="F17" s="139" t="s">
        <v>632</v>
      </c>
      <c r="H17" s="725">
        <f>Assm!$J$16</f>
        <v>0.14942528735632185</v>
      </c>
      <c r="I17" s="885">
        <v>1</v>
      </c>
      <c r="J17" s="53">
        <f>$D$11</f>
        <v>32090.624</v>
      </c>
      <c r="K17" s="343">
        <f>J17*I17*H17</f>
        <v>4795.1507126436782</v>
      </c>
    </row>
    <row r="18" spans="1:11">
      <c r="A18" s="139" t="s">
        <v>690</v>
      </c>
      <c r="B18" s="8"/>
      <c r="C18" s="883">
        <v>6230.6620000000003</v>
      </c>
      <c r="D18" s="853">
        <v>6230.6620000000003</v>
      </c>
      <c r="F18" s="139" t="s">
        <v>694</v>
      </c>
      <c r="H18" s="725">
        <f>Assm!$J$16</f>
        <v>0.14942528735632185</v>
      </c>
      <c r="I18" s="885">
        <v>1</v>
      </c>
      <c r="J18" s="53">
        <f>$D$12</f>
        <v>1782.2249999999999</v>
      </c>
      <c r="K18" s="343">
        <f>J18*I18*H18</f>
        <v>266.30948275862067</v>
      </c>
    </row>
    <row r="19" spans="1:11">
      <c r="A19" s="139" t="s">
        <v>691</v>
      </c>
      <c r="B19" s="8"/>
      <c r="C19" s="53">
        <f>SUM(C9:C18)</f>
        <v>84215.905000000013</v>
      </c>
      <c r="D19" s="183">
        <f>SUM(D9:D18)</f>
        <v>84215.905000000013</v>
      </c>
      <c r="F19" s="139" t="s">
        <v>635</v>
      </c>
      <c r="H19" s="725">
        <f>Assm!$J$16</f>
        <v>0.14942528735632185</v>
      </c>
      <c r="I19" s="885">
        <v>1</v>
      </c>
      <c r="J19" s="53">
        <f>K39</f>
        <v>3698.9151108000005</v>
      </c>
      <c r="K19" s="556">
        <f>J19*I19*H19</f>
        <v>552.71145333793118</v>
      </c>
    </row>
    <row r="20" spans="1:11">
      <c r="A20" s="139" t="s">
        <v>51</v>
      </c>
      <c r="B20" s="8"/>
      <c r="C20" s="883">
        <f>7949.17+833.953</f>
        <v>8783.1229999999996</v>
      </c>
      <c r="D20" s="222">
        <f>K41</f>
        <v>9593.8129434482762</v>
      </c>
      <c r="F20" s="139"/>
      <c r="G20" s="32" t="s">
        <v>560</v>
      </c>
      <c r="H20" s="725"/>
      <c r="I20" s="14"/>
      <c r="J20" s="53"/>
      <c r="K20" s="642">
        <f>SUM(K17:K19)</f>
        <v>5614.17164874023</v>
      </c>
    </row>
    <row r="21" spans="1:11" ht="13.5" thickBot="1">
      <c r="A21" s="75" t="s">
        <v>693</v>
      </c>
      <c r="B21" s="79"/>
      <c r="C21" s="714">
        <f>SUM(C19:C20)</f>
        <v>92999.02800000002</v>
      </c>
      <c r="D21" s="557">
        <f>SUM(D19:D20)</f>
        <v>93809.717943448282</v>
      </c>
      <c r="F21" s="139"/>
      <c r="H21" s="725"/>
      <c r="I21" s="14"/>
      <c r="J21" s="8"/>
      <c r="K21" s="150"/>
    </row>
    <row r="22" spans="1:11" ht="13.5" thickBot="1">
      <c r="F22" s="146" t="s">
        <v>634</v>
      </c>
      <c r="H22" s="152"/>
      <c r="I22" s="8"/>
      <c r="J22" s="53"/>
      <c r="K22" s="183"/>
    </row>
    <row r="23" spans="1:11">
      <c r="A23" s="463" t="s">
        <v>1157</v>
      </c>
      <c r="B23" s="78"/>
      <c r="C23" s="558"/>
      <c r="D23" s="720"/>
      <c r="F23" s="697" t="s">
        <v>107</v>
      </c>
      <c r="H23" s="152"/>
      <c r="I23" s="8"/>
      <c r="J23" s="53"/>
      <c r="K23" s="183"/>
    </row>
    <row r="24" spans="1:11">
      <c r="A24" s="385"/>
      <c r="B24" s="363"/>
      <c r="C24" s="188"/>
      <c r="D24" s="933"/>
      <c r="F24" s="139"/>
      <c r="G24" s="8" t="s">
        <v>632</v>
      </c>
      <c r="H24" s="725">
        <f>Assm!$J$22</f>
        <v>6.5000000000000002E-2</v>
      </c>
      <c r="I24" s="884">
        <v>1</v>
      </c>
      <c r="J24" s="53">
        <f>$D$11</f>
        <v>32090.624</v>
      </c>
      <c r="K24" s="183">
        <f>J24*I24*H24</f>
        <v>2085.8905600000003</v>
      </c>
    </row>
    <row r="25" spans="1:11">
      <c r="A25" s="139" t="s">
        <v>1099</v>
      </c>
      <c r="B25" s="8"/>
      <c r="C25" s="188"/>
      <c r="D25" s="850">
        <v>10.337</v>
      </c>
      <c r="F25" s="139"/>
      <c r="G25" s="8" t="s">
        <v>694</v>
      </c>
      <c r="H25" s="725">
        <f>Assm!$J$22</f>
        <v>6.5000000000000002E-2</v>
      </c>
      <c r="I25" s="884">
        <v>1</v>
      </c>
      <c r="J25" s="53">
        <f>$D$12</f>
        <v>1782.2249999999999</v>
      </c>
      <c r="K25" s="184">
        <f>J25*I25*H25</f>
        <v>115.84462499999999</v>
      </c>
    </row>
    <row r="26" spans="1:11">
      <c r="A26" s="139" t="s">
        <v>1100</v>
      </c>
      <c r="B26" s="8"/>
      <c r="C26" s="188"/>
      <c r="D26" s="850">
        <v>94.846000000000004</v>
      </c>
      <c r="F26" s="139"/>
      <c r="G26" s="8" t="s">
        <v>630</v>
      </c>
      <c r="H26" s="724"/>
      <c r="I26" s="2"/>
      <c r="J26" s="53"/>
      <c r="K26" s="183">
        <f>SUM(K24:K25)</f>
        <v>2201.7351850000005</v>
      </c>
    </row>
    <row r="27" spans="1:11">
      <c r="A27" s="139" t="s">
        <v>1121</v>
      </c>
      <c r="B27" s="8"/>
      <c r="C27" s="188"/>
      <c r="D27" s="850">
        <v>180</v>
      </c>
      <c r="F27" s="697" t="s">
        <v>609</v>
      </c>
      <c r="H27" s="724"/>
      <c r="I27" s="2"/>
      <c r="J27" s="53"/>
      <c r="K27" s="183"/>
    </row>
    <row r="28" spans="1:11">
      <c r="A28" s="139" t="s">
        <v>1101</v>
      </c>
      <c r="B28" s="8"/>
      <c r="C28" s="188"/>
      <c r="D28" s="850">
        <v>39.902000000000001</v>
      </c>
      <c r="F28" s="139"/>
      <c r="G28" s="8" t="s">
        <v>632</v>
      </c>
      <c r="H28" s="725">
        <f>Assm!$J$19</f>
        <v>0.02</v>
      </c>
      <c r="I28" s="884">
        <v>1</v>
      </c>
      <c r="J28" s="53">
        <f>$D$11</f>
        <v>32090.624</v>
      </c>
      <c r="K28" s="183">
        <f>J28*I28*H28</f>
        <v>641.81248000000005</v>
      </c>
    </row>
    <row r="29" spans="1:11">
      <c r="A29" s="139" t="s">
        <v>1102</v>
      </c>
      <c r="B29" s="8"/>
      <c r="C29" s="188"/>
      <c r="D29" s="850">
        <v>35.103000000000002</v>
      </c>
      <c r="F29" s="139"/>
      <c r="G29" s="8" t="s">
        <v>694</v>
      </c>
      <c r="H29" s="725">
        <f>Assm!$J$19</f>
        <v>0.02</v>
      </c>
      <c r="I29" s="884">
        <v>1</v>
      </c>
      <c r="J29" s="53">
        <f>$D$12</f>
        <v>1782.2249999999999</v>
      </c>
      <c r="K29" s="184">
        <f>J29*I29*H29</f>
        <v>35.644500000000001</v>
      </c>
    </row>
    <row r="30" spans="1:11">
      <c r="A30" s="139" t="s">
        <v>1103</v>
      </c>
      <c r="B30" s="8"/>
      <c r="C30" s="188"/>
      <c r="D30" s="850">
        <v>8.516</v>
      </c>
      <c r="F30" s="139"/>
      <c r="G30" s="8" t="s">
        <v>630</v>
      </c>
      <c r="H30" s="724"/>
      <c r="I30" s="2"/>
      <c r="J30" s="53"/>
      <c r="K30" s="183">
        <f>SUM(K28:K29)</f>
        <v>677.45698000000004</v>
      </c>
    </row>
    <row r="31" spans="1:11">
      <c r="A31" s="139" t="s">
        <v>1104</v>
      </c>
      <c r="B31" s="8"/>
      <c r="C31" s="188"/>
      <c r="D31" s="850">
        <v>0.89900000000000002</v>
      </c>
      <c r="F31" s="697" t="s">
        <v>614</v>
      </c>
      <c r="H31" s="724"/>
      <c r="I31" s="2"/>
      <c r="J31" s="53"/>
      <c r="K31" s="183"/>
    </row>
    <row r="32" spans="1:11">
      <c r="A32" s="139" t="s">
        <v>1105</v>
      </c>
      <c r="B32" s="8"/>
      <c r="C32" s="188"/>
      <c r="D32" s="850">
        <v>1.7769999999999999</v>
      </c>
      <c r="F32" s="139"/>
      <c r="G32" s="8" t="s">
        <v>632</v>
      </c>
      <c r="H32" s="725">
        <f>Assm!$J$20</f>
        <v>1.9199999999999998E-2</v>
      </c>
      <c r="I32" s="884">
        <v>1</v>
      </c>
      <c r="J32" s="53">
        <f>$D$11</f>
        <v>32090.624</v>
      </c>
      <c r="K32" s="183">
        <f>J32*I32*H32</f>
        <v>616.13998079999999</v>
      </c>
    </row>
    <row r="33" spans="1:11">
      <c r="A33" s="139" t="s">
        <v>1106</v>
      </c>
      <c r="B33" s="8"/>
      <c r="C33" s="188"/>
      <c r="D33" s="850">
        <v>9.8670000000000009</v>
      </c>
      <c r="F33" s="139"/>
      <c r="G33" s="8" t="s">
        <v>694</v>
      </c>
      <c r="H33" s="725">
        <f>Assm!$J$20</f>
        <v>1.9199999999999998E-2</v>
      </c>
      <c r="I33" s="884">
        <v>1</v>
      </c>
      <c r="J33" s="53">
        <f>$D$12</f>
        <v>1782.2249999999999</v>
      </c>
      <c r="K33" s="184">
        <f>J33*I33*H33</f>
        <v>34.218719999999998</v>
      </c>
    </row>
    <row r="34" spans="1:11">
      <c r="A34" s="139" t="s">
        <v>1107</v>
      </c>
      <c r="B34" s="8"/>
      <c r="C34" s="188"/>
      <c r="D34" s="850">
        <v>3.6320000000000001</v>
      </c>
      <c r="F34" s="139"/>
      <c r="G34" s="8" t="s">
        <v>630</v>
      </c>
      <c r="H34" s="724"/>
      <c r="I34" s="2"/>
      <c r="J34" s="53"/>
      <c r="K34" s="183">
        <f>SUM(K32:K33)</f>
        <v>650.35870079999995</v>
      </c>
    </row>
    <row r="35" spans="1:11">
      <c r="A35" s="139" t="s">
        <v>1108</v>
      </c>
      <c r="B35" s="8"/>
      <c r="C35" s="188"/>
      <c r="D35" s="850">
        <v>2.5630000000000002</v>
      </c>
      <c r="F35" s="697" t="s">
        <v>615</v>
      </c>
      <c r="H35" s="724"/>
      <c r="I35" s="2"/>
      <c r="J35" s="53"/>
      <c r="K35" s="183"/>
    </row>
    <row r="36" spans="1:11">
      <c r="A36" s="139" t="s">
        <v>1109</v>
      </c>
      <c r="B36" s="8"/>
      <c r="C36" s="188"/>
      <c r="D36" s="850">
        <v>2.879</v>
      </c>
      <c r="F36" s="139"/>
      <c r="G36" s="8" t="s">
        <v>632</v>
      </c>
      <c r="H36" s="725">
        <f>Assm!$J$21</f>
        <v>5.0000000000000001E-3</v>
      </c>
      <c r="I36" s="884">
        <v>1</v>
      </c>
      <c r="J36" s="53">
        <f>$D$11</f>
        <v>32090.624</v>
      </c>
      <c r="K36" s="183">
        <f>J36*I36*H36</f>
        <v>160.45312000000001</v>
      </c>
    </row>
    <row r="37" spans="1:11">
      <c r="A37" s="139" t="s">
        <v>1110</v>
      </c>
      <c r="B37" s="8"/>
      <c r="C37" s="188"/>
      <c r="D37" s="850">
        <v>2.2290000000000001</v>
      </c>
      <c r="F37" s="139"/>
      <c r="G37" s="8" t="s">
        <v>694</v>
      </c>
      <c r="H37" s="725">
        <f>Assm!$J$21</f>
        <v>5.0000000000000001E-3</v>
      </c>
      <c r="I37" s="884">
        <v>1</v>
      </c>
      <c r="J37" s="53">
        <f>$D$12</f>
        <v>1782.2249999999999</v>
      </c>
      <c r="K37" s="184">
        <f>J37*I37*H37</f>
        <v>8.9111250000000002</v>
      </c>
    </row>
    <row r="38" spans="1:11">
      <c r="A38" s="139" t="s">
        <v>1111</v>
      </c>
      <c r="B38" s="8"/>
      <c r="C38" s="188"/>
      <c r="D38" s="850">
        <v>1.839</v>
      </c>
      <c r="F38" s="139"/>
      <c r="G38" s="8" t="s">
        <v>630</v>
      </c>
      <c r="H38" s="724"/>
      <c r="I38" s="2"/>
      <c r="J38" s="53"/>
      <c r="K38" s="183">
        <f>SUM(K36:K37)</f>
        <v>169.36424500000001</v>
      </c>
    </row>
    <row r="39" spans="1:11">
      <c r="A39" s="139" t="s">
        <v>1112</v>
      </c>
      <c r="B39" s="8"/>
      <c r="C39" s="188"/>
      <c r="D39" s="850">
        <v>14.18</v>
      </c>
      <c r="F39" s="139"/>
      <c r="G39" s="32" t="s">
        <v>633</v>
      </c>
      <c r="H39" s="724"/>
      <c r="I39" s="2"/>
      <c r="J39" s="53"/>
      <c r="K39" s="642">
        <f>K37+K36+K33+K32+K29+K28+K25+K24</f>
        <v>3698.9151108000005</v>
      </c>
    </row>
    <row r="40" spans="1:11">
      <c r="A40" s="139" t="s">
        <v>1113</v>
      </c>
      <c r="B40" s="8"/>
      <c r="C40" s="188"/>
      <c r="D40" s="850">
        <v>173.99799999999999</v>
      </c>
      <c r="F40" s="139"/>
      <c r="H40" s="152"/>
      <c r="I40" s="8"/>
      <c r="J40" s="8"/>
      <c r="K40" s="150"/>
    </row>
    <row r="41" spans="1:11" ht="13.5" thickBot="1">
      <c r="A41" s="139" t="s">
        <v>1114</v>
      </c>
      <c r="B41" s="8"/>
      <c r="C41" s="188"/>
      <c r="D41" s="850">
        <v>957</v>
      </c>
      <c r="F41" s="716" t="s">
        <v>692</v>
      </c>
      <c r="G41" s="717"/>
      <c r="H41" s="718"/>
      <c r="I41" s="717"/>
      <c r="J41" s="717"/>
      <c r="K41" s="719">
        <f>SUM(K14,K20,K39)</f>
        <v>9593.8129434482762</v>
      </c>
    </row>
    <row r="42" spans="1:11">
      <c r="A42" s="139" t="s">
        <v>1115</v>
      </c>
      <c r="B42" s="8"/>
      <c r="C42" s="188"/>
      <c r="D42" s="850">
        <v>1740</v>
      </c>
    </row>
    <row r="43" spans="1:11">
      <c r="A43" s="139" t="s">
        <v>1116</v>
      </c>
      <c r="B43" s="8"/>
      <c r="C43" s="188"/>
      <c r="D43" s="850">
        <v>1809.6</v>
      </c>
    </row>
    <row r="44" spans="1:11">
      <c r="A44" s="139" t="s">
        <v>1117</v>
      </c>
      <c r="B44" s="8"/>
      <c r="C44" s="188"/>
      <c r="D44" s="850">
        <v>352.63200000000001</v>
      </c>
    </row>
    <row r="45" spans="1:11">
      <c r="A45" s="139" t="s">
        <v>1118</v>
      </c>
      <c r="B45" s="8"/>
      <c r="C45" s="188"/>
      <c r="D45" s="850">
        <v>180.13800000000001</v>
      </c>
    </row>
    <row r="46" spans="1:11">
      <c r="A46" s="139" t="s">
        <v>1119</v>
      </c>
      <c r="B46" s="8"/>
      <c r="C46" s="188"/>
      <c r="D46" s="850">
        <v>629.29999999999995</v>
      </c>
    </row>
    <row r="47" spans="1:11">
      <c r="A47" s="139" t="s">
        <v>1120</v>
      </c>
      <c r="B47" s="8"/>
      <c r="C47" s="188"/>
      <c r="D47" s="853">
        <v>-77.418000000000006</v>
      </c>
    </row>
    <row r="48" spans="1:11" ht="13.5" thickBot="1">
      <c r="A48" s="75" t="s">
        <v>925</v>
      </c>
      <c r="B48" s="79"/>
      <c r="C48" s="934"/>
      <c r="D48" s="557">
        <f>SUM(D25:D47)</f>
        <v>6173.8189999999995</v>
      </c>
    </row>
    <row r="49" spans="1:7" ht="13.5" thickBot="1"/>
    <row r="50" spans="1:7">
      <c r="A50" s="463" t="s">
        <v>928</v>
      </c>
      <c r="B50" s="78"/>
      <c r="C50" s="558"/>
      <c r="D50" s="720"/>
    </row>
    <row r="51" spans="1:7">
      <c r="A51" s="385"/>
      <c r="B51" s="1108" t="s">
        <v>995</v>
      </c>
      <c r="C51" s="1106" t="s">
        <v>994</v>
      </c>
      <c r="D51" s="1107" t="s">
        <v>996</v>
      </c>
    </row>
    <row r="52" spans="1:7">
      <c r="A52" s="139"/>
      <c r="B52" s="831">
        <v>0</v>
      </c>
      <c r="C52" s="1188"/>
      <c r="D52" s="221">
        <f>B52</f>
        <v>0</v>
      </c>
    </row>
    <row r="53" spans="1:7">
      <c r="A53" s="139"/>
      <c r="B53" s="883">
        <v>0</v>
      </c>
      <c r="C53" s="1082">
        <v>0.57999999999999996</v>
      </c>
      <c r="D53" s="222">
        <f>B53*C53</f>
        <v>0</v>
      </c>
    </row>
    <row r="54" spans="1:7" ht="13.5" thickBot="1">
      <c r="A54" s="75" t="s">
        <v>936</v>
      </c>
      <c r="B54" s="714">
        <f>SUM(B52:B53)</f>
        <v>0</v>
      </c>
      <c r="C54" s="934"/>
      <c r="D54" s="557">
        <f>SUM(D52:D53)</f>
        <v>0</v>
      </c>
    </row>
    <row r="55" spans="1:7" ht="13.5" thickBot="1"/>
    <row r="56" spans="1:7">
      <c r="A56" s="463" t="s">
        <v>1122</v>
      </c>
      <c r="B56" s="78"/>
      <c r="C56" s="558"/>
      <c r="D56" s="720"/>
    </row>
    <row r="57" spans="1:7">
      <c r="A57" s="385"/>
      <c r="B57" s="363"/>
      <c r="C57" s="188"/>
      <c r="D57" s="933"/>
    </row>
    <row r="58" spans="1:7">
      <c r="A58" s="139" t="s">
        <v>1124</v>
      </c>
      <c r="B58" s="8"/>
      <c r="D58" s="850">
        <v>0</v>
      </c>
      <c r="F58" s="47"/>
      <c r="G58" s="47"/>
    </row>
    <row r="59" spans="1:7">
      <c r="A59" s="139" t="s">
        <v>1123</v>
      </c>
      <c r="B59" s="8"/>
      <c r="C59" s="1304"/>
      <c r="D59" s="1301">
        <f>[4]RAROC!$D$119</f>
        <v>7914</v>
      </c>
    </row>
    <row r="60" spans="1:7" ht="13.5" thickBot="1">
      <c r="A60" s="75" t="s">
        <v>935</v>
      </c>
      <c r="B60" s="79"/>
      <c r="C60" s="934"/>
      <c r="D60" s="557">
        <f>SUM(D58:D59)</f>
        <v>7914</v>
      </c>
    </row>
    <row r="62" spans="1:7">
      <c r="C62" s="1303" t="s">
        <v>42</v>
      </c>
      <c r="D62" s="1302">
        <v>2678</v>
      </c>
    </row>
  </sheetData>
  <printOptions horizontalCentered="1"/>
  <pageMargins left="0.25" right="0.25" top="0.5" bottom="0.5" header="0.25" footer="0.25"/>
  <pageSetup scale="61" orientation="landscape" horizontalDpi="4294967292" verticalDpi="3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Z95"/>
  <sheetViews>
    <sheetView showGridLines="0" zoomScale="7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S76" sqref="S76"/>
    </sheetView>
  </sheetViews>
  <sheetFormatPr defaultRowHeight="12.75"/>
  <cols>
    <col min="1" max="1" width="4.7109375" style="5" customWidth="1"/>
    <col min="2" max="2" width="25.7109375" style="5" customWidth="1"/>
    <col min="3" max="3" width="10.7109375" style="5" customWidth="1"/>
    <col min="4" max="4" width="2.7109375" style="5" customWidth="1"/>
    <col min="5" max="40" width="9.7109375" style="5" customWidth="1"/>
    <col min="41" max="41" width="1.7109375" style="5" customWidth="1"/>
    <col min="42" max="42" width="10.7109375" style="5" customWidth="1"/>
    <col min="43" max="45" width="9.140625" style="5"/>
    <col min="46" max="52" width="10.7109375" style="5" customWidth="1"/>
    <col min="53" max="16384" width="9.140625" style="5"/>
  </cols>
  <sheetData>
    <row r="1" spans="1:43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3"/>
      <c r="AA1" s="283"/>
      <c r="AB1" s="23"/>
    </row>
    <row r="2" spans="1:43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3"/>
      <c r="AA2" s="283"/>
      <c r="AB2" s="23"/>
    </row>
    <row r="3" spans="1:43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3"/>
      <c r="AA3" s="283"/>
      <c r="AB3" s="23"/>
    </row>
    <row r="4" spans="1:43" s="240" customFormat="1" ht="15.75">
      <c r="A4" s="820" t="s">
        <v>904</v>
      </c>
      <c r="B4" s="820"/>
      <c r="C4" s="881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1149"/>
      <c r="Z4" s="283"/>
      <c r="AA4" s="283"/>
      <c r="AB4" s="23"/>
      <c r="AM4" s="1148"/>
    </row>
    <row r="5" spans="1:43" s="240" customFormat="1" ht="13.5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  <c r="AQ5" s="345" t="s">
        <v>865</v>
      </c>
    </row>
    <row r="6" spans="1:43" s="345" customFormat="1">
      <c r="A6" s="411" t="s">
        <v>193</v>
      </c>
      <c r="B6" s="513"/>
      <c r="C6" s="513"/>
      <c r="D6" s="513"/>
      <c r="E6" s="886">
        <v>1</v>
      </c>
      <c r="F6" s="513">
        <f t="shared" ref="F6:AN6" si="0">E6+1</f>
        <v>2</v>
      </c>
      <c r="G6" s="513">
        <f t="shared" si="0"/>
        <v>3</v>
      </c>
      <c r="H6" s="513">
        <f t="shared" si="0"/>
        <v>4</v>
      </c>
      <c r="I6" s="513">
        <f t="shared" si="0"/>
        <v>5</v>
      </c>
      <c r="J6" s="513">
        <f t="shared" si="0"/>
        <v>6</v>
      </c>
      <c r="K6" s="513">
        <f t="shared" si="0"/>
        <v>7</v>
      </c>
      <c r="L6" s="513">
        <f t="shared" si="0"/>
        <v>8</v>
      </c>
      <c r="M6" s="513">
        <f t="shared" si="0"/>
        <v>9</v>
      </c>
      <c r="N6" s="513">
        <f t="shared" si="0"/>
        <v>10</v>
      </c>
      <c r="O6" s="513">
        <f t="shared" si="0"/>
        <v>11</v>
      </c>
      <c r="P6" s="513">
        <f t="shared" si="0"/>
        <v>12</v>
      </c>
      <c r="Q6" s="513">
        <f t="shared" si="0"/>
        <v>13</v>
      </c>
      <c r="R6" s="513">
        <f t="shared" si="0"/>
        <v>14</v>
      </c>
      <c r="S6" s="513">
        <f t="shared" si="0"/>
        <v>15</v>
      </c>
      <c r="T6" s="513">
        <f t="shared" si="0"/>
        <v>16</v>
      </c>
      <c r="U6" s="513">
        <f t="shared" si="0"/>
        <v>17</v>
      </c>
      <c r="V6" s="513">
        <f t="shared" si="0"/>
        <v>18</v>
      </c>
      <c r="W6" s="513">
        <f t="shared" si="0"/>
        <v>19</v>
      </c>
      <c r="X6" s="513">
        <f t="shared" si="0"/>
        <v>20</v>
      </c>
      <c r="Y6" s="513">
        <f t="shared" si="0"/>
        <v>21</v>
      </c>
      <c r="Z6" s="513">
        <f t="shared" si="0"/>
        <v>22</v>
      </c>
      <c r="AA6" s="513">
        <f t="shared" si="0"/>
        <v>23</v>
      </c>
      <c r="AB6" s="513">
        <f t="shared" si="0"/>
        <v>24</v>
      </c>
      <c r="AC6" s="513">
        <f t="shared" si="0"/>
        <v>25</v>
      </c>
      <c r="AD6" s="513">
        <f t="shared" si="0"/>
        <v>26</v>
      </c>
      <c r="AE6" s="513">
        <f t="shared" si="0"/>
        <v>27</v>
      </c>
      <c r="AF6" s="513">
        <f t="shared" si="0"/>
        <v>28</v>
      </c>
      <c r="AG6" s="513">
        <f t="shared" si="0"/>
        <v>29</v>
      </c>
      <c r="AH6" s="513">
        <f t="shared" si="0"/>
        <v>30</v>
      </c>
      <c r="AI6" s="513">
        <f t="shared" si="0"/>
        <v>31</v>
      </c>
      <c r="AJ6" s="513">
        <f t="shared" si="0"/>
        <v>32</v>
      </c>
      <c r="AK6" s="513">
        <f t="shared" si="0"/>
        <v>33</v>
      </c>
      <c r="AL6" s="513">
        <f t="shared" si="0"/>
        <v>34</v>
      </c>
      <c r="AM6" s="513">
        <f t="shared" si="0"/>
        <v>35</v>
      </c>
      <c r="AN6" s="513">
        <f t="shared" si="0"/>
        <v>36</v>
      </c>
      <c r="AO6" s="514"/>
      <c r="AP6" s="523"/>
      <c r="AQ6" s="1038" t="s">
        <v>868</v>
      </c>
    </row>
    <row r="7" spans="1:43" s="345" customFormat="1" ht="13.5" thickBot="1">
      <c r="A7" s="75" t="s">
        <v>194</v>
      </c>
      <c r="B7" s="346"/>
      <c r="C7" s="346"/>
      <c r="D7" s="346"/>
      <c r="E7" s="347">
        <f>IDC!E7</f>
        <v>35886</v>
      </c>
      <c r="F7" s="347">
        <f>IDC!F7</f>
        <v>35916</v>
      </c>
      <c r="G7" s="347">
        <f>IDC!G7</f>
        <v>35947</v>
      </c>
      <c r="H7" s="347">
        <f>IDC!H7</f>
        <v>35977</v>
      </c>
      <c r="I7" s="347">
        <f>IDC!I7</f>
        <v>36008</v>
      </c>
      <c r="J7" s="347">
        <f>IDC!J7</f>
        <v>36039</v>
      </c>
      <c r="K7" s="347">
        <f>IDC!K7</f>
        <v>36069</v>
      </c>
      <c r="L7" s="347">
        <f>IDC!L7</f>
        <v>36100</v>
      </c>
      <c r="M7" s="347">
        <f>IDC!M7</f>
        <v>36130</v>
      </c>
      <c r="N7" s="347">
        <f>IDC!N7</f>
        <v>36161</v>
      </c>
      <c r="O7" s="347">
        <f>IDC!O7</f>
        <v>36192</v>
      </c>
      <c r="P7" s="347">
        <f>IDC!P7</f>
        <v>36220</v>
      </c>
      <c r="Q7" s="347">
        <f>IDC!Q7</f>
        <v>36251</v>
      </c>
      <c r="R7" s="347">
        <f>IDC!R7</f>
        <v>36281</v>
      </c>
      <c r="S7" s="347">
        <f>IDC!S7</f>
        <v>36312</v>
      </c>
      <c r="T7" s="347">
        <f>IDC!T7</f>
        <v>36342</v>
      </c>
      <c r="U7" s="347">
        <f>IDC!U7</f>
        <v>36373</v>
      </c>
      <c r="V7" s="347">
        <f>IDC!V7</f>
        <v>36404</v>
      </c>
      <c r="W7" s="347">
        <f>IDC!W7</f>
        <v>36434</v>
      </c>
      <c r="X7" s="347">
        <f>IDC!X7</f>
        <v>36465</v>
      </c>
      <c r="Y7" s="347">
        <f>IDC!Y7</f>
        <v>36495</v>
      </c>
      <c r="Z7" s="347">
        <f>IDC!Z7</f>
        <v>36526</v>
      </c>
      <c r="AA7" s="347">
        <f>IDC!AA7</f>
        <v>36557</v>
      </c>
      <c r="AB7" s="347">
        <f>IDC!AB7</f>
        <v>36586</v>
      </c>
      <c r="AC7" s="347">
        <f>IDC!AC7</f>
        <v>36617</v>
      </c>
      <c r="AD7" s="347">
        <f>IDC!AD7</f>
        <v>36647</v>
      </c>
      <c r="AE7" s="347">
        <f>IDC!AE7</f>
        <v>36678</v>
      </c>
      <c r="AF7" s="347">
        <f>IDC!AF7</f>
        <v>36708</v>
      </c>
      <c r="AG7" s="347">
        <f>IDC!AG7</f>
        <v>36739</v>
      </c>
      <c r="AH7" s="347">
        <f>IDC!AH7</f>
        <v>36770</v>
      </c>
      <c r="AI7" s="347">
        <f>IDC!AI7</f>
        <v>36800</v>
      </c>
      <c r="AJ7" s="347">
        <f>IDC!AJ7</f>
        <v>36831</v>
      </c>
      <c r="AK7" s="347">
        <f>IDC!AK7</f>
        <v>36861</v>
      </c>
      <c r="AL7" s="347">
        <f>IDC!AL7</f>
        <v>36892</v>
      </c>
      <c r="AM7" s="347">
        <f>IDC!AM7</f>
        <v>36923</v>
      </c>
      <c r="AN7" s="347">
        <f>IDC!AN7</f>
        <v>36951</v>
      </c>
      <c r="AO7" s="309"/>
      <c r="AP7" s="524" t="s">
        <v>152</v>
      </c>
      <c r="AQ7" s="1027">
        <v>1</v>
      </c>
    </row>
    <row r="8" spans="1:43" s="345" customFormat="1">
      <c r="A8" s="515"/>
      <c r="B8" s="34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525"/>
      <c r="AQ8" s="1028">
        <f t="shared" ref="AQ8:AR57" si="1">AQ7+1</f>
        <v>2</v>
      </c>
    </row>
    <row r="9" spans="1:43" s="345" customFormat="1">
      <c r="A9" s="516" t="str">
        <f>Assm!N7</f>
        <v>EPC Turnkey Contract</v>
      </c>
      <c r="B9" s="348"/>
      <c r="C9" s="156">
        <f>Assm!R7</f>
        <v>92999.02800000002</v>
      </c>
      <c r="D9" s="188"/>
      <c r="E9" s="383">
        <f t="shared" ref="E9:X9" si="2">E84+E86+E89</f>
        <v>0</v>
      </c>
      <c r="F9" s="383">
        <f t="shared" si="2"/>
        <v>0</v>
      </c>
      <c r="G9" s="383">
        <f t="shared" si="2"/>
        <v>0</v>
      </c>
      <c r="H9" s="383">
        <f t="shared" si="2"/>
        <v>0</v>
      </c>
      <c r="I9" s="383">
        <f t="shared" si="2"/>
        <v>0</v>
      </c>
      <c r="J9" s="383">
        <f t="shared" si="2"/>
        <v>0</v>
      </c>
      <c r="K9" s="383">
        <f t="shared" si="2"/>
        <v>0</v>
      </c>
      <c r="L9" s="383">
        <f t="shared" si="2"/>
        <v>0</v>
      </c>
      <c r="M9" s="383">
        <f t="shared" si="2"/>
        <v>5851.4830000000002</v>
      </c>
      <c r="N9" s="383">
        <f t="shared" si="2"/>
        <v>162.499</v>
      </c>
      <c r="O9" s="383">
        <f t="shared" si="2"/>
        <v>4545.1440000000002</v>
      </c>
      <c r="P9" s="383">
        <f t="shared" si="2"/>
        <v>1515.9269999999999</v>
      </c>
      <c r="Q9" s="383">
        <f t="shared" si="2"/>
        <v>4663.7179999999998</v>
      </c>
      <c r="R9" s="383">
        <f t="shared" si="2"/>
        <v>3241.7449999999999</v>
      </c>
      <c r="S9" s="383">
        <f t="shared" si="2"/>
        <v>4594.402</v>
      </c>
      <c r="T9" s="383">
        <f t="shared" si="2"/>
        <v>11490.085999999999</v>
      </c>
      <c r="U9" s="383">
        <f t="shared" si="2"/>
        <v>3008.0350000000003</v>
      </c>
      <c r="V9" s="383">
        <f t="shared" si="2"/>
        <v>7970.2839999999997</v>
      </c>
      <c r="W9" s="383">
        <f t="shared" si="2"/>
        <v>6703.0306999999993</v>
      </c>
      <c r="X9" s="383">
        <f t="shared" si="2"/>
        <v>7049.4070000000002</v>
      </c>
      <c r="Y9" s="1143">
        <f>($C$15-SUM($E9:$X9))/13</f>
        <v>3623.2135571883305</v>
      </c>
      <c r="Z9" s="1143">
        <f t="shared" ref="Z9:AK9" si="3">($C$15-SUM($E9:$X9))/13</f>
        <v>3623.2135571883305</v>
      </c>
      <c r="AA9" s="1143">
        <f t="shared" si="3"/>
        <v>3623.2135571883305</v>
      </c>
      <c r="AB9" s="1143">
        <f t="shared" si="3"/>
        <v>3623.2135571883305</v>
      </c>
      <c r="AC9" s="1143">
        <f t="shared" si="3"/>
        <v>3623.2135571883305</v>
      </c>
      <c r="AD9" s="1143">
        <f t="shared" si="3"/>
        <v>3623.2135571883305</v>
      </c>
      <c r="AE9" s="1143">
        <f t="shared" si="3"/>
        <v>3623.2135571883305</v>
      </c>
      <c r="AF9" s="1143">
        <f t="shared" si="3"/>
        <v>3623.2135571883305</v>
      </c>
      <c r="AG9" s="1143">
        <f t="shared" si="3"/>
        <v>3623.2135571883305</v>
      </c>
      <c r="AH9" s="1143">
        <f t="shared" si="3"/>
        <v>3623.2135571883305</v>
      </c>
      <c r="AI9" s="1143">
        <f t="shared" si="3"/>
        <v>3623.2135571883305</v>
      </c>
      <c r="AJ9" s="1143">
        <f t="shared" si="3"/>
        <v>3623.2135571883305</v>
      </c>
      <c r="AK9" s="1143">
        <f t="shared" si="3"/>
        <v>3623.2135571883305</v>
      </c>
      <c r="AL9" s="1143">
        <v>0</v>
      </c>
      <c r="AM9" s="1143">
        <v>0</v>
      </c>
      <c r="AN9" s="1143">
        <v>0</v>
      </c>
      <c r="AO9" s="188"/>
      <c r="AP9" s="474">
        <f t="shared" ref="AP9:AP15" si="4">SUM(E9:AO9)</f>
        <v>107897.53694344826</v>
      </c>
      <c r="AQ9" s="1028">
        <f t="shared" si="1"/>
        <v>3</v>
      </c>
    </row>
    <row r="10" spans="1:43" s="345" customFormat="1">
      <c r="A10" s="516" t="str">
        <f>Assm!N8</f>
        <v>Approved Change Orders</v>
      </c>
      <c r="B10" s="348"/>
      <c r="C10" s="156">
        <f>Assm!R8</f>
        <v>6173.8189999999995</v>
      </c>
      <c r="D10" s="188"/>
      <c r="E10" s="1114">
        <v>0</v>
      </c>
      <c r="F10" s="1114">
        <v>0</v>
      </c>
      <c r="G10" s="1114">
        <v>0</v>
      </c>
      <c r="H10" s="1114">
        <v>0</v>
      </c>
      <c r="I10" s="1114">
        <v>0</v>
      </c>
      <c r="J10" s="1114">
        <v>0</v>
      </c>
      <c r="K10" s="1114">
        <v>0</v>
      </c>
      <c r="L10" s="1114">
        <v>0</v>
      </c>
      <c r="M10" s="1114">
        <v>0</v>
      </c>
      <c r="N10" s="1114">
        <v>0</v>
      </c>
      <c r="O10" s="1114">
        <v>0</v>
      </c>
      <c r="P10" s="1114">
        <v>0</v>
      </c>
      <c r="Q10" s="1114">
        <v>0</v>
      </c>
      <c r="R10" s="1114">
        <v>0</v>
      </c>
      <c r="S10" s="1114">
        <v>0</v>
      </c>
      <c r="T10" s="1114">
        <v>0</v>
      </c>
      <c r="U10" s="1114">
        <v>0</v>
      </c>
      <c r="V10" s="1114">
        <v>0</v>
      </c>
      <c r="W10" s="1114">
        <v>0</v>
      </c>
      <c r="X10" s="1114">
        <v>0</v>
      </c>
      <c r="Y10" s="1114">
        <v>0</v>
      </c>
      <c r="Z10" s="1114">
        <v>0</v>
      </c>
      <c r="AA10" s="1114">
        <v>0</v>
      </c>
      <c r="AB10" s="1114">
        <v>0</v>
      </c>
      <c r="AC10" s="1114">
        <v>0</v>
      </c>
      <c r="AD10" s="1114">
        <v>0</v>
      </c>
      <c r="AE10" s="1114">
        <v>0</v>
      </c>
      <c r="AF10" s="1114">
        <v>0</v>
      </c>
      <c r="AG10" s="1114">
        <v>0</v>
      </c>
      <c r="AH10" s="1114">
        <v>0</v>
      </c>
      <c r="AI10" s="1114">
        <v>0</v>
      </c>
      <c r="AJ10" s="1114">
        <v>0</v>
      </c>
      <c r="AK10" s="1114">
        <v>0</v>
      </c>
      <c r="AL10" s="1114">
        <v>0</v>
      </c>
      <c r="AM10" s="1114">
        <v>0</v>
      </c>
      <c r="AN10" s="1114">
        <v>0</v>
      </c>
      <c r="AO10" s="188"/>
      <c r="AP10" s="474">
        <f>SUM(E10:AO10)</f>
        <v>0</v>
      </c>
      <c r="AQ10" s="1028">
        <f t="shared" si="1"/>
        <v>4</v>
      </c>
    </row>
    <row r="11" spans="1:43" s="345" customFormat="1">
      <c r="A11" s="516" t="str">
        <f>Assm!N9</f>
        <v>Pending Change Orders</v>
      </c>
      <c r="B11" s="348"/>
      <c r="C11" s="156">
        <f>Assm!R9</f>
        <v>0</v>
      </c>
      <c r="D11" s="188"/>
      <c r="E11" s="1114">
        <v>0</v>
      </c>
      <c r="F11" s="1114">
        <v>0</v>
      </c>
      <c r="G11" s="1114">
        <v>0</v>
      </c>
      <c r="H11" s="1114">
        <v>0</v>
      </c>
      <c r="I11" s="1114">
        <v>0</v>
      </c>
      <c r="J11" s="1114">
        <v>0</v>
      </c>
      <c r="K11" s="1114">
        <v>0</v>
      </c>
      <c r="L11" s="1114">
        <v>0</v>
      </c>
      <c r="M11" s="1114">
        <v>0</v>
      </c>
      <c r="N11" s="1114">
        <v>0</v>
      </c>
      <c r="O11" s="1114">
        <v>0</v>
      </c>
      <c r="P11" s="1114">
        <v>0</v>
      </c>
      <c r="Q11" s="1114">
        <v>0</v>
      </c>
      <c r="R11" s="1114">
        <v>0</v>
      </c>
      <c r="S11" s="1114">
        <v>0</v>
      </c>
      <c r="T11" s="1114">
        <v>0</v>
      </c>
      <c r="U11" s="1114">
        <v>0</v>
      </c>
      <c r="V11" s="1114">
        <v>0</v>
      </c>
      <c r="W11" s="1114">
        <v>0</v>
      </c>
      <c r="X11" s="1114">
        <v>0</v>
      </c>
      <c r="Y11" s="1114">
        <v>0</v>
      </c>
      <c r="Z11" s="1114">
        <v>0</v>
      </c>
      <c r="AA11" s="1114">
        <v>0</v>
      </c>
      <c r="AB11" s="1114">
        <v>0</v>
      </c>
      <c r="AC11" s="1114">
        <v>0</v>
      </c>
      <c r="AD11" s="1114">
        <v>0</v>
      </c>
      <c r="AE11" s="1114">
        <v>0</v>
      </c>
      <c r="AF11" s="1114">
        <v>0</v>
      </c>
      <c r="AG11" s="1114">
        <v>0</v>
      </c>
      <c r="AH11" s="1114">
        <v>0</v>
      </c>
      <c r="AI11" s="1114">
        <v>0</v>
      </c>
      <c r="AJ11" s="1114">
        <v>0</v>
      </c>
      <c r="AK11" s="1114">
        <v>0</v>
      </c>
      <c r="AL11" s="1114">
        <v>0</v>
      </c>
      <c r="AM11" s="1114">
        <v>0</v>
      </c>
      <c r="AN11" s="1114">
        <v>0</v>
      </c>
      <c r="AO11" s="188"/>
      <c r="AP11" s="474">
        <f t="shared" si="4"/>
        <v>0</v>
      </c>
      <c r="AQ11" s="1028">
        <f t="shared" si="1"/>
        <v>5</v>
      </c>
    </row>
    <row r="12" spans="1:43" s="345" customFormat="1">
      <c r="A12" s="516" t="str">
        <f>Assm!N10</f>
        <v>Other Change Orders</v>
      </c>
      <c r="B12" s="348"/>
      <c r="C12" s="156">
        <f>Assm!R10</f>
        <v>7914</v>
      </c>
      <c r="D12" s="188"/>
      <c r="E12" s="1114">
        <v>0</v>
      </c>
      <c r="F12" s="1114">
        <v>0</v>
      </c>
      <c r="G12" s="1114">
        <v>0</v>
      </c>
      <c r="H12" s="1114">
        <v>0</v>
      </c>
      <c r="I12" s="1114">
        <v>0</v>
      </c>
      <c r="J12" s="1114">
        <v>0</v>
      </c>
      <c r="K12" s="1114">
        <v>0</v>
      </c>
      <c r="L12" s="1114">
        <v>0</v>
      </c>
      <c r="M12" s="1114">
        <v>0</v>
      </c>
      <c r="N12" s="1114">
        <v>0</v>
      </c>
      <c r="O12" s="1114">
        <v>0</v>
      </c>
      <c r="P12" s="1114">
        <v>0</v>
      </c>
      <c r="Q12" s="1114">
        <v>0</v>
      </c>
      <c r="R12" s="1114">
        <v>0</v>
      </c>
      <c r="S12" s="1114">
        <v>0</v>
      </c>
      <c r="T12" s="1114">
        <v>0</v>
      </c>
      <c r="U12" s="1114">
        <v>0</v>
      </c>
      <c r="V12" s="1114">
        <v>0</v>
      </c>
      <c r="W12" s="1114">
        <v>0</v>
      </c>
      <c r="X12" s="1114">
        <v>0</v>
      </c>
      <c r="Y12" s="1114">
        <v>0</v>
      </c>
      <c r="Z12" s="1114">
        <v>0</v>
      </c>
      <c r="AA12" s="1114">
        <v>0</v>
      </c>
      <c r="AB12" s="1114">
        <v>0</v>
      </c>
      <c r="AC12" s="1114">
        <v>0</v>
      </c>
      <c r="AD12" s="1114">
        <v>0</v>
      </c>
      <c r="AE12" s="1114">
        <v>0</v>
      </c>
      <c r="AF12" s="1114">
        <v>0</v>
      </c>
      <c r="AG12" s="1114">
        <v>0</v>
      </c>
      <c r="AH12" s="1114">
        <v>0</v>
      </c>
      <c r="AI12" s="1114">
        <v>0</v>
      </c>
      <c r="AJ12" s="1114">
        <v>0</v>
      </c>
      <c r="AK12" s="1114">
        <v>0</v>
      </c>
      <c r="AL12" s="1114">
        <v>0</v>
      </c>
      <c r="AM12" s="1114">
        <v>0</v>
      </c>
      <c r="AN12" s="1114">
        <v>0</v>
      </c>
      <c r="AO12" s="188"/>
      <c r="AP12" s="474">
        <f t="shared" si="4"/>
        <v>0</v>
      </c>
      <c r="AQ12" s="1028">
        <f t="shared" si="1"/>
        <v>6</v>
      </c>
    </row>
    <row r="13" spans="1:43" s="345" customFormat="1">
      <c r="A13" s="516" t="str">
        <f>Assm!N11</f>
        <v>Onshore Payment Adjustment</v>
      </c>
      <c r="B13" s="348"/>
      <c r="C13" s="156">
        <f>Assm!R11</f>
        <v>0</v>
      </c>
      <c r="D13" s="188"/>
      <c r="E13" s="1114">
        <v>0</v>
      </c>
      <c r="F13" s="1114">
        <v>0</v>
      </c>
      <c r="G13" s="1114">
        <v>0</v>
      </c>
      <c r="H13" s="1114">
        <v>0</v>
      </c>
      <c r="I13" s="1114">
        <v>0</v>
      </c>
      <c r="J13" s="1114">
        <v>0</v>
      </c>
      <c r="K13" s="1114">
        <v>0</v>
      </c>
      <c r="L13" s="1114">
        <v>0</v>
      </c>
      <c r="M13" s="1114">
        <v>0</v>
      </c>
      <c r="N13" s="1114">
        <v>0</v>
      </c>
      <c r="O13" s="1114">
        <v>0</v>
      </c>
      <c r="P13" s="1114">
        <v>0</v>
      </c>
      <c r="Q13" s="1114">
        <v>0</v>
      </c>
      <c r="R13" s="1114">
        <v>0</v>
      </c>
      <c r="S13" s="1114">
        <v>0</v>
      </c>
      <c r="T13" s="1114">
        <v>0</v>
      </c>
      <c r="U13" s="1114">
        <v>0</v>
      </c>
      <c r="V13" s="1114">
        <v>0</v>
      </c>
      <c r="W13" s="1114">
        <v>0</v>
      </c>
      <c r="X13" s="1114">
        <v>0</v>
      </c>
      <c r="Y13" s="1114">
        <v>0</v>
      </c>
      <c r="Z13" s="1114">
        <v>0</v>
      </c>
      <c r="AA13" s="1114">
        <v>0</v>
      </c>
      <c r="AB13" s="1114">
        <v>0</v>
      </c>
      <c r="AC13" s="1114">
        <v>0</v>
      </c>
      <c r="AD13" s="1114">
        <v>0</v>
      </c>
      <c r="AE13" s="1114">
        <v>0</v>
      </c>
      <c r="AF13" s="1114">
        <v>0</v>
      </c>
      <c r="AG13" s="1114">
        <v>0</v>
      </c>
      <c r="AH13" s="1114">
        <v>0</v>
      </c>
      <c r="AI13" s="1114">
        <v>0</v>
      </c>
      <c r="AJ13" s="1114">
        <v>0</v>
      </c>
      <c r="AK13" s="1114">
        <v>0</v>
      </c>
      <c r="AL13" s="1114">
        <v>0</v>
      </c>
      <c r="AM13" s="1114">
        <v>0</v>
      </c>
      <c r="AN13" s="1114">
        <v>0</v>
      </c>
      <c r="AO13" s="188"/>
      <c r="AP13" s="474">
        <f>SUM(E13:AO13)</f>
        <v>0</v>
      </c>
      <c r="AQ13" s="1028">
        <f t="shared" si="1"/>
        <v>7</v>
      </c>
    </row>
    <row r="14" spans="1:43" s="345" customFormat="1">
      <c r="A14" s="516" t="str">
        <f>Assm!N12</f>
        <v>Turnkey Tax Adjustment</v>
      </c>
      <c r="B14" s="348"/>
      <c r="C14" s="298">
        <f>Assm!R12</f>
        <v>810.68994344827661</v>
      </c>
      <c r="D14" s="517"/>
      <c r="E14" s="1022">
        <v>0</v>
      </c>
      <c r="F14" s="1022">
        <v>0</v>
      </c>
      <c r="G14" s="1022">
        <v>0</v>
      </c>
      <c r="H14" s="1022">
        <v>0</v>
      </c>
      <c r="I14" s="1022">
        <v>0</v>
      </c>
      <c r="J14" s="1022">
        <v>0</v>
      </c>
      <c r="K14" s="1022">
        <v>0</v>
      </c>
      <c r="L14" s="1022">
        <v>0</v>
      </c>
      <c r="M14" s="1022">
        <v>0</v>
      </c>
      <c r="N14" s="1022">
        <v>0</v>
      </c>
      <c r="O14" s="1022">
        <v>0</v>
      </c>
      <c r="P14" s="1022">
        <v>0</v>
      </c>
      <c r="Q14" s="1022">
        <v>0</v>
      </c>
      <c r="R14" s="1022">
        <v>0</v>
      </c>
      <c r="S14" s="1022">
        <v>0</v>
      </c>
      <c r="T14" s="1022">
        <v>0</v>
      </c>
      <c r="U14" s="1022">
        <v>0</v>
      </c>
      <c r="V14" s="1022">
        <v>0</v>
      </c>
      <c r="W14" s="1022">
        <v>0</v>
      </c>
      <c r="X14" s="1022">
        <v>0</v>
      </c>
      <c r="Y14" s="1022">
        <v>0</v>
      </c>
      <c r="Z14" s="1022">
        <v>0</v>
      </c>
      <c r="AA14" s="1022">
        <v>0</v>
      </c>
      <c r="AB14" s="1022">
        <v>0</v>
      </c>
      <c r="AC14" s="1022">
        <v>0</v>
      </c>
      <c r="AD14" s="1022">
        <v>0</v>
      </c>
      <c r="AE14" s="1022">
        <v>0</v>
      </c>
      <c r="AF14" s="1022">
        <v>0</v>
      </c>
      <c r="AG14" s="1022">
        <v>0</v>
      </c>
      <c r="AH14" s="1022">
        <v>0</v>
      </c>
      <c r="AI14" s="1022">
        <v>0</v>
      </c>
      <c r="AJ14" s="1022">
        <v>0</v>
      </c>
      <c r="AK14" s="1022">
        <v>0</v>
      </c>
      <c r="AL14" s="1022">
        <v>0</v>
      </c>
      <c r="AM14" s="1022">
        <v>0</v>
      </c>
      <c r="AN14" s="1022">
        <v>0</v>
      </c>
      <c r="AO14" s="517"/>
      <c r="AP14" s="475">
        <f>SUM(E14:AO14)</f>
        <v>0</v>
      </c>
      <c r="AQ14" s="1028">
        <f t="shared" si="1"/>
        <v>8</v>
      </c>
    </row>
    <row r="15" spans="1:43" s="345" customFormat="1">
      <c r="A15" s="516" t="str">
        <f>Assm!N13</f>
        <v>Total Turnkey Construction</v>
      </c>
      <c r="B15" s="348"/>
      <c r="C15" s="156">
        <f>SUM(C9:C14)</f>
        <v>107897.5369434483</v>
      </c>
      <c r="D15" s="188"/>
      <c r="E15" s="156">
        <f t="shared" ref="E15:AN15" si="5">SUM(E9:E14)</f>
        <v>0</v>
      </c>
      <c r="F15" s="156">
        <f t="shared" si="5"/>
        <v>0</v>
      </c>
      <c r="G15" s="156">
        <f t="shared" si="5"/>
        <v>0</v>
      </c>
      <c r="H15" s="156">
        <f t="shared" si="5"/>
        <v>0</v>
      </c>
      <c r="I15" s="156">
        <f t="shared" si="5"/>
        <v>0</v>
      </c>
      <c r="J15" s="156">
        <f t="shared" si="5"/>
        <v>0</v>
      </c>
      <c r="K15" s="156">
        <f t="shared" si="5"/>
        <v>0</v>
      </c>
      <c r="L15" s="156">
        <f t="shared" si="5"/>
        <v>0</v>
      </c>
      <c r="M15" s="156">
        <f t="shared" si="5"/>
        <v>5851.4830000000002</v>
      </c>
      <c r="N15" s="156">
        <f t="shared" si="5"/>
        <v>162.499</v>
      </c>
      <c r="O15" s="156">
        <f t="shared" si="5"/>
        <v>4545.1440000000002</v>
      </c>
      <c r="P15" s="156">
        <f t="shared" si="5"/>
        <v>1515.9269999999999</v>
      </c>
      <c r="Q15" s="156">
        <f t="shared" si="5"/>
        <v>4663.7179999999998</v>
      </c>
      <c r="R15" s="156">
        <f t="shared" si="5"/>
        <v>3241.7449999999999</v>
      </c>
      <c r="S15" s="156">
        <f t="shared" si="5"/>
        <v>4594.402</v>
      </c>
      <c r="T15" s="156">
        <f t="shared" si="5"/>
        <v>11490.085999999999</v>
      </c>
      <c r="U15" s="156">
        <f t="shared" si="5"/>
        <v>3008.0350000000003</v>
      </c>
      <c r="V15" s="156">
        <f t="shared" si="5"/>
        <v>7970.2839999999997</v>
      </c>
      <c r="W15" s="156">
        <f t="shared" si="5"/>
        <v>6703.0306999999993</v>
      </c>
      <c r="X15" s="156">
        <f t="shared" si="5"/>
        <v>7049.4070000000002</v>
      </c>
      <c r="Y15" s="156">
        <f t="shared" si="5"/>
        <v>3623.2135571883305</v>
      </c>
      <c r="Z15" s="156">
        <f t="shared" si="5"/>
        <v>3623.2135571883305</v>
      </c>
      <c r="AA15" s="156">
        <f t="shared" si="5"/>
        <v>3623.2135571883305</v>
      </c>
      <c r="AB15" s="156">
        <f t="shared" si="5"/>
        <v>3623.2135571883305</v>
      </c>
      <c r="AC15" s="156">
        <f t="shared" si="5"/>
        <v>3623.2135571883305</v>
      </c>
      <c r="AD15" s="156">
        <f t="shared" si="5"/>
        <v>3623.2135571883305</v>
      </c>
      <c r="AE15" s="156">
        <f t="shared" si="5"/>
        <v>3623.2135571883305</v>
      </c>
      <c r="AF15" s="156">
        <f t="shared" si="5"/>
        <v>3623.2135571883305</v>
      </c>
      <c r="AG15" s="156">
        <f t="shared" si="5"/>
        <v>3623.2135571883305</v>
      </c>
      <c r="AH15" s="156">
        <f t="shared" si="5"/>
        <v>3623.2135571883305</v>
      </c>
      <c r="AI15" s="156">
        <f t="shared" si="5"/>
        <v>3623.2135571883305</v>
      </c>
      <c r="AJ15" s="156">
        <f t="shared" si="5"/>
        <v>3623.2135571883305</v>
      </c>
      <c r="AK15" s="156">
        <f t="shared" si="5"/>
        <v>3623.2135571883305</v>
      </c>
      <c r="AL15" s="156">
        <f t="shared" si="5"/>
        <v>0</v>
      </c>
      <c r="AM15" s="156">
        <f t="shared" si="5"/>
        <v>0</v>
      </c>
      <c r="AN15" s="156">
        <f t="shared" si="5"/>
        <v>0</v>
      </c>
      <c r="AO15" s="188"/>
      <c r="AP15" s="474">
        <f t="shared" si="4"/>
        <v>107897.53694344826</v>
      </c>
      <c r="AQ15" s="1028">
        <f t="shared" si="1"/>
        <v>9</v>
      </c>
    </row>
    <row r="16" spans="1:43" s="345" customFormat="1">
      <c r="A16" s="516"/>
      <c r="B16" s="34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525"/>
      <c r="AQ16" s="1028">
        <f t="shared" si="1"/>
        <v>10</v>
      </c>
    </row>
    <row r="17" spans="1:43" s="345" customFormat="1">
      <c r="A17" s="516" t="str">
        <f>Assm!N15</f>
        <v>Linefill</v>
      </c>
      <c r="B17" s="348"/>
      <c r="C17" s="156">
        <f>Assm!R15</f>
        <v>220</v>
      </c>
      <c r="D17" s="188"/>
      <c r="E17" s="383">
        <f>E88+SUM(E90:E92)</f>
        <v>1195</v>
      </c>
      <c r="F17" s="383">
        <f t="shared" ref="F17:X17" si="6">F88+SUM(F90:F92)</f>
        <v>0</v>
      </c>
      <c r="G17" s="383">
        <f t="shared" si="6"/>
        <v>0</v>
      </c>
      <c r="H17" s="383">
        <f t="shared" si="6"/>
        <v>189.017</v>
      </c>
      <c r="I17" s="383">
        <f t="shared" si="6"/>
        <v>36.935000000000002</v>
      </c>
      <c r="J17" s="383">
        <f t="shared" si="6"/>
        <v>22.611999999999998</v>
      </c>
      <c r="K17" s="383">
        <f t="shared" si="6"/>
        <v>0</v>
      </c>
      <c r="L17" s="383">
        <f t="shared" si="6"/>
        <v>335.43900000000002</v>
      </c>
      <c r="M17" s="383">
        <f t="shared" si="6"/>
        <v>380.50400000000002</v>
      </c>
      <c r="N17" s="383">
        <f t="shared" si="6"/>
        <v>254.44499999999999</v>
      </c>
      <c r="O17" s="383">
        <f t="shared" si="6"/>
        <v>118.53999999999999</v>
      </c>
      <c r="P17" s="383">
        <f t="shared" si="6"/>
        <v>78.95</v>
      </c>
      <c r="Q17" s="383">
        <f t="shared" si="6"/>
        <v>2.0840000000000001</v>
      </c>
      <c r="R17" s="383">
        <f t="shared" si="6"/>
        <v>127.078</v>
      </c>
      <c r="S17" s="383">
        <f t="shared" si="6"/>
        <v>332.48699999999997</v>
      </c>
      <c r="T17" s="383">
        <f t="shared" si="6"/>
        <v>259.23500000000001</v>
      </c>
      <c r="U17" s="383">
        <f t="shared" si="6"/>
        <v>791.11199999999997</v>
      </c>
      <c r="V17" s="383">
        <f t="shared" si="6"/>
        <v>497.27300000000008</v>
      </c>
      <c r="W17" s="383">
        <f t="shared" si="6"/>
        <v>543.08900000000006</v>
      </c>
      <c r="X17" s="383">
        <f t="shared" si="6"/>
        <v>860.54600000000005</v>
      </c>
      <c r="Y17" s="1143">
        <f>($C$24-SUM($E17:$X17))/13</f>
        <v>1013.9974923076921</v>
      </c>
      <c r="Z17" s="1143">
        <f t="shared" ref="Z17:AK17" si="7">($C$24-SUM($E17:$X17))/13</f>
        <v>1013.9974923076921</v>
      </c>
      <c r="AA17" s="1143">
        <f t="shared" si="7"/>
        <v>1013.9974923076921</v>
      </c>
      <c r="AB17" s="1143">
        <f t="shared" si="7"/>
        <v>1013.9974923076921</v>
      </c>
      <c r="AC17" s="1143">
        <f t="shared" si="7"/>
        <v>1013.9974923076921</v>
      </c>
      <c r="AD17" s="1143">
        <f t="shared" si="7"/>
        <v>1013.9974923076921</v>
      </c>
      <c r="AE17" s="1143">
        <f t="shared" si="7"/>
        <v>1013.9974923076921</v>
      </c>
      <c r="AF17" s="1143">
        <f t="shared" si="7"/>
        <v>1013.9974923076921</v>
      </c>
      <c r="AG17" s="1143">
        <f t="shared" si="7"/>
        <v>1013.9974923076921</v>
      </c>
      <c r="AH17" s="1143">
        <f t="shared" si="7"/>
        <v>1013.9974923076921</v>
      </c>
      <c r="AI17" s="1143">
        <f t="shared" si="7"/>
        <v>1013.9974923076921</v>
      </c>
      <c r="AJ17" s="1143">
        <f t="shared" si="7"/>
        <v>1013.9974923076921</v>
      </c>
      <c r="AK17" s="1143">
        <f t="shared" si="7"/>
        <v>1013.9974923076921</v>
      </c>
      <c r="AL17" s="1114">
        <v>0</v>
      </c>
      <c r="AM17" s="1114">
        <v>0</v>
      </c>
      <c r="AN17" s="1114">
        <v>0</v>
      </c>
      <c r="AO17" s="188"/>
      <c r="AP17" s="474">
        <f t="shared" ref="AP17:AP24" si="8">SUM(E17:AO17)</f>
        <v>19206.313399999995</v>
      </c>
      <c r="AQ17" s="1028">
        <f t="shared" si="1"/>
        <v>11</v>
      </c>
    </row>
    <row r="18" spans="1:43" s="345" customFormat="1">
      <c r="A18" s="516" t="str">
        <f>Assm!N16</f>
        <v>Land &amp; Rights Of Way</v>
      </c>
      <c r="B18" s="348"/>
      <c r="C18" s="156">
        <f>Assm!R16</f>
        <v>600</v>
      </c>
      <c r="D18" s="188"/>
      <c r="E18" s="1114">
        <v>0</v>
      </c>
      <c r="F18" s="1114">
        <v>0</v>
      </c>
      <c r="G18" s="1114">
        <v>0</v>
      </c>
      <c r="H18" s="1114">
        <v>0</v>
      </c>
      <c r="I18" s="1114">
        <v>0</v>
      </c>
      <c r="J18" s="1114">
        <v>0</v>
      </c>
      <c r="K18" s="1114">
        <v>0</v>
      </c>
      <c r="L18" s="1114">
        <v>0</v>
      </c>
      <c r="M18" s="1114">
        <v>0</v>
      </c>
      <c r="N18" s="1114">
        <v>0</v>
      </c>
      <c r="O18" s="1114">
        <v>0</v>
      </c>
      <c r="P18" s="1114">
        <v>0</v>
      </c>
      <c r="Q18" s="1114">
        <v>0</v>
      </c>
      <c r="R18" s="1114">
        <v>0</v>
      </c>
      <c r="S18" s="1114">
        <v>0</v>
      </c>
      <c r="T18" s="1114">
        <v>0</v>
      </c>
      <c r="U18" s="1114">
        <v>0</v>
      </c>
      <c r="V18" s="1114">
        <v>0</v>
      </c>
      <c r="W18" s="1114">
        <v>0</v>
      </c>
      <c r="X18" s="1114">
        <v>0</v>
      </c>
      <c r="Y18" s="1114">
        <v>0</v>
      </c>
      <c r="Z18" s="1114">
        <v>0</v>
      </c>
      <c r="AA18" s="1114">
        <v>0</v>
      </c>
      <c r="AB18" s="1114">
        <v>0</v>
      </c>
      <c r="AC18" s="1114">
        <v>0</v>
      </c>
      <c r="AD18" s="1114">
        <v>0</v>
      </c>
      <c r="AE18" s="1114">
        <v>0</v>
      </c>
      <c r="AF18" s="1114">
        <v>0</v>
      </c>
      <c r="AG18" s="1114">
        <v>0</v>
      </c>
      <c r="AH18" s="1114">
        <v>0</v>
      </c>
      <c r="AI18" s="1114">
        <v>0</v>
      </c>
      <c r="AJ18" s="1114">
        <v>0</v>
      </c>
      <c r="AK18" s="1114">
        <v>0</v>
      </c>
      <c r="AL18" s="1114">
        <v>0</v>
      </c>
      <c r="AM18" s="1114">
        <v>0</v>
      </c>
      <c r="AN18" s="1114">
        <v>0</v>
      </c>
      <c r="AO18" s="188"/>
      <c r="AP18" s="474">
        <f t="shared" si="8"/>
        <v>0</v>
      </c>
      <c r="AQ18" s="1028">
        <f t="shared" si="1"/>
        <v>12</v>
      </c>
    </row>
    <row r="19" spans="1:43" s="345" customFormat="1">
      <c r="A19" s="516" t="str">
        <f>Assm!N17</f>
        <v>Consulting Fees</v>
      </c>
      <c r="B19" s="348"/>
      <c r="C19" s="156">
        <f>Assm!R17</f>
        <v>802</v>
      </c>
      <c r="D19" s="188"/>
      <c r="E19" s="1114">
        <v>0</v>
      </c>
      <c r="F19" s="1114">
        <v>0</v>
      </c>
      <c r="G19" s="1114">
        <v>0</v>
      </c>
      <c r="H19" s="1114">
        <v>0</v>
      </c>
      <c r="I19" s="1114">
        <v>0</v>
      </c>
      <c r="J19" s="1114">
        <v>0</v>
      </c>
      <c r="K19" s="1114">
        <v>0</v>
      </c>
      <c r="L19" s="1114">
        <v>0</v>
      </c>
      <c r="M19" s="1114">
        <v>0</v>
      </c>
      <c r="N19" s="1114">
        <v>0</v>
      </c>
      <c r="O19" s="1114">
        <v>0</v>
      </c>
      <c r="P19" s="1114">
        <v>0</v>
      </c>
      <c r="Q19" s="1114">
        <v>0</v>
      </c>
      <c r="R19" s="1114">
        <v>0</v>
      </c>
      <c r="S19" s="1114">
        <v>0</v>
      </c>
      <c r="T19" s="1114">
        <v>0</v>
      </c>
      <c r="U19" s="1114">
        <v>0</v>
      </c>
      <c r="V19" s="1114">
        <v>0</v>
      </c>
      <c r="W19" s="1114">
        <v>0</v>
      </c>
      <c r="X19" s="1114">
        <v>0</v>
      </c>
      <c r="Y19" s="1114">
        <v>0</v>
      </c>
      <c r="Z19" s="1114">
        <v>0</v>
      </c>
      <c r="AA19" s="1114">
        <v>0</v>
      </c>
      <c r="AB19" s="1114">
        <v>0</v>
      </c>
      <c r="AC19" s="1114">
        <v>0</v>
      </c>
      <c r="AD19" s="1114">
        <v>0</v>
      </c>
      <c r="AE19" s="1114">
        <v>0</v>
      </c>
      <c r="AF19" s="1114">
        <v>0</v>
      </c>
      <c r="AG19" s="1114">
        <v>0</v>
      </c>
      <c r="AH19" s="1114">
        <v>0</v>
      </c>
      <c r="AI19" s="1114">
        <v>0</v>
      </c>
      <c r="AJ19" s="1114">
        <v>0</v>
      </c>
      <c r="AK19" s="1114">
        <v>0</v>
      </c>
      <c r="AL19" s="1114">
        <v>0</v>
      </c>
      <c r="AM19" s="1114">
        <v>0</v>
      </c>
      <c r="AN19" s="1114">
        <v>0</v>
      </c>
      <c r="AO19" s="188"/>
      <c r="AP19" s="474">
        <f t="shared" si="8"/>
        <v>0</v>
      </c>
      <c r="AQ19" s="1028">
        <f t="shared" si="1"/>
        <v>13</v>
      </c>
    </row>
    <row r="20" spans="1:43" s="345" customFormat="1">
      <c r="A20" s="516" t="str">
        <f>Assm!N18</f>
        <v>Owner's Engineer (Parsons)</v>
      </c>
      <c r="B20" s="348"/>
      <c r="C20" s="156">
        <f>Assm!R18</f>
        <v>1250</v>
      </c>
      <c r="D20" s="188"/>
      <c r="E20" s="1114">
        <v>0</v>
      </c>
      <c r="F20" s="1114">
        <v>0</v>
      </c>
      <c r="G20" s="1114">
        <v>0</v>
      </c>
      <c r="H20" s="1114">
        <v>0</v>
      </c>
      <c r="I20" s="1114">
        <v>0</v>
      </c>
      <c r="J20" s="1114">
        <v>0</v>
      </c>
      <c r="K20" s="1114">
        <v>0</v>
      </c>
      <c r="L20" s="1114">
        <v>0</v>
      </c>
      <c r="M20" s="1114">
        <v>0</v>
      </c>
      <c r="N20" s="1114">
        <v>0</v>
      </c>
      <c r="O20" s="1114">
        <v>0</v>
      </c>
      <c r="P20" s="1114">
        <v>0</v>
      </c>
      <c r="Q20" s="1114">
        <v>0</v>
      </c>
      <c r="R20" s="1114">
        <v>0</v>
      </c>
      <c r="S20" s="1114">
        <v>0</v>
      </c>
      <c r="T20" s="1114">
        <v>0</v>
      </c>
      <c r="U20" s="1114">
        <v>0</v>
      </c>
      <c r="V20" s="1114">
        <v>0</v>
      </c>
      <c r="W20" s="1114">
        <v>0</v>
      </c>
      <c r="X20" s="1114">
        <v>0</v>
      </c>
      <c r="Y20" s="1114">
        <v>0</v>
      </c>
      <c r="Z20" s="1114">
        <v>0</v>
      </c>
      <c r="AA20" s="1114">
        <v>0</v>
      </c>
      <c r="AB20" s="1114">
        <v>0</v>
      </c>
      <c r="AC20" s="1114">
        <v>0</v>
      </c>
      <c r="AD20" s="1114">
        <v>0</v>
      </c>
      <c r="AE20" s="1114">
        <v>0</v>
      </c>
      <c r="AF20" s="1114">
        <v>0</v>
      </c>
      <c r="AG20" s="1114">
        <v>0</v>
      </c>
      <c r="AH20" s="1114">
        <v>0</v>
      </c>
      <c r="AI20" s="1114">
        <v>0</v>
      </c>
      <c r="AJ20" s="1114">
        <v>0</v>
      </c>
      <c r="AK20" s="1114">
        <v>0</v>
      </c>
      <c r="AL20" s="1114">
        <v>0</v>
      </c>
      <c r="AM20" s="1114">
        <v>0</v>
      </c>
      <c r="AN20" s="1114">
        <v>0</v>
      </c>
      <c r="AO20" s="188"/>
      <c r="AP20" s="474">
        <f t="shared" si="8"/>
        <v>0</v>
      </c>
      <c r="AQ20" s="1028">
        <f t="shared" si="1"/>
        <v>14</v>
      </c>
    </row>
    <row r="21" spans="1:43" s="345" customFormat="1">
      <c r="A21" s="516" t="str">
        <f>Assm!N19</f>
        <v>Other Engineering Costs</v>
      </c>
      <c r="B21" s="348"/>
      <c r="C21" s="156">
        <f>Assm!R19</f>
        <v>0</v>
      </c>
      <c r="D21" s="188"/>
      <c r="E21" s="1114">
        <v>0</v>
      </c>
      <c r="F21" s="1114">
        <v>0</v>
      </c>
      <c r="G21" s="1114">
        <v>0</v>
      </c>
      <c r="H21" s="1114">
        <v>0</v>
      </c>
      <c r="I21" s="1114">
        <v>0</v>
      </c>
      <c r="J21" s="1114">
        <v>0</v>
      </c>
      <c r="K21" s="1114">
        <v>0</v>
      </c>
      <c r="L21" s="1114">
        <v>0</v>
      </c>
      <c r="M21" s="1114">
        <v>0</v>
      </c>
      <c r="N21" s="1114">
        <v>0</v>
      </c>
      <c r="O21" s="1114">
        <v>0</v>
      </c>
      <c r="P21" s="1114">
        <v>0</v>
      </c>
      <c r="Q21" s="1114">
        <v>0</v>
      </c>
      <c r="R21" s="1114">
        <v>0</v>
      </c>
      <c r="S21" s="1114">
        <v>0</v>
      </c>
      <c r="T21" s="1114">
        <v>0</v>
      </c>
      <c r="U21" s="1114">
        <v>0</v>
      </c>
      <c r="V21" s="1114">
        <v>0</v>
      </c>
      <c r="W21" s="1114">
        <v>0</v>
      </c>
      <c r="X21" s="1114">
        <v>0</v>
      </c>
      <c r="Y21" s="1114">
        <v>0</v>
      </c>
      <c r="Z21" s="1114">
        <v>0</v>
      </c>
      <c r="AA21" s="1114">
        <v>0</v>
      </c>
      <c r="AB21" s="1114">
        <v>0</v>
      </c>
      <c r="AC21" s="1114">
        <v>0</v>
      </c>
      <c r="AD21" s="1114">
        <v>0</v>
      </c>
      <c r="AE21" s="1114">
        <v>0</v>
      </c>
      <c r="AF21" s="1114">
        <v>0</v>
      </c>
      <c r="AG21" s="1114">
        <v>0</v>
      </c>
      <c r="AH21" s="1114">
        <v>0</v>
      </c>
      <c r="AI21" s="1114">
        <v>0</v>
      </c>
      <c r="AJ21" s="1114">
        <v>0</v>
      </c>
      <c r="AK21" s="1114">
        <v>0</v>
      </c>
      <c r="AL21" s="1114">
        <v>0</v>
      </c>
      <c r="AM21" s="1114">
        <v>0</v>
      </c>
      <c r="AN21" s="1114">
        <v>0</v>
      </c>
      <c r="AO21" s="188"/>
      <c r="AP21" s="474">
        <f>SUM(E21:AO21)</f>
        <v>0</v>
      </c>
      <c r="AQ21" s="1028">
        <f t="shared" si="1"/>
        <v>15</v>
      </c>
    </row>
    <row r="22" spans="1:43" s="345" customFormat="1">
      <c r="A22" s="516" t="str">
        <f>Assm!N20</f>
        <v>Environmental &amp; Permitting</v>
      </c>
      <c r="B22" s="348"/>
      <c r="C22" s="156">
        <f>Assm!R20</f>
        <v>11183.5134</v>
      </c>
      <c r="D22" s="188"/>
      <c r="E22" s="1114">
        <v>0</v>
      </c>
      <c r="F22" s="1114">
        <v>0</v>
      </c>
      <c r="G22" s="1114">
        <v>0</v>
      </c>
      <c r="H22" s="1114">
        <v>0</v>
      </c>
      <c r="I22" s="1114">
        <v>0</v>
      </c>
      <c r="J22" s="1114">
        <v>0</v>
      </c>
      <c r="K22" s="1114">
        <v>0</v>
      </c>
      <c r="L22" s="1114">
        <v>0</v>
      </c>
      <c r="M22" s="1114">
        <v>0</v>
      </c>
      <c r="N22" s="1114">
        <v>0</v>
      </c>
      <c r="O22" s="1114">
        <v>0</v>
      </c>
      <c r="P22" s="1114">
        <v>0</v>
      </c>
      <c r="Q22" s="1114">
        <v>0</v>
      </c>
      <c r="R22" s="1114">
        <v>0</v>
      </c>
      <c r="S22" s="1114">
        <v>0</v>
      </c>
      <c r="T22" s="1114">
        <v>0</v>
      </c>
      <c r="U22" s="1114">
        <v>0</v>
      </c>
      <c r="V22" s="1114">
        <v>0</v>
      </c>
      <c r="W22" s="1114">
        <v>0</v>
      </c>
      <c r="X22" s="1114">
        <v>0</v>
      </c>
      <c r="Y22" s="1114">
        <v>0</v>
      </c>
      <c r="Z22" s="1114">
        <v>0</v>
      </c>
      <c r="AA22" s="1114">
        <v>0</v>
      </c>
      <c r="AB22" s="1114">
        <v>0</v>
      </c>
      <c r="AC22" s="1114">
        <v>0</v>
      </c>
      <c r="AD22" s="1114">
        <v>0</v>
      </c>
      <c r="AE22" s="1114">
        <v>0</v>
      </c>
      <c r="AF22" s="1114">
        <v>0</v>
      </c>
      <c r="AG22" s="1114">
        <v>0</v>
      </c>
      <c r="AH22" s="1114">
        <v>0</v>
      </c>
      <c r="AI22" s="1114">
        <v>0</v>
      </c>
      <c r="AJ22" s="1114">
        <v>0</v>
      </c>
      <c r="AK22" s="1114">
        <v>0</v>
      </c>
      <c r="AL22" s="1114">
        <v>0</v>
      </c>
      <c r="AM22" s="1114">
        <v>0</v>
      </c>
      <c r="AN22" s="1114">
        <v>0</v>
      </c>
      <c r="AO22" s="188"/>
      <c r="AP22" s="474">
        <f>SUM(E22:AO22)</f>
        <v>0</v>
      </c>
      <c r="AQ22" s="1028">
        <f t="shared" si="1"/>
        <v>16</v>
      </c>
    </row>
    <row r="23" spans="1:43" s="345" customFormat="1">
      <c r="A23" s="516" t="str">
        <f>Assm!N21</f>
        <v>Indigenous People Programs</v>
      </c>
      <c r="B23" s="348"/>
      <c r="C23" s="298">
        <f>Assm!R21</f>
        <v>5150.8</v>
      </c>
      <c r="D23" s="517"/>
      <c r="E23" s="1022">
        <v>0</v>
      </c>
      <c r="F23" s="1022">
        <v>0</v>
      </c>
      <c r="G23" s="1022">
        <v>0</v>
      </c>
      <c r="H23" s="1022">
        <v>0</v>
      </c>
      <c r="I23" s="1022">
        <v>0</v>
      </c>
      <c r="J23" s="1022">
        <v>0</v>
      </c>
      <c r="K23" s="1022">
        <v>0</v>
      </c>
      <c r="L23" s="1022">
        <v>0</v>
      </c>
      <c r="M23" s="1022">
        <v>0</v>
      </c>
      <c r="N23" s="1022">
        <v>0</v>
      </c>
      <c r="O23" s="1022">
        <v>0</v>
      </c>
      <c r="P23" s="1022">
        <v>0</v>
      </c>
      <c r="Q23" s="1022">
        <v>0</v>
      </c>
      <c r="R23" s="1022">
        <v>0</v>
      </c>
      <c r="S23" s="1022">
        <v>0</v>
      </c>
      <c r="T23" s="1022">
        <v>0</v>
      </c>
      <c r="U23" s="1022">
        <v>0</v>
      </c>
      <c r="V23" s="1022">
        <v>0</v>
      </c>
      <c r="W23" s="1022">
        <v>0</v>
      </c>
      <c r="X23" s="1022">
        <v>0</v>
      </c>
      <c r="Y23" s="1022">
        <v>0</v>
      </c>
      <c r="Z23" s="1022">
        <v>0</v>
      </c>
      <c r="AA23" s="1022">
        <v>0</v>
      </c>
      <c r="AB23" s="1022">
        <v>0</v>
      </c>
      <c r="AC23" s="1022">
        <v>0</v>
      </c>
      <c r="AD23" s="1022">
        <v>0</v>
      </c>
      <c r="AE23" s="1022">
        <v>0</v>
      </c>
      <c r="AF23" s="1022">
        <v>0</v>
      </c>
      <c r="AG23" s="1022">
        <v>0</v>
      </c>
      <c r="AH23" s="1022">
        <v>0</v>
      </c>
      <c r="AI23" s="1022">
        <v>0</v>
      </c>
      <c r="AJ23" s="1022">
        <v>0</v>
      </c>
      <c r="AK23" s="1022">
        <v>0</v>
      </c>
      <c r="AL23" s="1022">
        <v>0</v>
      </c>
      <c r="AM23" s="1022">
        <v>0</v>
      </c>
      <c r="AN23" s="1022">
        <v>0</v>
      </c>
      <c r="AO23" s="517"/>
      <c r="AP23" s="475">
        <f t="shared" si="8"/>
        <v>0</v>
      </c>
      <c r="AQ23" s="1028">
        <f t="shared" si="1"/>
        <v>17</v>
      </c>
    </row>
    <row r="24" spans="1:43" s="345" customFormat="1">
      <c r="A24" s="516" t="str">
        <f>Assm!N22</f>
        <v>Total Other Construction</v>
      </c>
      <c r="B24" s="348"/>
      <c r="C24" s="156">
        <f>SUM(C17:C23)</f>
        <v>19206.313399999999</v>
      </c>
      <c r="D24" s="188"/>
      <c r="E24" s="156">
        <f t="shared" ref="E24:AN24" si="9">SUM(E17:E23)</f>
        <v>1195</v>
      </c>
      <c r="F24" s="156">
        <f t="shared" si="9"/>
        <v>0</v>
      </c>
      <c r="G24" s="156">
        <f t="shared" si="9"/>
        <v>0</v>
      </c>
      <c r="H24" s="156">
        <f t="shared" si="9"/>
        <v>189.017</v>
      </c>
      <c r="I24" s="156">
        <f t="shared" si="9"/>
        <v>36.935000000000002</v>
      </c>
      <c r="J24" s="156">
        <f t="shared" si="9"/>
        <v>22.611999999999998</v>
      </c>
      <c r="K24" s="156">
        <f t="shared" si="9"/>
        <v>0</v>
      </c>
      <c r="L24" s="156">
        <f t="shared" si="9"/>
        <v>335.43900000000002</v>
      </c>
      <c r="M24" s="156">
        <f t="shared" si="9"/>
        <v>380.50400000000002</v>
      </c>
      <c r="N24" s="156">
        <f t="shared" si="9"/>
        <v>254.44499999999999</v>
      </c>
      <c r="O24" s="156">
        <f t="shared" si="9"/>
        <v>118.53999999999999</v>
      </c>
      <c r="P24" s="156">
        <f t="shared" si="9"/>
        <v>78.95</v>
      </c>
      <c r="Q24" s="156">
        <f t="shared" si="9"/>
        <v>2.0840000000000001</v>
      </c>
      <c r="R24" s="156">
        <f t="shared" si="9"/>
        <v>127.078</v>
      </c>
      <c r="S24" s="156">
        <f t="shared" si="9"/>
        <v>332.48699999999997</v>
      </c>
      <c r="T24" s="156">
        <f t="shared" si="9"/>
        <v>259.23500000000001</v>
      </c>
      <c r="U24" s="156">
        <f t="shared" si="9"/>
        <v>791.11199999999997</v>
      </c>
      <c r="V24" s="156">
        <f t="shared" si="9"/>
        <v>497.27300000000008</v>
      </c>
      <c r="W24" s="156">
        <f t="shared" si="9"/>
        <v>543.08900000000006</v>
      </c>
      <c r="X24" s="156">
        <f t="shared" si="9"/>
        <v>860.54600000000005</v>
      </c>
      <c r="Y24" s="156">
        <f t="shared" si="9"/>
        <v>1013.9974923076921</v>
      </c>
      <c r="Z24" s="156">
        <f t="shared" si="9"/>
        <v>1013.9974923076921</v>
      </c>
      <c r="AA24" s="156">
        <f t="shared" si="9"/>
        <v>1013.9974923076921</v>
      </c>
      <c r="AB24" s="156">
        <f t="shared" si="9"/>
        <v>1013.9974923076921</v>
      </c>
      <c r="AC24" s="156">
        <f t="shared" si="9"/>
        <v>1013.9974923076921</v>
      </c>
      <c r="AD24" s="156">
        <f t="shared" si="9"/>
        <v>1013.9974923076921</v>
      </c>
      <c r="AE24" s="156">
        <f t="shared" si="9"/>
        <v>1013.9974923076921</v>
      </c>
      <c r="AF24" s="156">
        <f t="shared" si="9"/>
        <v>1013.9974923076921</v>
      </c>
      <c r="AG24" s="156">
        <f t="shared" si="9"/>
        <v>1013.9974923076921</v>
      </c>
      <c r="AH24" s="156">
        <f t="shared" si="9"/>
        <v>1013.9974923076921</v>
      </c>
      <c r="AI24" s="156">
        <f t="shared" si="9"/>
        <v>1013.9974923076921</v>
      </c>
      <c r="AJ24" s="156">
        <f t="shared" si="9"/>
        <v>1013.9974923076921</v>
      </c>
      <c r="AK24" s="156">
        <f t="shared" si="9"/>
        <v>1013.9974923076921</v>
      </c>
      <c r="AL24" s="156">
        <f t="shared" si="9"/>
        <v>0</v>
      </c>
      <c r="AM24" s="156">
        <f t="shared" si="9"/>
        <v>0</v>
      </c>
      <c r="AN24" s="156">
        <f t="shared" si="9"/>
        <v>0</v>
      </c>
      <c r="AO24" s="188"/>
      <c r="AP24" s="474">
        <f t="shared" si="8"/>
        <v>19206.313399999995</v>
      </c>
      <c r="AQ24" s="1028">
        <f t="shared" si="1"/>
        <v>18</v>
      </c>
    </row>
    <row r="25" spans="1:43" s="345" customFormat="1">
      <c r="A25" s="516"/>
      <c r="B25" s="34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525"/>
      <c r="AQ25" s="1028">
        <f t="shared" si="1"/>
        <v>19</v>
      </c>
    </row>
    <row r="26" spans="1:43" s="345" customFormat="1">
      <c r="A26" s="516" t="str">
        <f>Assm!N27</f>
        <v>Upfront Fee</v>
      </c>
      <c r="B26" s="348"/>
      <c r="C26" s="156">
        <f ca="1">Assm!R27</f>
        <v>1405.6568326391778</v>
      </c>
      <c r="D26" s="188"/>
      <c r="E26" s="156">
        <f t="shared" ref="E26:AN26" ca="1" si="10">IF(E$7=Fin_Close,$C26,0)</f>
        <v>0</v>
      </c>
      <c r="F26" s="156">
        <f t="shared" ca="1" si="10"/>
        <v>0</v>
      </c>
      <c r="G26" s="156">
        <f t="shared" ca="1" si="10"/>
        <v>0</v>
      </c>
      <c r="H26" s="156">
        <f t="shared" ca="1" si="10"/>
        <v>0</v>
      </c>
      <c r="I26" s="156">
        <f t="shared" ca="1" si="10"/>
        <v>0</v>
      </c>
      <c r="J26" s="156">
        <f t="shared" ca="1" si="10"/>
        <v>0</v>
      </c>
      <c r="K26" s="156">
        <f t="shared" ca="1" si="10"/>
        <v>0</v>
      </c>
      <c r="L26" s="156">
        <f t="shared" ca="1" si="10"/>
        <v>0</v>
      </c>
      <c r="M26" s="156">
        <f t="shared" ca="1" si="10"/>
        <v>0</v>
      </c>
      <c r="N26" s="156">
        <f t="shared" ca="1" si="10"/>
        <v>0</v>
      </c>
      <c r="O26" s="156">
        <f t="shared" ca="1" si="10"/>
        <v>0</v>
      </c>
      <c r="P26" s="156">
        <f t="shared" ca="1" si="10"/>
        <v>0</v>
      </c>
      <c r="Q26" s="156">
        <f t="shared" ca="1" si="10"/>
        <v>0</v>
      </c>
      <c r="R26" s="156">
        <f t="shared" ca="1" si="10"/>
        <v>0</v>
      </c>
      <c r="S26" s="156">
        <f t="shared" ca="1" si="10"/>
        <v>0</v>
      </c>
      <c r="T26" s="156">
        <f t="shared" ca="1" si="10"/>
        <v>0</v>
      </c>
      <c r="U26" s="156">
        <f t="shared" ca="1" si="10"/>
        <v>0</v>
      </c>
      <c r="V26" s="156">
        <f t="shared" ca="1" si="10"/>
        <v>0</v>
      </c>
      <c r="W26" s="156">
        <f t="shared" ca="1" si="10"/>
        <v>0</v>
      </c>
      <c r="X26" s="156">
        <f t="shared" ca="1" si="10"/>
        <v>0</v>
      </c>
      <c r="Y26" s="156">
        <f t="shared" ca="1" si="10"/>
        <v>0</v>
      </c>
      <c r="Z26" s="156">
        <f t="shared" ca="1" si="10"/>
        <v>0</v>
      </c>
      <c r="AA26" s="156">
        <f t="shared" ca="1" si="10"/>
        <v>0</v>
      </c>
      <c r="AB26" s="156">
        <f t="shared" ca="1" si="10"/>
        <v>0</v>
      </c>
      <c r="AC26" s="156">
        <f t="shared" ca="1" si="10"/>
        <v>0</v>
      </c>
      <c r="AD26" s="156">
        <f t="shared" ca="1" si="10"/>
        <v>0</v>
      </c>
      <c r="AE26" s="156">
        <f t="shared" ca="1" si="10"/>
        <v>0</v>
      </c>
      <c r="AF26" s="156">
        <f t="shared" ca="1" si="10"/>
        <v>0</v>
      </c>
      <c r="AG26" s="156">
        <f t="shared" ca="1" si="10"/>
        <v>0</v>
      </c>
      <c r="AH26" s="156">
        <f t="shared" ca="1" si="10"/>
        <v>1405.6568326391778</v>
      </c>
      <c r="AI26" s="156">
        <f t="shared" ca="1" si="10"/>
        <v>0</v>
      </c>
      <c r="AJ26" s="156">
        <f t="shared" ca="1" si="10"/>
        <v>0</v>
      </c>
      <c r="AK26" s="156">
        <f t="shared" ca="1" si="10"/>
        <v>0</v>
      </c>
      <c r="AL26" s="156">
        <f t="shared" ca="1" si="10"/>
        <v>0</v>
      </c>
      <c r="AM26" s="156">
        <f t="shared" ca="1" si="10"/>
        <v>0</v>
      </c>
      <c r="AN26" s="156">
        <f t="shared" ca="1" si="10"/>
        <v>0</v>
      </c>
      <c r="AO26" s="188"/>
      <c r="AP26" s="474">
        <f t="shared" ref="AP26:AP31" ca="1" si="11">SUM(E26:AO26)</f>
        <v>1405.6568326391778</v>
      </c>
      <c r="AQ26" s="1028">
        <f t="shared" si="1"/>
        <v>20</v>
      </c>
    </row>
    <row r="27" spans="1:43" s="345" customFormat="1">
      <c r="A27" s="516" t="str">
        <f>Assm!N28</f>
        <v>Financing Costs (Borrower)</v>
      </c>
      <c r="B27" s="348"/>
      <c r="C27" s="156">
        <f>Assm!R28</f>
        <v>3055.55</v>
      </c>
      <c r="D27" s="188"/>
      <c r="E27" s="1114">
        <v>0</v>
      </c>
      <c r="F27" s="1114">
        <v>0</v>
      </c>
      <c r="G27" s="1114">
        <v>0</v>
      </c>
      <c r="H27" s="1114">
        <v>0</v>
      </c>
      <c r="I27" s="1114">
        <v>0</v>
      </c>
      <c r="J27" s="1114">
        <v>0</v>
      </c>
      <c r="K27" s="1114">
        <v>0</v>
      </c>
      <c r="L27" s="1114">
        <v>0</v>
      </c>
      <c r="M27" s="1114">
        <v>0</v>
      </c>
      <c r="N27" s="1114">
        <v>0</v>
      </c>
      <c r="O27" s="1114">
        <v>0</v>
      </c>
      <c r="P27" s="1114">
        <v>0</v>
      </c>
      <c r="Q27" s="1114">
        <v>0</v>
      </c>
      <c r="R27" s="1114">
        <v>0</v>
      </c>
      <c r="S27" s="1114">
        <v>0</v>
      </c>
      <c r="T27" s="1114">
        <v>0</v>
      </c>
      <c r="U27" s="1114">
        <v>0</v>
      </c>
      <c r="V27" s="1114">
        <v>0</v>
      </c>
      <c r="W27" s="1114">
        <v>0</v>
      </c>
      <c r="X27" s="1114">
        <v>0</v>
      </c>
      <c r="Y27" s="1114">
        <v>0</v>
      </c>
      <c r="Z27" s="1114">
        <v>0</v>
      </c>
      <c r="AA27" s="1114">
        <v>0</v>
      </c>
      <c r="AB27" s="1114">
        <v>0</v>
      </c>
      <c r="AC27" s="1114">
        <v>0</v>
      </c>
      <c r="AD27" s="1114">
        <v>0</v>
      </c>
      <c r="AE27" s="1114">
        <v>0</v>
      </c>
      <c r="AF27" s="1143">
        <f>$C27</f>
        <v>3055.55</v>
      </c>
      <c r="AG27" s="1114">
        <v>0</v>
      </c>
      <c r="AH27" s="1114">
        <v>0</v>
      </c>
      <c r="AI27" s="1114">
        <v>0</v>
      </c>
      <c r="AJ27" s="1114">
        <v>0</v>
      </c>
      <c r="AK27" s="1114">
        <v>0</v>
      </c>
      <c r="AL27" s="1114">
        <v>0</v>
      </c>
      <c r="AM27" s="1114">
        <v>0</v>
      </c>
      <c r="AN27" s="1114">
        <v>0</v>
      </c>
      <c r="AO27" s="188"/>
      <c r="AP27" s="474">
        <f t="shared" si="11"/>
        <v>3055.55</v>
      </c>
      <c r="AQ27" s="1028">
        <f t="shared" si="1"/>
        <v>21</v>
      </c>
    </row>
    <row r="28" spans="1:43" s="345" customFormat="1">
      <c r="A28" s="516" t="str">
        <f>Assm!N29</f>
        <v>Financing Costs (Other)</v>
      </c>
      <c r="B28" s="348"/>
      <c r="C28" s="156">
        <f>Assm!R29</f>
        <v>0</v>
      </c>
      <c r="D28" s="188"/>
      <c r="E28" s="1114">
        <v>0</v>
      </c>
      <c r="F28" s="1114">
        <v>0</v>
      </c>
      <c r="G28" s="1114">
        <v>0</v>
      </c>
      <c r="H28" s="1114">
        <v>0</v>
      </c>
      <c r="I28" s="1114">
        <v>0</v>
      </c>
      <c r="J28" s="1114">
        <v>0</v>
      </c>
      <c r="K28" s="1114">
        <v>0</v>
      </c>
      <c r="L28" s="1114">
        <v>0</v>
      </c>
      <c r="M28" s="1114">
        <v>0</v>
      </c>
      <c r="N28" s="1114">
        <v>0</v>
      </c>
      <c r="O28" s="1114">
        <v>0</v>
      </c>
      <c r="P28" s="1114">
        <v>0</v>
      </c>
      <c r="Q28" s="1114">
        <v>0</v>
      </c>
      <c r="R28" s="1114">
        <v>0</v>
      </c>
      <c r="S28" s="1114">
        <v>0</v>
      </c>
      <c r="T28" s="1114">
        <v>0</v>
      </c>
      <c r="U28" s="1114">
        <v>0</v>
      </c>
      <c r="V28" s="1114">
        <v>0</v>
      </c>
      <c r="W28" s="1114">
        <v>0</v>
      </c>
      <c r="X28" s="1114">
        <v>0</v>
      </c>
      <c r="Y28" s="1114">
        <v>0</v>
      </c>
      <c r="Z28" s="1114">
        <v>0</v>
      </c>
      <c r="AA28" s="1114">
        <v>0</v>
      </c>
      <c r="AB28" s="1114">
        <v>0</v>
      </c>
      <c r="AC28" s="1114">
        <v>0</v>
      </c>
      <c r="AD28" s="1114">
        <v>0</v>
      </c>
      <c r="AE28" s="1114">
        <v>0</v>
      </c>
      <c r="AF28" s="1143">
        <f>$C28</f>
        <v>0</v>
      </c>
      <c r="AG28" s="1114">
        <v>0</v>
      </c>
      <c r="AH28" s="1114">
        <v>0</v>
      </c>
      <c r="AI28" s="1114">
        <v>0</v>
      </c>
      <c r="AJ28" s="1114">
        <v>0</v>
      </c>
      <c r="AK28" s="1114">
        <v>0</v>
      </c>
      <c r="AL28" s="1114">
        <v>0</v>
      </c>
      <c r="AM28" s="1114">
        <v>0</v>
      </c>
      <c r="AN28" s="1114">
        <v>0</v>
      </c>
      <c r="AO28" s="188"/>
      <c r="AP28" s="474">
        <f t="shared" si="11"/>
        <v>0</v>
      </c>
      <c r="AQ28" s="1028">
        <f t="shared" si="1"/>
        <v>22</v>
      </c>
    </row>
    <row r="29" spans="1:43" s="345" customFormat="1">
      <c r="A29" s="516" t="str">
        <f>Assm!N30</f>
        <v>3rd Party Legal Fees</v>
      </c>
      <c r="B29" s="348"/>
      <c r="C29" s="156">
        <f>Assm!R30</f>
        <v>1526.85</v>
      </c>
      <c r="D29" s="188"/>
      <c r="E29" s="383">
        <f>E85</f>
        <v>0.82899999999999996</v>
      </c>
      <c r="F29" s="383">
        <f t="shared" ref="F29:X29" si="12">F85</f>
        <v>0</v>
      </c>
      <c r="G29" s="383">
        <f t="shared" si="12"/>
        <v>0</v>
      </c>
      <c r="H29" s="383">
        <f t="shared" si="12"/>
        <v>0.32100000000000001</v>
      </c>
      <c r="I29" s="383">
        <f t="shared" si="12"/>
        <v>0.67600000000000005</v>
      </c>
      <c r="J29" s="383">
        <f t="shared" si="12"/>
        <v>0</v>
      </c>
      <c r="K29" s="383">
        <f t="shared" si="12"/>
        <v>3.7450000000000001</v>
      </c>
      <c r="L29" s="383">
        <f t="shared" si="12"/>
        <v>0</v>
      </c>
      <c r="M29" s="383">
        <f t="shared" si="12"/>
        <v>129.06200000000001</v>
      </c>
      <c r="N29" s="383">
        <f t="shared" si="12"/>
        <v>5.2489999999999997</v>
      </c>
      <c r="O29" s="383">
        <f t="shared" si="12"/>
        <v>0.72299999999999998</v>
      </c>
      <c r="P29" s="383">
        <f t="shared" si="12"/>
        <v>0</v>
      </c>
      <c r="Q29" s="383">
        <f t="shared" si="12"/>
        <v>1.3720000000000001</v>
      </c>
      <c r="R29" s="383">
        <f t="shared" si="12"/>
        <v>0.75600000000000001</v>
      </c>
      <c r="S29" s="383">
        <f t="shared" si="12"/>
        <v>488.41</v>
      </c>
      <c r="T29" s="383">
        <f t="shared" si="12"/>
        <v>65.585999999999999</v>
      </c>
      <c r="U29" s="383">
        <f t="shared" si="12"/>
        <v>298.14400000000001</v>
      </c>
      <c r="V29" s="383">
        <f t="shared" si="12"/>
        <v>37.798000000000002</v>
      </c>
      <c r="W29" s="383">
        <f t="shared" si="12"/>
        <v>65.015000000000001</v>
      </c>
      <c r="X29" s="383">
        <f t="shared" si="12"/>
        <v>48</v>
      </c>
      <c r="Y29" s="1114">
        <v>0</v>
      </c>
      <c r="Z29" s="1114">
        <v>0</v>
      </c>
      <c r="AA29" s="1114">
        <v>0</v>
      </c>
      <c r="AB29" s="1114">
        <v>0</v>
      </c>
      <c r="AC29" s="1114">
        <v>0</v>
      </c>
      <c r="AD29" s="1114">
        <v>0</v>
      </c>
      <c r="AE29" s="1114">
        <v>0</v>
      </c>
      <c r="AF29" s="1143">
        <f>$C$29-SUM($E29:AE29)</f>
        <v>381.16399999999976</v>
      </c>
      <c r="AG29" s="1114">
        <v>0</v>
      </c>
      <c r="AH29" s="1114">
        <v>0</v>
      </c>
      <c r="AI29" s="1114">
        <v>0</v>
      </c>
      <c r="AJ29" s="1114">
        <v>0</v>
      </c>
      <c r="AK29" s="1114">
        <v>0</v>
      </c>
      <c r="AL29" s="1114">
        <v>0</v>
      </c>
      <c r="AM29" s="1114">
        <v>0</v>
      </c>
      <c r="AN29" s="1114">
        <v>0</v>
      </c>
      <c r="AO29" s="188"/>
      <c r="AP29" s="474">
        <f>SUM(E29:AO29)</f>
        <v>1526.85</v>
      </c>
      <c r="AQ29" s="1028">
        <f t="shared" si="1"/>
        <v>23</v>
      </c>
    </row>
    <row r="30" spans="1:43" s="345" customFormat="1">
      <c r="A30" s="516" t="str">
        <f>Assm!N31</f>
        <v xml:space="preserve">Construction Insurance </v>
      </c>
      <c r="B30" s="348"/>
      <c r="C30" s="298">
        <f>Assm!R31</f>
        <v>839.52200000000005</v>
      </c>
      <c r="D30" s="517"/>
      <c r="E30" s="1144">
        <f>E87</f>
        <v>0</v>
      </c>
      <c r="F30" s="1144">
        <f t="shared" ref="F30:X30" si="13">F87</f>
        <v>0</v>
      </c>
      <c r="G30" s="1144">
        <f t="shared" si="13"/>
        <v>0</v>
      </c>
      <c r="H30" s="1144">
        <f t="shared" si="13"/>
        <v>0</v>
      </c>
      <c r="I30" s="1144">
        <f t="shared" si="13"/>
        <v>0</v>
      </c>
      <c r="J30" s="1144">
        <f t="shared" si="13"/>
        <v>0</v>
      </c>
      <c r="K30" s="1144">
        <f t="shared" si="13"/>
        <v>0</v>
      </c>
      <c r="L30" s="1144">
        <f t="shared" si="13"/>
        <v>0</v>
      </c>
      <c r="M30" s="1144">
        <f t="shared" si="13"/>
        <v>0</v>
      </c>
      <c r="N30" s="1144">
        <f t="shared" si="13"/>
        <v>0</v>
      </c>
      <c r="O30" s="1144">
        <f t="shared" si="13"/>
        <v>55.543999999999997</v>
      </c>
      <c r="P30" s="1144">
        <f t="shared" si="13"/>
        <v>0</v>
      </c>
      <c r="Q30" s="1144">
        <f t="shared" si="13"/>
        <v>1.222</v>
      </c>
      <c r="R30" s="1144">
        <f t="shared" si="13"/>
        <v>-1.222</v>
      </c>
      <c r="S30" s="1144">
        <f t="shared" si="13"/>
        <v>1.222</v>
      </c>
      <c r="T30" s="1144">
        <f t="shared" si="13"/>
        <v>0</v>
      </c>
      <c r="U30" s="1144">
        <f t="shared" si="13"/>
        <v>328.69099999999997</v>
      </c>
      <c r="V30" s="1144">
        <f t="shared" si="13"/>
        <v>0</v>
      </c>
      <c r="W30" s="1144">
        <f t="shared" si="13"/>
        <v>0</v>
      </c>
      <c r="X30" s="1144">
        <f t="shared" si="13"/>
        <v>0</v>
      </c>
      <c r="Y30" s="1022">
        <v>0</v>
      </c>
      <c r="Z30" s="1022">
        <v>0</v>
      </c>
      <c r="AA30" s="1022">
        <v>0</v>
      </c>
      <c r="AB30" s="1022">
        <v>0</v>
      </c>
      <c r="AC30" s="1022">
        <v>0</v>
      </c>
      <c r="AD30" s="1022">
        <v>0</v>
      </c>
      <c r="AE30" s="1022">
        <v>0</v>
      </c>
      <c r="AF30" s="1145">
        <f>$C$30-SUM($E30:AE30)</f>
        <v>454.06500000000005</v>
      </c>
      <c r="AG30" s="1022">
        <v>0</v>
      </c>
      <c r="AH30" s="1022">
        <v>0</v>
      </c>
      <c r="AI30" s="1022">
        <v>0</v>
      </c>
      <c r="AJ30" s="1022">
        <v>0</v>
      </c>
      <c r="AK30" s="1022">
        <v>0</v>
      </c>
      <c r="AL30" s="1022">
        <v>0</v>
      </c>
      <c r="AM30" s="1022">
        <v>0</v>
      </c>
      <c r="AN30" s="1022">
        <v>0</v>
      </c>
      <c r="AO30" s="517"/>
      <c r="AP30" s="475">
        <f t="shared" si="11"/>
        <v>839.52200000000005</v>
      </c>
      <c r="AQ30" s="1028">
        <f t="shared" si="1"/>
        <v>24</v>
      </c>
    </row>
    <row r="31" spans="1:43" s="345" customFormat="1">
      <c r="A31" s="516" t="str">
        <f>Assm!N32</f>
        <v>Total 3rd Party Dev / Financing Costs</v>
      </c>
      <c r="B31" s="348"/>
      <c r="C31" s="156">
        <f ca="1">SUM(C26:C30)</f>
        <v>6827.5788326391785</v>
      </c>
      <c r="D31" s="188"/>
      <c r="E31" s="156">
        <f t="shared" ref="E31:AN31" ca="1" si="14">SUM(E26:E30)</f>
        <v>0.82899999999999996</v>
      </c>
      <c r="F31" s="156">
        <f t="shared" ca="1" si="14"/>
        <v>0</v>
      </c>
      <c r="G31" s="156">
        <f t="shared" ca="1" si="14"/>
        <v>0</v>
      </c>
      <c r="H31" s="156">
        <f t="shared" ca="1" si="14"/>
        <v>0.32100000000000001</v>
      </c>
      <c r="I31" s="156">
        <f t="shared" ca="1" si="14"/>
        <v>0.67600000000000005</v>
      </c>
      <c r="J31" s="156">
        <f t="shared" ca="1" si="14"/>
        <v>0</v>
      </c>
      <c r="K31" s="156">
        <f t="shared" ca="1" si="14"/>
        <v>3.7450000000000001</v>
      </c>
      <c r="L31" s="156">
        <f t="shared" ca="1" si="14"/>
        <v>0</v>
      </c>
      <c r="M31" s="156">
        <f t="shared" ca="1" si="14"/>
        <v>129.06200000000001</v>
      </c>
      <c r="N31" s="156">
        <f t="shared" ca="1" si="14"/>
        <v>5.2489999999999997</v>
      </c>
      <c r="O31" s="156">
        <f t="shared" ca="1" si="14"/>
        <v>56.266999999999996</v>
      </c>
      <c r="P31" s="156">
        <f t="shared" ca="1" si="14"/>
        <v>0</v>
      </c>
      <c r="Q31" s="156">
        <f t="shared" ca="1" si="14"/>
        <v>2.5940000000000003</v>
      </c>
      <c r="R31" s="156">
        <f t="shared" ca="1" si="14"/>
        <v>-0.46599999999999997</v>
      </c>
      <c r="S31" s="156">
        <f t="shared" ca="1" si="14"/>
        <v>489.63200000000001</v>
      </c>
      <c r="T31" s="156">
        <f t="shared" ca="1" si="14"/>
        <v>65.585999999999999</v>
      </c>
      <c r="U31" s="156">
        <f t="shared" ca="1" si="14"/>
        <v>626.83500000000004</v>
      </c>
      <c r="V31" s="156">
        <f t="shared" ca="1" si="14"/>
        <v>37.798000000000002</v>
      </c>
      <c r="W31" s="156">
        <f t="shared" ca="1" si="14"/>
        <v>65.015000000000001</v>
      </c>
      <c r="X31" s="156">
        <f t="shared" ca="1" si="14"/>
        <v>48</v>
      </c>
      <c r="Y31" s="156">
        <f t="shared" ca="1" si="14"/>
        <v>0</v>
      </c>
      <c r="Z31" s="156">
        <f t="shared" ca="1" si="14"/>
        <v>0</v>
      </c>
      <c r="AA31" s="156">
        <f t="shared" ca="1" si="14"/>
        <v>0</v>
      </c>
      <c r="AB31" s="156">
        <f t="shared" ca="1" si="14"/>
        <v>0</v>
      </c>
      <c r="AC31" s="156">
        <f t="shared" ca="1" si="14"/>
        <v>0</v>
      </c>
      <c r="AD31" s="156">
        <f t="shared" ca="1" si="14"/>
        <v>0</v>
      </c>
      <c r="AE31" s="156">
        <f t="shared" ca="1" si="14"/>
        <v>0</v>
      </c>
      <c r="AF31" s="156">
        <f t="shared" ca="1" si="14"/>
        <v>3890.779</v>
      </c>
      <c r="AG31" s="156">
        <f t="shared" ca="1" si="14"/>
        <v>0</v>
      </c>
      <c r="AH31" s="156">
        <f t="shared" ca="1" si="14"/>
        <v>1405.6568326391778</v>
      </c>
      <c r="AI31" s="156">
        <f t="shared" ca="1" si="14"/>
        <v>0</v>
      </c>
      <c r="AJ31" s="156">
        <f t="shared" ca="1" si="14"/>
        <v>0</v>
      </c>
      <c r="AK31" s="156">
        <f t="shared" ca="1" si="14"/>
        <v>0</v>
      </c>
      <c r="AL31" s="156">
        <f t="shared" ca="1" si="14"/>
        <v>0</v>
      </c>
      <c r="AM31" s="156">
        <f t="shared" ca="1" si="14"/>
        <v>0</v>
      </c>
      <c r="AN31" s="156">
        <f t="shared" ca="1" si="14"/>
        <v>0</v>
      </c>
      <c r="AO31" s="188"/>
      <c r="AP31" s="474">
        <f t="shared" ca="1" si="11"/>
        <v>6827.5788326391785</v>
      </c>
      <c r="AQ31" s="1028">
        <f t="shared" si="1"/>
        <v>25</v>
      </c>
    </row>
    <row r="32" spans="1:43" s="345" customFormat="1">
      <c r="A32" s="516"/>
      <c r="B32" s="34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525"/>
      <c r="AQ32" s="1028">
        <f t="shared" si="1"/>
        <v>26</v>
      </c>
    </row>
    <row r="33" spans="1:46" s="345" customFormat="1">
      <c r="A33" s="516" t="str">
        <f>Assm!N34</f>
        <v>Development Costs</v>
      </c>
      <c r="B33" s="348"/>
      <c r="C33" s="156">
        <f>Assm!R34</f>
        <v>7384.6381167999998</v>
      </c>
      <c r="D33" s="188"/>
      <c r="E33" s="383">
        <f>E93</f>
        <v>2884.998</v>
      </c>
      <c r="F33" s="383">
        <f t="shared" ref="F33:X33" si="15">F93</f>
        <v>0</v>
      </c>
      <c r="G33" s="383">
        <f t="shared" si="15"/>
        <v>0</v>
      </c>
      <c r="H33" s="383">
        <f t="shared" si="15"/>
        <v>0</v>
      </c>
      <c r="I33" s="383">
        <f t="shared" si="15"/>
        <v>-7.8E-2</v>
      </c>
      <c r="J33" s="383">
        <f t="shared" si="15"/>
        <v>1.385</v>
      </c>
      <c r="K33" s="383">
        <f t="shared" si="15"/>
        <v>-9.4E-2</v>
      </c>
      <c r="L33" s="383">
        <f t="shared" si="15"/>
        <v>1.589</v>
      </c>
      <c r="M33" s="383">
        <f t="shared" si="15"/>
        <v>555.58699999999999</v>
      </c>
      <c r="N33" s="383">
        <f t="shared" si="15"/>
        <v>-79.861999999999995</v>
      </c>
      <c r="O33" s="383">
        <f t="shared" si="15"/>
        <v>20.896999999999998</v>
      </c>
      <c r="P33" s="383">
        <f t="shared" si="15"/>
        <v>21.949000000000002</v>
      </c>
      <c r="Q33" s="383">
        <f t="shared" si="15"/>
        <v>6.7309999999999999</v>
      </c>
      <c r="R33" s="383">
        <f t="shared" si="15"/>
        <v>-0.25600000000000001</v>
      </c>
      <c r="S33" s="383">
        <f t="shared" si="15"/>
        <v>87.049000000000007</v>
      </c>
      <c r="T33" s="383">
        <f t="shared" si="15"/>
        <v>38.5</v>
      </c>
      <c r="U33" s="383">
        <f t="shared" si="15"/>
        <v>834.60799999999995</v>
      </c>
      <c r="V33" s="383">
        <f t="shared" si="15"/>
        <v>162.28800000000001</v>
      </c>
      <c r="W33" s="383">
        <f t="shared" si="15"/>
        <v>1224.2646666666665</v>
      </c>
      <c r="X33" s="383">
        <f t="shared" si="15"/>
        <v>1071.9656666666665</v>
      </c>
      <c r="Y33" s="1114">
        <v>0</v>
      </c>
      <c r="Z33" s="1114">
        <v>0</v>
      </c>
      <c r="AA33" s="1114">
        <v>0</v>
      </c>
      <c r="AB33" s="1114">
        <v>0</v>
      </c>
      <c r="AC33" s="1114">
        <v>0</v>
      </c>
      <c r="AD33" s="1114">
        <v>0</v>
      </c>
      <c r="AE33" s="1114">
        <v>0</v>
      </c>
      <c r="AF33" s="1143">
        <f>$C$36-SUM($E33:AE33)</f>
        <v>1745.1167834666667</v>
      </c>
      <c r="AG33" s="1114">
        <v>0</v>
      </c>
      <c r="AH33" s="1114">
        <v>0</v>
      </c>
      <c r="AI33" s="1114">
        <v>0</v>
      </c>
      <c r="AJ33" s="1114">
        <v>0</v>
      </c>
      <c r="AK33" s="1114">
        <v>0</v>
      </c>
      <c r="AL33" s="1114">
        <v>0</v>
      </c>
      <c r="AM33" s="1114">
        <v>0</v>
      </c>
      <c r="AN33" s="1114">
        <v>0</v>
      </c>
      <c r="AO33" s="188"/>
      <c r="AP33" s="474">
        <f>SUM(E33:AO33)</f>
        <v>8576.6381168000007</v>
      </c>
      <c r="AQ33" s="1028">
        <f t="shared" si="1"/>
        <v>27</v>
      </c>
    </row>
    <row r="34" spans="1:46" s="345" customFormat="1">
      <c r="A34" s="516" t="str">
        <f>Assm!N35</f>
        <v>Development Fee</v>
      </c>
      <c r="B34" s="348"/>
      <c r="C34" s="156">
        <f>Assm!R35</f>
        <v>0</v>
      </c>
      <c r="D34" s="188"/>
      <c r="E34" s="1114">
        <v>0</v>
      </c>
      <c r="F34" s="1114">
        <v>0</v>
      </c>
      <c r="G34" s="1114">
        <v>0</v>
      </c>
      <c r="H34" s="1114">
        <v>0</v>
      </c>
      <c r="I34" s="1114">
        <v>0</v>
      </c>
      <c r="J34" s="1114">
        <v>0</v>
      </c>
      <c r="K34" s="1114">
        <v>0</v>
      </c>
      <c r="L34" s="1114">
        <v>0</v>
      </c>
      <c r="M34" s="1114">
        <v>0</v>
      </c>
      <c r="N34" s="1114">
        <v>0</v>
      </c>
      <c r="O34" s="1114">
        <v>0</v>
      </c>
      <c r="P34" s="1114">
        <v>0</v>
      </c>
      <c r="Q34" s="1114">
        <v>0</v>
      </c>
      <c r="R34" s="1114">
        <v>0</v>
      </c>
      <c r="S34" s="1114">
        <v>0</v>
      </c>
      <c r="T34" s="1114">
        <v>0</v>
      </c>
      <c r="U34" s="1114">
        <v>0</v>
      </c>
      <c r="V34" s="1114">
        <v>0</v>
      </c>
      <c r="W34" s="1114">
        <v>0</v>
      </c>
      <c r="X34" s="1114">
        <v>0</v>
      </c>
      <c r="Y34" s="1114">
        <v>0</v>
      </c>
      <c r="Z34" s="1114">
        <v>0</v>
      </c>
      <c r="AA34" s="1114">
        <v>0</v>
      </c>
      <c r="AB34" s="1114">
        <v>0</v>
      </c>
      <c r="AC34" s="1114">
        <v>0</v>
      </c>
      <c r="AD34" s="1114">
        <v>0</v>
      </c>
      <c r="AE34" s="1114">
        <v>0</v>
      </c>
      <c r="AF34" s="1114">
        <v>0</v>
      </c>
      <c r="AG34" s="1114">
        <v>0</v>
      </c>
      <c r="AH34" s="1114">
        <v>0</v>
      </c>
      <c r="AI34" s="1114">
        <v>0</v>
      </c>
      <c r="AJ34" s="1114">
        <v>0</v>
      </c>
      <c r="AK34" s="1114">
        <v>0</v>
      </c>
      <c r="AL34" s="1114">
        <v>0</v>
      </c>
      <c r="AM34" s="1114">
        <v>0</v>
      </c>
      <c r="AN34" s="1114">
        <v>0</v>
      </c>
      <c r="AO34" s="188"/>
      <c r="AP34" s="474">
        <f>SUM(E34:AO34)</f>
        <v>0</v>
      </c>
      <c r="AQ34" s="1028">
        <f t="shared" si="1"/>
        <v>28</v>
      </c>
    </row>
    <row r="35" spans="1:46" s="345" customFormat="1">
      <c r="A35" s="516" t="str">
        <f>Assm!N36</f>
        <v>Operations Mobilization</v>
      </c>
      <c r="B35" s="348"/>
      <c r="C35" s="298">
        <f>Assm!R36</f>
        <v>1192</v>
      </c>
      <c r="D35" s="517"/>
      <c r="E35" s="1022">
        <v>0</v>
      </c>
      <c r="F35" s="1022">
        <v>0</v>
      </c>
      <c r="G35" s="1022">
        <v>0</v>
      </c>
      <c r="H35" s="1022">
        <v>0</v>
      </c>
      <c r="I35" s="1022">
        <v>0</v>
      </c>
      <c r="J35" s="1022">
        <v>0</v>
      </c>
      <c r="K35" s="1022">
        <v>0</v>
      </c>
      <c r="L35" s="1022">
        <v>0</v>
      </c>
      <c r="M35" s="1022">
        <v>0</v>
      </c>
      <c r="N35" s="1022">
        <v>0</v>
      </c>
      <c r="O35" s="1022">
        <v>0</v>
      </c>
      <c r="P35" s="1022">
        <v>0</v>
      </c>
      <c r="Q35" s="1022">
        <v>0</v>
      </c>
      <c r="R35" s="1022">
        <v>0</v>
      </c>
      <c r="S35" s="1022">
        <v>0</v>
      </c>
      <c r="T35" s="1022">
        <v>0</v>
      </c>
      <c r="U35" s="1022">
        <v>0</v>
      </c>
      <c r="V35" s="1022">
        <v>0</v>
      </c>
      <c r="W35" s="1022">
        <v>0</v>
      </c>
      <c r="X35" s="1022">
        <v>0</v>
      </c>
      <c r="Y35" s="1022">
        <v>0</v>
      </c>
      <c r="Z35" s="1022">
        <v>0</v>
      </c>
      <c r="AA35" s="1022">
        <v>0</v>
      </c>
      <c r="AB35" s="1022">
        <v>0</v>
      </c>
      <c r="AC35" s="1022">
        <v>0</v>
      </c>
      <c r="AD35" s="1022">
        <v>0</v>
      </c>
      <c r="AE35" s="1022">
        <v>0</v>
      </c>
      <c r="AF35" s="1022">
        <v>0</v>
      </c>
      <c r="AG35" s="1022">
        <v>0</v>
      </c>
      <c r="AH35" s="1022">
        <v>0</v>
      </c>
      <c r="AI35" s="1022">
        <v>0</v>
      </c>
      <c r="AJ35" s="1022">
        <v>0</v>
      </c>
      <c r="AK35" s="1022">
        <v>0</v>
      </c>
      <c r="AL35" s="1022">
        <v>0</v>
      </c>
      <c r="AM35" s="1022">
        <v>0</v>
      </c>
      <c r="AN35" s="1022">
        <v>0</v>
      </c>
      <c r="AO35" s="517"/>
      <c r="AP35" s="475">
        <f>SUM(E35:AO35)</f>
        <v>0</v>
      </c>
      <c r="AQ35" s="1028">
        <f t="shared" si="1"/>
        <v>29</v>
      </c>
    </row>
    <row r="36" spans="1:46" s="345" customFormat="1">
      <c r="A36" s="516" t="str">
        <f>Assm!N37</f>
        <v>Total Development Costs / Fees</v>
      </c>
      <c r="B36" s="348"/>
      <c r="C36" s="156">
        <f>SUM(C33:C35)</f>
        <v>8576.6381168000007</v>
      </c>
      <c r="D36" s="188"/>
      <c r="E36" s="156">
        <f t="shared" ref="E36:AN36" si="16">SUM(E33:E35)</f>
        <v>2884.998</v>
      </c>
      <c r="F36" s="156">
        <f t="shared" si="16"/>
        <v>0</v>
      </c>
      <c r="G36" s="156">
        <f t="shared" si="16"/>
        <v>0</v>
      </c>
      <c r="H36" s="156">
        <f t="shared" si="16"/>
        <v>0</v>
      </c>
      <c r="I36" s="156">
        <f t="shared" si="16"/>
        <v>-7.8E-2</v>
      </c>
      <c r="J36" s="156">
        <f t="shared" si="16"/>
        <v>1.385</v>
      </c>
      <c r="K36" s="156">
        <f t="shared" si="16"/>
        <v>-9.4E-2</v>
      </c>
      <c r="L36" s="156">
        <f t="shared" si="16"/>
        <v>1.589</v>
      </c>
      <c r="M36" s="156">
        <f t="shared" si="16"/>
        <v>555.58699999999999</v>
      </c>
      <c r="N36" s="156">
        <f t="shared" si="16"/>
        <v>-79.861999999999995</v>
      </c>
      <c r="O36" s="156">
        <f t="shared" si="16"/>
        <v>20.896999999999998</v>
      </c>
      <c r="P36" s="156">
        <f t="shared" si="16"/>
        <v>21.949000000000002</v>
      </c>
      <c r="Q36" s="156">
        <f t="shared" si="16"/>
        <v>6.7309999999999999</v>
      </c>
      <c r="R36" s="156">
        <f t="shared" si="16"/>
        <v>-0.25600000000000001</v>
      </c>
      <c r="S36" s="156">
        <f t="shared" si="16"/>
        <v>87.049000000000007</v>
      </c>
      <c r="T36" s="156">
        <f t="shared" si="16"/>
        <v>38.5</v>
      </c>
      <c r="U36" s="156">
        <f t="shared" si="16"/>
        <v>834.60799999999995</v>
      </c>
      <c r="V36" s="156">
        <f t="shared" si="16"/>
        <v>162.28800000000001</v>
      </c>
      <c r="W36" s="156">
        <f t="shared" si="16"/>
        <v>1224.2646666666665</v>
      </c>
      <c r="X36" s="156">
        <f t="shared" si="16"/>
        <v>1071.9656666666665</v>
      </c>
      <c r="Y36" s="156">
        <f t="shared" si="16"/>
        <v>0</v>
      </c>
      <c r="Z36" s="156">
        <f t="shared" si="16"/>
        <v>0</v>
      </c>
      <c r="AA36" s="156">
        <f t="shared" si="16"/>
        <v>0</v>
      </c>
      <c r="AB36" s="156">
        <f t="shared" si="16"/>
        <v>0</v>
      </c>
      <c r="AC36" s="156">
        <f t="shared" si="16"/>
        <v>0</v>
      </c>
      <c r="AD36" s="156">
        <f t="shared" si="16"/>
        <v>0</v>
      </c>
      <c r="AE36" s="156">
        <f t="shared" si="16"/>
        <v>0</v>
      </c>
      <c r="AF36" s="156">
        <f t="shared" si="16"/>
        <v>1745.1167834666667</v>
      </c>
      <c r="AG36" s="156">
        <f t="shared" si="16"/>
        <v>0</v>
      </c>
      <c r="AH36" s="156">
        <f t="shared" si="16"/>
        <v>0</v>
      </c>
      <c r="AI36" s="156">
        <f t="shared" si="16"/>
        <v>0</v>
      </c>
      <c r="AJ36" s="156">
        <f t="shared" si="16"/>
        <v>0</v>
      </c>
      <c r="AK36" s="156">
        <f t="shared" si="16"/>
        <v>0</v>
      </c>
      <c r="AL36" s="156">
        <f t="shared" si="16"/>
        <v>0</v>
      </c>
      <c r="AM36" s="156">
        <f t="shared" si="16"/>
        <v>0</v>
      </c>
      <c r="AN36" s="156">
        <f t="shared" si="16"/>
        <v>0</v>
      </c>
      <c r="AO36" s="188"/>
      <c r="AP36" s="474">
        <f>SUM(E36:AO36)</f>
        <v>8576.6381168000007</v>
      </c>
      <c r="AQ36" s="1028">
        <f t="shared" si="1"/>
        <v>30</v>
      </c>
    </row>
    <row r="37" spans="1:46" s="345" customFormat="1">
      <c r="A37" s="516"/>
      <c r="B37" s="348"/>
      <c r="C37" s="188"/>
      <c r="D37" s="188"/>
      <c r="E37" s="1147">
        <f>E76+E77</f>
        <v>0</v>
      </c>
      <c r="F37" s="1147">
        <f t="shared" ref="F37:AC37" si="17">F76+F77</f>
        <v>0</v>
      </c>
      <c r="G37" s="1147">
        <f t="shared" si="17"/>
        <v>0</v>
      </c>
      <c r="H37" s="1147">
        <f t="shared" si="17"/>
        <v>0</v>
      </c>
      <c r="I37" s="1147">
        <f t="shared" si="17"/>
        <v>0</v>
      </c>
      <c r="J37" s="1147">
        <f t="shared" si="17"/>
        <v>4072.33637</v>
      </c>
      <c r="K37" s="1147">
        <f t="shared" si="17"/>
        <v>0</v>
      </c>
      <c r="L37" s="1147">
        <f t="shared" si="17"/>
        <v>0</v>
      </c>
      <c r="M37" s="1147">
        <f t="shared" si="17"/>
        <v>6300</v>
      </c>
      <c r="N37" s="1147">
        <f t="shared" si="17"/>
        <v>4327</v>
      </c>
      <c r="O37" s="1147">
        <f t="shared" si="17"/>
        <v>2178</v>
      </c>
      <c r="P37" s="1147">
        <f t="shared" si="17"/>
        <v>7899.509</v>
      </c>
      <c r="Q37" s="1147">
        <f t="shared" si="17"/>
        <v>5560</v>
      </c>
      <c r="R37" s="1147">
        <f t="shared" si="17"/>
        <v>4625</v>
      </c>
      <c r="S37" s="1147">
        <f t="shared" si="17"/>
        <v>4996.1589999999997</v>
      </c>
      <c r="T37" s="1147">
        <f t="shared" si="17"/>
        <v>19985.376</v>
      </c>
      <c r="U37" s="1147">
        <f t="shared" si="17"/>
        <v>5445.7039999999997</v>
      </c>
      <c r="V37" s="1147">
        <f t="shared" si="17"/>
        <v>0</v>
      </c>
      <c r="W37" s="1147">
        <f t="shared" si="17"/>
        <v>5128</v>
      </c>
      <c r="X37" s="1147">
        <f t="shared" si="17"/>
        <v>8600</v>
      </c>
      <c r="Y37" s="1147">
        <f t="shared" si="17"/>
        <v>8200</v>
      </c>
      <c r="Z37" s="1147">
        <f t="shared" si="17"/>
        <v>7594</v>
      </c>
      <c r="AA37" s="1147">
        <f t="shared" si="17"/>
        <v>5990</v>
      </c>
      <c r="AB37" s="1147">
        <f t="shared" si="17"/>
        <v>0</v>
      </c>
      <c r="AC37" s="1147">
        <f t="shared" si="17"/>
        <v>5400</v>
      </c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525"/>
      <c r="AQ37" s="1028">
        <f t="shared" si="1"/>
        <v>31</v>
      </c>
    </row>
    <row r="38" spans="1:46" s="345" customFormat="1">
      <c r="A38" s="516" t="str">
        <f>Assm!N39</f>
        <v xml:space="preserve">Working Capital </v>
      </c>
      <c r="B38" s="348"/>
      <c r="C38" s="298">
        <f>Wcap</f>
        <v>0</v>
      </c>
      <c r="D38" s="188"/>
      <c r="E38" s="1022">
        <f>E37-E49</f>
        <v>-4080.8270000000002</v>
      </c>
      <c r="F38" s="1022">
        <f t="shared" ref="F38:X38" si="18">F37-F49</f>
        <v>0</v>
      </c>
      <c r="G38" s="1022">
        <f t="shared" si="18"/>
        <v>0</v>
      </c>
      <c r="H38" s="1022">
        <f t="shared" si="18"/>
        <v>-189.33799999999999</v>
      </c>
      <c r="I38" s="1022">
        <f t="shared" si="18"/>
        <v>-37.533000000000001</v>
      </c>
      <c r="J38" s="1022">
        <f t="shared" si="18"/>
        <v>4048.3393700000001</v>
      </c>
      <c r="K38" s="1022">
        <f t="shared" si="18"/>
        <v>-3.6510000000000002</v>
      </c>
      <c r="L38" s="1022">
        <f t="shared" si="18"/>
        <v>-337.02800000000002</v>
      </c>
      <c r="M38" s="1022">
        <f t="shared" si="18"/>
        <v>-616.63600000000042</v>
      </c>
      <c r="N38" s="1022">
        <f t="shared" si="18"/>
        <v>3984.6689999999999</v>
      </c>
      <c r="O38" s="1022">
        <f t="shared" si="18"/>
        <v>-2562.848</v>
      </c>
      <c r="P38" s="1022">
        <f t="shared" si="18"/>
        <v>6282.683</v>
      </c>
      <c r="Q38" s="1022">
        <f t="shared" si="18"/>
        <v>884.8730000000005</v>
      </c>
      <c r="R38" s="1022">
        <f t="shared" si="18"/>
        <v>1256.8990000000003</v>
      </c>
      <c r="S38" s="1022">
        <f t="shared" si="18"/>
        <v>-507.41100000000006</v>
      </c>
      <c r="T38" s="1022">
        <f t="shared" si="18"/>
        <v>8131.969000000001</v>
      </c>
      <c r="U38" s="1022">
        <f t="shared" si="18"/>
        <v>185.11399999999958</v>
      </c>
      <c r="V38" s="1022">
        <f t="shared" si="18"/>
        <v>-8667.643</v>
      </c>
      <c r="W38" s="1022">
        <f t="shared" si="18"/>
        <v>-3407.3993666666665</v>
      </c>
      <c r="X38" s="1022">
        <f t="shared" si="18"/>
        <v>-429.91866666666647</v>
      </c>
      <c r="Y38" s="1022">
        <f>Y37-Y49</f>
        <v>0</v>
      </c>
      <c r="Z38" s="1022">
        <f>Z37-Z49</f>
        <v>0</v>
      </c>
      <c r="AA38" s="1022">
        <f>AA37-AA49</f>
        <v>0</v>
      </c>
      <c r="AB38" s="1022">
        <f>AB37-AB49</f>
        <v>0</v>
      </c>
      <c r="AC38" s="1022">
        <f>AC37-AC49</f>
        <v>0</v>
      </c>
      <c r="AD38" s="1022">
        <v>0</v>
      </c>
      <c r="AE38" s="1022">
        <v>0</v>
      </c>
      <c r="AF38" s="1022">
        <v>0</v>
      </c>
      <c r="AG38" s="1022">
        <v>0</v>
      </c>
      <c r="AH38" s="1022">
        <v>0</v>
      </c>
      <c r="AI38" s="1022">
        <v>0</v>
      </c>
      <c r="AJ38" s="1022">
        <v>0</v>
      </c>
      <c r="AK38" s="1022">
        <f>-SUM(E38:AJ38)</f>
        <v>-3934.3133366666661</v>
      </c>
      <c r="AL38" s="1022">
        <v>0</v>
      </c>
      <c r="AM38" s="1022">
        <v>0</v>
      </c>
      <c r="AN38" s="1022">
        <v>0</v>
      </c>
      <c r="AO38" s="188"/>
      <c r="AP38" s="475">
        <f>SUM(E38:AO38)</f>
        <v>0</v>
      </c>
      <c r="AQ38" s="1028">
        <f t="shared" si="1"/>
        <v>32</v>
      </c>
    </row>
    <row r="39" spans="1:46" s="345" customFormat="1">
      <c r="A39" s="516" t="str">
        <f>Assm!N40</f>
        <v>Total Other Costs</v>
      </c>
      <c r="B39" s="348"/>
      <c r="C39" s="156">
        <f>SUM(C38:C38)</f>
        <v>0</v>
      </c>
      <c r="D39" s="188"/>
      <c r="E39" s="156">
        <f t="shared" ref="E39:AN39" si="19">SUM(E38:E38)</f>
        <v>-4080.8270000000002</v>
      </c>
      <c r="F39" s="156">
        <f t="shared" si="19"/>
        <v>0</v>
      </c>
      <c r="G39" s="156">
        <f t="shared" si="19"/>
        <v>0</v>
      </c>
      <c r="H39" s="156">
        <f t="shared" si="19"/>
        <v>-189.33799999999999</v>
      </c>
      <c r="I39" s="156">
        <f t="shared" si="19"/>
        <v>-37.533000000000001</v>
      </c>
      <c r="J39" s="156">
        <f t="shared" si="19"/>
        <v>4048.3393700000001</v>
      </c>
      <c r="K39" s="156">
        <f t="shared" si="19"/>
        <v>-3.6510000000000002</v>
      </c>
      <c r="L39" s="156">
        <f t="shared" si="19"/>
        <v>-337.02800000000002</v>
      </c>
      <c r="M39" s="156">
        <f t="shared" si="19"/>
        <v>-616.63600000000042</v>
      </c>
      <c r="N39" s="156">
        <f t="shared" si="19"/>
        <v>3984.6689999999999</v>
      </c>
      <c r="O39" s="156">
        <f t="shared" si="19"/>
        <v>-2562.848</v>
      </c>
      <c r="P39" s="156">
        <f t="shared" si="19"/>
        <v>6282.683</v>
      </c>
      <c r="Q39" s="156">
        <f t="shared" si="19"/>
        <v>884.8730000000005</v>
      </c>
      <c r="R39" s="156">
        <f t="shared" si="19"/>
        <v>1256.8990000000003</v>
      </c>
      <c r="S39" s="156">
        <f t="shared" si="19"/>
        <v>-507.41100000000006</v>
      </c>
      <c r="T39" s="156">
        <f t="shared" si="19"/>
        <v>8131.969000000001</v>
      </c>
      <c r="U39" s="156">
        <f t="shared" si="19"/>
        <v>185.11399999999958</v>
      </c>
      <c r="V39" s="156">
        <f t="shared" si="19"/>
        <v>-8667.643</v>
      </c>
      <c r="W39" s="156">
        <f t="shared" si="19"/>
        <v>-3407.3993666666665</v>
      </c>
      <c r="X39" s="156">
        <f t="shared" si="19"/>
        <v>-429.91866666666647</v>
      </c>
      <c r="Y39" s="156">
        <f t="shared" si="19"/>
        <v>0</v>
      </c>
      <c r="Z39" s="156">
        <f t="shared" si="19"/>
        <v>0</v>
      </c>
      <c r="AA39" s="156">
        <f t="shared" si="19"/>
        <v>0</v>
      </c>
      <c r="AB39" s="156">
        <f t="shared" si="19"/>
        <v>0</v>
      </c>
      <c r="AC39" s="156">
        <f t="shared" si="19"/>
        <v>0</v>
      </c>
      <c r="AD39" s="156">
        <f t="shared" si="19"/>
        <v>0</v>
      </c>
      <c r="AE39" s="156">
        <f t="shared" si="19"/>
        <v>0</v>
      </c>
      <c r="AF39" s="156">
        <f t="shared" si="19"/>
        <v>0</v>
      </c>
      <c r="AG39" s="156">
        <f t="shared" si="19"/>
        <v>0</v>
      </c>
      <c r="AH39" s="156">
        <f t="shared" si="19"/>
        <v>0</v>
      </c>
      <c r="AI39" s="156">
        <f t="shared" si="19"/>
        <v>0</v>
      </c>
      <c r="AJ39" s="156">
        <f t="shared" si="19"/>
        <v>0</v>
      </c>
      <c r="AK39" s="156">
        <f t="shared" si="19"/>
        <v>-3934.3133366666661</v>
      </c>
      <c r="AL39" s="156">
        <f t="shared" si="19"/>
        <v>0</v>
      </c>
      <c r="AM39" s="156">
        <f t="shared" si="19"/>
        <v>0</v>
      </c>
      <c r="AN39" s="156">
        <f t="shared" si="19"/>
        <v>0</v>
      </c>
      <c r="AO39" s="188"/>
      <c r="AP39" s="474">
        <f>SUM(E39:AO39)</f>
        <v>0</v>
      </c>
      <c r="AQ39" s="1028">
        <f t="shared" si="1"/>
        <v>33</v>
      </c>
    </row>
    <row r="40" spans="1:46" s="345" customFormat="1">
      <c r="A40" s="516"/>
      <c r="B40" s="34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525"/>
      <c r="AQ40" s="1028">
        <f t="shared" si="1"/>
        <v>34</v>
      </c>
    </row>
    <row r="41" spans="1:46" s="345" customFormat="1">
      <c r="A41" s="516" t="str">
        <f>Assm!N42</f>
        <v>Contingency - Change Orders</v>
      </c>
      <c r="B41" s="348"/>
      <c r="C41" s="156">
        <f>Assm!R42</f>
        <v>5227.0969999999998</v>
      </c>
      <c r="D41" s="188"/>
      <c r="E41" s="1114">
        <v>0</v>
      </c>
      <c r="F41" s="1114">
        <v>0</v>
      </c>
      <c r="G41" s="1114">
        <v>0</v>
      </c>
      <c r="H41" s="1114">
        <v>0</v>
      </c>
      <c r="I41" s="1114">
        <v>0</v>
      </c>
      <c r="J41" s="1114">
        <v>0</v>
      </c>
      <c r="K41" s="1114">
        <v>0</v>
      </c>
      <c r="L41" s="1114">
        <v>0</v>
      </c>
      <c r="M41" s="1114">
        <v>0</v>
      </c>
      <c r="N41" s="1114">
        <v>0</v>
      </c>
      <c r="O41" s="1114">
        <v>0</v>
      </c>
      <c r="P41" s="1114">
        <v>0</v>
      </c>
      <c r="Q41" s="1114">
        <v>0</v>
      </c>
      <c r="R41" s="1114">
        <v>0</v>
      </c>
      <c r="S41" s="1114">
        <v>0</v>
      </c>
      <c r="T41" s="1114">
        <v>0</v>
      </c>
      <c r="U41" s="1114">
        <v>0</v>
      </c>
      <c r="V41" s="1114">
        <v>0</v>
      </c>
      <c r="W41" s="1114">
        <v>0</v>
      </c>
      <c r="X41" s="1114">
        <v>0</v>
      </c>
      <c r="Y41" s="1114">
        <v>0</v>
      </c>
      <c r="Z41" s="1114">
        <v>0</v>
      </c>
      <c r="AA41" s="1114">
        <v>0</v>
      </c>
      <c r="AB41" s="1114">
        <v>0</v>
      </c>
      <c r="AC41" s="1114">
        <v>0</v>
      </c>
      <c r="AD41" s="1114">
        <v>0</v>
      </c>
      <c r="AE41" s="1114">
        <v>0</v>
      </c>
      <c r="AF41" s="1114">
        <v>0</v>
      </c>
      <c r="AG41" s="1114">
        <v>0</v>
      </c>
      <c r="AH41" s="1114">
        <v>0</v>
      </c>
      <c r="AI41" s="1114">
        <v>0</v>
      </c>
      <c r="AJ41" s="1114">
        <v>0</v>
      </c>
      <c r="AK41" s="1114">
        <f>C41</f>
        <v>5227.0969999999998</v>
      </c>
      <c r="AL41" s="1114">
        <v>0</v>
      </c>
      <c r="AM41" s="1114">
        <v>0</v>
      </c>
      <c r="AN41" s="1114">
        <v>0</v>
      </c>
      <c r="AO41" s="188"/>
      <c r="AP41" s="474">
        <f>SUM(E41:AO41)</f>
        <v>5227.0969999999998</v>
      </c>
      <c r="AQ41" s="1028">
        <f t="shared" si="1"/>
        <v>35</v>
      </c>
    </row>
    <row r="42" spans="1:46" s="345" customFormat="1">
      <c r="A42" s="516" t="str">
        <f>Assm!N43</f>
        <v>Contingency - Other</v>
      </c>
      <c r="B42" s="348"/>
      <c r="C42" s="298">
        <f>Assm!R43</f>
        <v>0</v>
      </c>
      <c r="D42" s="517"/>
      <c r="E42" s="1022">
        <v>0</v>
      </c>
      <c r="F42" s="1022">
        <v>0</v>
      </c>
      <c r="G42" s="1022">
        <v>0</v>
      </c>
      <c r="H42" s="1022">
        <v>0</v>
      </c>
      <c r="I42" s="1022">
        <v>0</v>
      </c>
      <c r="J42" s="1022">
        <v>0</v>
      </c>
      <c r="K42" s="1022">
        <v>0</v>
      </c>
      <c r="L42" s="1022">
        <v>0</v>
      </c>
      <c r="M42" s="1022">
        <v>0</v>
      </c>
      <c r="N42" s="1022">
        <v>0</v>
      </c>
      <c r="O42" s="1022">
        <v>0</v>
      </c>
      <c r="P42" s="1022">
        <v>0</v>
      </c>
      <c r="Q42" s="1022">
        <v>0</v>
      </c>
      <c r="R42" s="1022">
        <v>0</v>
      </c>
      <c r="S42" s="1022">
        <v>0</v>
      </c>
      <c r="T42" s="1022">
        <v>0</v>
      </c>
      <c r="U42" s="1022">
        <v>0</v>
      </c>
      <c r="V42" s="1022">
        <v>0</v>
      </c>
      <c r="W42" s="1022">
        <v>0</v>
      </c>
      <c r="X42" s="1022">
        <v>0</v>
      </c>
      <c r="Y42" s="1022">
        <v>0</v>
      </c>
      <c r="Z42" s="1022">
        <v>0</v>
      </c>
      <c r="AA42" s="1022">
        <v>0</v>
      </c>
      <c r="AB42" s="1022">
        <v>0</v>
      </c>
      <c r="AC42" s="1022">
        <v>0</v>
      </c>
      <c r="AD42" s="1022">
        <v>0</v>
      </c>
      <c r="AE42" s="1022">
        <v>0</v>
      </c>
      <c r="AF42" s="1022">
        <v>0</v>
      </c>
      <c r="AG42" s="1022">
        <v>0</v>
      </c>
      <c r="AH42" s="1022">
        <f>C42</f>
        <v>0</v>
      </c>
      <c r="AI42" s="1022">
        <v>0</v>
      </c>
      <c r="AJ42" s="1022">
        <v>0</v>
      </c>
      <c r="AK42" s="1022">
        <v>0</v>
      </c>
      <c r="AL42" s="1022">
        <v>0</v>
      </c>
      <c r="AM42" s="1022">
        <v>0</v>
      </c>
      <c r="AN42" s="1022">
        <v>0</v>
      </c>
      <c r="AO42" s="517"/>
      <c r="AP42" s="475">
        <f>SUM(E42:AO42)</f>
        <v>0</v>
      </c>
      <c r="AQ42" s="1028">
        <f t="shared" si="1"/>
        <v>36</v>
      </c>
    </row>
    <row r="43" spans="1:46" s="345" customFormat="1">
      <c r="A43" s="516" t="str">
        <f>Assm!N44</f>
        <v>Total Contingency</v>
      </c>
      <c r="B43" s="348"/>
      <c r="C43" s="156">
        <f>SUM(C41:C42)</f>
        <v>5227.0969999999998</v>
      </c>
      <c r="D43" s="188"/>
      <c r="E43" s="156">
        <f t="shared" ref="E43:AN43" si="20">SUM(E41:E42)</f>
        <v>0</v>
      </c>
      <c r="F43" s="156">
        <f t="shared" si="20"/>
        <v>0</v>
      </c>
      <c r="G43" s="156">
        <f t="shared" si="20"/>
        <v>0</v>
      </c>
      <c r="H43" s="156">
        <f t="shared" si="20"/>
        <v>0</v>
      </c>
      <c r="I43" s="156">
        <f t="shared" si="20"/>
        <v>0</v>
      </c>
      <c r="J43" s="156">
        <f t="shared" si="20"/>
        <v>0</v>
      </c>
      <c r="K43" s="156">
        <f t="shared" si="20"/>
        <v>0</v>
      </c>
      <c r="L43" s="156">
        <f t="shared" si="20"/>
        <v>0</v>
      </c>
      <c r="M43" s="156">
        <f t="shared" si="20"/>
        <v>0</v>
      </c>
      <c r="N43" s="156">
        <f t="shared" si="20"/>
        <v>0</v>
      </c>
      <c r="O43" s="156">
        <f t="shared" si="20"/>
        <v>0</v>
      </c>
      <c r="P43" s="156">
        <f t="shared" si="20"/>
        <v>0</v>
      </c>
      <c r="Q43" s="156">
        <f t="shared" si="20"/>
        <v>0</v>
      </c>
      <c r="R43" s="156">
        <f t="shared" si="20"/>
        <v>0</v>
      </c>
      <c r="S43" s="156">
        <f t="shared" si="20"/>
        <v>0</v>
      </c>
      <c r="T43" s="156">
        <f t="shared" si="20"/>
        <v>0</v>
      </c>
      <c r="U43" s="156">
        <f t="shared" si="20"/>
        <v>0</v>
      </c>
      <c r="V43" s="156">
        <f t="shared" si="20"/>
        <v>0</v>
      </c>
      <c r="W43" s="156">
        <f t="shared" si="20"/>
        <v>0</v>
      </c>
      <c r="X43" s="156">
        <f t="shared" si="20"/>
        <v>0</v>
      </c>
      <c r="Y43" s="156">
        <f t="shared" si="20"/>
        <v>0</v>
      </c>
      <c r="Z43" s="156">
        <f t="shared" si="20"/>
        <v>0</v>
      </c>
      <c r="AA43" s="156">
        <f t="shared" si="20"/>
        <v>0</v>
      </c>
      <c r="AB43" s="156">
        <f t="shared" si="20"/>
        <v>0</v>
      </c>
      <c r="AC43" s="156">
        <f t="shared" si="20"/>
        <v>0</v>
      </c>
      <c r="AD43" s="156">
        <f t="shared" si="20"/>
        <v>0</v>
      </c>
      <c r="AE43" s="156">
        <f t="shared" si="20"/>
        <v>0</v>
      </c>
      <c r="AF43" s="156">
        <f t="shared" si="20"/>
        <v>0</v>
      </c>
      <c r="AG43" s="156">
        <f t="shared" si="20"/>
        <v>0</v>
      </c>
      <c r="AH43" s="156">
        <f t="shared" si="20"/>
        <v>0</v>
      </c>
      <c r="AI43" s="156">
        <f t="shared" si="20"/>
        <v>0</v>
      </c>
      <c r="AJ43" s="156">
        <f t="shared" si="20"/>
        <v>0</v>
      </c>
      <c r="AK43" s="156">
        <f t="shared" si="20"/>
        <v>5227.0969999999998</v>
      </c>
      <c r="AL43" s="156">
        <f t="shared" si="20"/>
        <v>0</v>
      </c>
      <c r="AM43" s="156">
        <f t="shared" si="20"/>
        <v>0</v>
      </c>
      <c r="AN43" s="156">
        <f t="shared" si="20"/>
        <v>0</v>
      </c>
      <c r="AO43" s="188"/>
      <c r="AP43" s="474">
        <f>SUM(E43:AO43)</f>
        <v>5227.0969999999998</v>
      </c>
      <c r="AQ43" s="1028">
        <f t="shared" si="1"/>
        <v>37</v>
      </c>
    </row>
    <row r="44" spans="1:46" s="345" customFormat="1">
      <c r="A44" s="516"/>
      <c r="B44" s="34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525"/>
      <c r="AQ44" s="1028">
        <f t="shared" si="1"/>
        <v>38</v>
      </c>
      <c r="AR44" s="349"/>
      <c r="AS44" s="978" t="s">
        <v>73</v>
      </c>
      <c r="AT44" s="350"/>
    </row>
    <row r="45" spans="1:46" s="1299" customFormat="1">
      <c r="A45" s="1290" t="s">
        <v>73</v>
      </c>
      <c r="B45" s="1291"/>
      <c r="C45" s="1292">
        <f ca="1">Assm!R26</f>
        <v>18.041976124151429</v>
      </c>
      <c r="D45" s="1293"/>
      <c r="E45" s="1292">
        <f ca="1">IDC!E83</f>
        <v>0</v>
      </c>
      <c r="F45" s="1292">
        <f ca="1">IDC!F83</f>
        <v>0</v>
      </c>
      <c r="G45" s="1292">
        <f ca="1">IDC!G83</f>
        <v>0</v>
      </c>
      <c r="H45" s="1292">
        <f ca="1">IDC!H83</f>
        <v>0</v>
      </c>
      <c r="I45" s="1292">
        <f ca="1">IDC!I83</f>
        <v>0</v>
      </c>
      <c r="J45" s="1292">
        <f ca="1">IDC!J83</f>
        <v>0</v>
      </c>
      <c r="K45" s="1292">
        <f ca="1">IDC!K83</f>
        <v>0</v>
      </c>
      <c r="L45" s="1292">
        <f ca="1">IDC!L83</f>
        <v>0</v>
      </c>
      <c r="M45" s="1292">
        <f ca="1">IDC!M83</f>
        <v>0</v>
      </c>
      <c r="N45" s="1292">
        <f ca="1">IDC!N83</f>
        <v>0</v>
      </c>
      <c r="O45" s="1292">
        <f ca="1">IDC!O83</f>
        <v>0</v>
      </c>
      <c r="P45" s="1292">
        <f ca="1">IDC!P83</f>
        <v>0</v>
      </c>
      <c r="Q45" s="1292">
        <f ca="1">IDC!Q83</f>
        <v>0</v>
      </c>
      <c r="R45" s="1292">
        <f ca="1">IDC!R83</f>
        <v>0</v>
      </c>
      <c r="S45" s="1292">
        <f ca="1">IDC!S83</f>
        <v>0</v>
      </c>
      <c r="T45" s="1292">
        <f ca="1">IDC!T83</f>
        <v>0</v>
      </c>
      <c r="U45" s="1292">
        <f ca="1">IDC!U83</f>
        <v>0</v>
      </c>
      <c r="V45" s="1292">
        <f ca="1">IDC!V83</f>
        <v>0</v>
      </c>
      <c r="W45" s="1292">
        <f ca="1">IDC!W83</f>
        <v>0</v>
      </c>
      <c r="X45" s="1292">
        <f ca="1">IDC!X83</f>
        <v>0</v>
      </c>
      <c r="Y45" s="1292">
        <f ca="1">IDC!Y83</f>
        <v>0</v>
      </c>
      <c r="Z45" s="1292">
        <f ca="1">IDC!Z83</f>
        <v>0</v>
      </c>
      <c r="AA45" s="1292">
        <f ca="1">IDC!AA83</f>
        <v>0</v>
      </c>
      <c r="AB45" s="1292">
        <f ca="1">IDC!AB83</f>
        <v>0</v>
      </c>
      <c r="AC45" s="1292">
        <f ca="1">IDC!AC83</f>
        <v>0</v>
      </c>
      <c r="AD45" s="1292">
        <f ca="1">IDC!AD83</f>
        <v>0</v>
      </c>
      <c r="AE45" s="1292">
        <f ca="1">IDC!AE83</f>
        <v>0</v>
      </c>
      <c r="AF45" s="1292">
        <f ca="1">IDC!AF83</f>
        <v>0</v>
      </c>
      <c r="AG45" s="1292">
        <f ca="1">IDC!AG83</f>
        <v>0</v>
      </c>
      <c r="AH45" s="1292">
        <f ca="1">IDC!AH83</f>
        <v>7.8456515857180849</v>
      </c>
      <c r="AI45" s="1292">
        <f ca="1">IDC!AI83</f>
        <v>5.6632471424351793</v>
      </c>
      <c r="AJ45" s="1292">
        <f ca="1">IDC!AJ83</f>
        <v>3.4615326958200101</v>
      </c>
      <c r="AK45" s="1292">
        <f ca="1">IDC!AK83</f>
        <v>0.71331585865916314</v>
      </c>
      <c r="AL45" s="1292">
        <f ca="1">IDC!AL83</f>
        <v>0.35822884151896717</v>
      </c>
      <c r="AM45" s="1292">
        <f ca="1">IDC!AM83</f>
        <v>1.0752880067836183E-14</v>
      </c>
      <c r="AN45" s="1292">
        <f ca="1">IDC!AN83</f>
        <v>1.0748516697338702E-14</v>
      </c>
      <c r="AO45" s="1293"/>
      <c r="AP45" s="1294">
        <f ca="1">SUM(E45:AO45)</f>
        <v>18.041976124151429</v>
      </c>
      <c r="AQ45" s="1295">
        <f t="shared" si="1"/>
        <v>39</v>
      </c>
      <c r="AR45" s="1296"/>
      <c r="AS45" s="1297" t="s">
        <v>423</v>
      </c>
      <c r="AT45" s="1298"/>
    </row>
    <row r="46" spans="1:46" s="345" customFormat="1">
      <c r="A46" s="516" t="s">
        <v>424</v>
      </c>
      <c r="B46" s="348"/>
      <c r="C46" s="156">
        <f ca="1">SUM(C45:C45)</f>
        <v>18.041976124151429</v>
      </c>
      <c r="D46" s="188"/>
      <c r="E46" s="156">
        <f t="shared" ref="E46:AN46" ca="1" si="21">SUM(E45:E45)</f>
        <v>0</v>
      </c>
      <c r="F46" s="156">
        <f t="shared" ca="1" si="21"/>
        <v>0</v>
      </c>
      <c r="G46" s="156">
        <f t="shared" ca="1" si="21"/>
        <v>0</v>
      </c>
      <c r="H46" s="156">
        <f t="shared" ca="1" si="21"/>
        <v>0</v>
      </c>
      <c r="I46" s="156">
        <f t="shared" ca="1" si="21"/>
        <v>0</v>
      </c>
      <c r="J46" s="156">
        <f t="shared" ca="1" si="21"/>
        <v>0</v>
      </c>
      <c r="K46" s="156">
        <f t="shared" ca="1" si="21"/>
        <v>0</v>
      </c>
      <c r="L46" s="156">
        <f t="shared" ca="1" si="21"/>
        <v>0</v>
      </c>
      <c r="M46" s="156">
        <f t="shared" ca="1" si="21"/>
        <v>0</v>
      </c>
      <c r="N46" s="156">
        <f t="shared" ca="1" si="21"/>
        <v>0</v>
      </c>
      <c r="O46" s="156">
        <f t="shared" ca="1" si="21"/>
        <v>0</v>
      </c>
      <c r="P46" s="156">
        <f t="shared" ca="1" si="21"/>
        <v>0</v>
      </c>
      <c r="Q46" s="156">
        <f t="shared" ca="1" si="21"/>
        <v>0</v>
      </c>
      <c r="R46" s="156">
        <f t="shared" ca="1" si="21"/>
        <v>0</v>
      </c>
      <c r="S46" s="156">
        <f t="shared" ca="1" si="21"/>
        <v>0</v>
      </c>
      <c r="T46" s="156">
        <f t="shared" ca="1" si="21"/>
        <v>0</v>
      </c>
      <c r="U46" s="156">
        <f t="shared" ca="1" si="21"/>
        <v>0</v>
      </c>
      <c r="V46" s="156">
        <f t="shared" ca="1" si="21"/>
        <v>0</v>
      </c>
      <c r="W46" s="156">
        <f t="shared" ca="1" si="21"/>
        <v>0</v>
      </c>
      <c r="X46" s="156">
        <f t="shared" ca="1" si="21"/>
        <v>0</v>
      </c>
      <c r="Y46" s="156">
        <f t="shared" ca="1" si="21"/>
        <v>0</v>
      </c>
      <c r="Z46" s="156">
        <f t="shared" ca="1" si="21"/>
        <v>0</v>
      </c>
      <c r="AA46" s="156">
        <f t="shared" ca="1" si="21"/>
        <v>0</v>
      </c>
      <c r="AB46" s="156">
        <f t="shared" ca="1" si="21"/>
        <v>0</v>
      </c>
      <c r="AC46" s="156">
        <f t="shared" ca="1" si="21"/>
        <v>0</v>
      </c>
      <c r="AD46" s="156">
        <f t="shared" ca="1" si="21"/>
        <v>0</v>
      </c>
      <c r="AE46" s="156">
        <f t="shared" ca="1" si="21"/>
        <v>0</v>
      </c>
      <c r="AF46" s="156">
        <f t="shared" ca="1" si="21"/>
        <v>0</v>
      </c>
      <c r="AG46" s="156">
        <f t="shared" ca="1" si="21"/>
        <v>0</v>
      </c>
      <c r="AH46" s="156">
        <f t="shared" ca="1" si="21"/>
        <v>7.8456515857180849</v>
      </c>
      <c r="AI46" s="156">
        <f t="shared" ca="1" si="21"/>
        <v>5.6632471424351793</v>
      </c>
      <c r="AJ46" s="156">
        <f t="shared" ca="1" si="21"/>
        <v>3.4615326958200101</v>
      </c>
      <c r="AK46" s="156">
        <f t="shared" ca="1" si="21"/>
        <v>0.71331585865916314</v>
      </c>
      <c r="AL46" s="156">
        <f t="shared" ca="1" si="21"/>
        <v>0.35822884151896717</v>
      </c>
      <c r="AM46" s="156">
        <f t="shared" ca="1" si="21"/>
        <v>1.0752880067836183E-14</v>
      </c>
      <c r="AN46" s="156">
        <f t="shared" ca="1" si="21"/>
        <v>1.0748516697338702E-14</v>
      </c>
      <c r="AO46" s="188"/>
      <c r="AP46" s="474">
        <f ca="1">SUM(E46:AO46)</f>
        <v>18.041976124151429</v>
      </c>
      <c r="AQ46" s="1028">
        <f t="shared" si="1"/>
        <v>40</v>
      </c>
      <c r="AR46" s="353"/>
      <c r="AS46" s="979">
        <f ca="1">IF(AP46=0,0,IF(ABS(AP46-IDC!AO84)&lt;0.005,0,1))</f>
        <v>0</v>
      </c>
      <c r="AT46" s="354"/>
    </row>
    <row r="47" spans="1:46" s="345" customFormat="1">
      <c r="A47" s="516"/>
      <c r="B47" s="34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525"/>
      <c r="AQ47" s="1028">
        <f t="shared" si="1"/>
        <v>41</v>
      </c>
    </row>
    <row r="48" spans="1:46" s="345" customFormat="1" ht="13.5" thickBot="1">
      <c r="A48" s="980" t="s">
        <v>425</v>
      </c>
      <c r="B48" s="361"/>
      <c r="C48" s="981">
        <f ca="1">SUM(C15,C24,C31,C36,C39,C43,C46)</f>
        <v>147753.20626901166</v>
      </c>
      <c r="D48" s="346"/>
      <c r="E48" s="981">
        <f t="shared" ref="E48:AN48" ca="1" si="22">SUM(E15,E24,E31,E36,E39,E43,E46)</f>
        <v>0</v>
      </c>
      <c r="F48" s="981">
        <f t="shared" ca="1" si="22"/>
        <v>0</v>
      </c>
      <c r="G48" s="981">
        <f t="shared" ca="1" si="22"/>
        <v>0</v>
      </c>
      <c r="H48" s="981">
        <f t="shared" ca="1" si="22"/>
        <v>0</v>
      </c>
      <c r="I48" s="981">
        <f t="shared" ca="1" si="22"/>
        <v>0</v>
      </c>
      <c r="J48" s="981">
        <f t="shared" ca="1" si="22"/>
        <v>4072.33637</v>
      </c>
      <c r="K48" s="981">
        <f t="shared" ca="1" si="22"/>
        <v>0</v>
      </c>
      <c r="L48" s="981">
        <f t="shared" ca="1" si="22"/>
        <v>0</v>
      </c>
      <c r="M48" s="981">
        <f t="shared" ca="1" si="22"/>
        <v>6300</v>
      </c>
      <c r="N48" s="981">
        <f t="shared" ca="1" si="22"/>
        <v>4327</v>
      </c>
      <c r="O48" s="981">
        <f t="shared" ca="1" si="22"/>
        <v>2178</v>
      </c>
      <c r="P48" s="981">
        <f t="shared" ca="1" si="22"/>
        <v>7899.509</v>
      </c>
      <c r="Q48" s="981">
        <f t="shared" ca="1" si="22"/>
        <v>5560</v>
      </c>
      <c r="R48" s="981">
        <f t="shared" ca="1" si="22"/>
        <v>4625</v>
      </c>
      <c r="S48" s="981">
        <f t="shared" ca="1" si="22"/>
        <v>4996.1589999999997</v>
      </c>
      <c r="T48" s="981">
        <f t="shared" ca="1" si="22"/>
        <v>19985.376</v>
      </c>
      <c r="U48" s="981">
        <f t="shared" ca="1" si="22"/>
        <v>5445.7039999999997</v>
      </c>
      <c r="V48" s="981">
        <f t="shared" ca="1" si="22"/>
        <v>0</v>
      </c>
      <c r="W48" s="981">
        <f t="shared" ca="1" si="22"/>
        <v>5128</v>
      </c>
      <c r="X48" s="981">
        <f t="shared" ca="1" si="22"/>
        <v>8600</v>
      </c>
      <c r="Y48" s="981">
        <f t="shared" ca="1" si="22"/>
        <v>4637.2110494960225</v>
      </c>
      <c r="Z48" s="981">
        <f t="shared" ca="1" si="22"/>
        <v>4637.2110494960225</v>
      </c>
      <c r="AA48" s="981">
        <f t="shared" ca="1" si="22"/>
        <v>4637.2110494960225</v>
      </c>
      <c r="AB48" s="981">
        <f t="shared" ca="1" si="22"/>
        <v>4637.2110494960225</v>
      </c>
      <c r="AC48" s="981">
        <f t="shared" ca="1" si="22"/>
        <v>4637.2110494960225</v>
      </c>
      <c r="AD48" s="981">
        <f t="shared" ca="1" si="22"/>
        <v>4637.2110494960225</v>
      </c>
      <c r="AE48" s="981">
        <f t="shared" ca="1" si="22"/>
        <v>4637.2110494960225</v>
      </c>
      <c r="AF48" s="981">
        <f t="shared" ca="1" si="22"/>
        <v>10273.106832962689</v>
      </c>
      <c r="AG48" s="981">
        <f t="shared" ca="1" si="22"/>
        <v>4637.2110494960225</v>
      </c>
      <c r="AH48" s="981">
        <f t="shared" ca="1" si="22"/>
        <v>6050.7135337209183</v>
      </c>
      <c r="AI48" s="981">
        <f t="shared" ca="1" si="22"/>
        <v>4642.874296638458</v>
      </c>
      <c r="AJ48" s="981">
        <f t="shared" ca="1" si="22"/>
        <v>4640.6725821918426</v>
      </c>
      <c r="AK48" s="981">
        <f t="shared" ca="1" si="22"/>
        <v>5930.7080286880155</v>
      </c>
      <c r="AL48" s="981">
        <f t="shared" ca="1" si="22"/>
        <v>0.35822884151896717</v>
      </c>
      <c r="AM48" s="981">
        <f t="shared" ca="1" si="22"/>
        <v>1.0752880067836183E-14</v>
      </c>
      <c r="AN48" s="981">
        <f t="shared" ca="1" si="22"/>
        <v>1.0748516697338702E-14</v>
      </c>
      <c r="AO48" s="346"/>
      <c r="AP48" s="982">
        <f ca="1">SUM(E48:AO48)</f>
        <v>147753.20626901157</v>
      </c>
      <c r="AQ48" s="1028">
        <f t="shared" si="1"/>
        <v>42</v>
      </c>
    </row>
    <row r="49" spans="1:52" s="345" customFormat="1">
      <c r="A49" s="518"/>
      <c r="B49" s="188"/>
      <c r="C49" s="188"/>
      <c r="D49" s="188"/>
      <c r="E49" s="1146">
        <v>4080.8270000000002</v>
      </c>
      <c r="F49" s="1146">
        <v>0</v>
      </c>
      <c r="G49" s="1146">
        <v>0</v>
      </c>
      <c r="H49" s="1146">
        <v>189.33799999999999</v>
      </c>
      <c r="I49" s="1146">
        <v>37.533000000000001</v>
      </c>
      <c r="J49" s="1146">
        <v>23.997</v>
      </c>
      <c r="K49" s="1146">
        <v>3.6510000000000002</v>
      </c>
      <c r="L49" s="1146">
        <v>337.02800000000002</v>
      </c>
      <c r="M49" s="1146">
        <v>6916.6360000000004</v>
      </c>
      <c r="N49" s="1146">
        <v>342.33100000000002</v>
      </c>
      <c r="O49" s="1146">
        <v>4740.848</v>
      </c>
      <c r="P49" s="1146">
        <v>1616.826</v>
      </c>
      <c r="Q49" s="1146">
        <v>4675.1269999999995</v>
      </c>
      <c r="R49" s="1146">
        <v>3368.1009999999997</v>
      </c>
      <c r="S49" s="1146">
        <v>5503.57</v>
      </c>
      <c r="T49" s="1146">
        <v>11853.406999999999</v>
      </c>
      <c r="U49" s="1146">
        <v>5260.59</v>
      </c>
      <c r="V49" s="1146">
        <v>8667.643</v>
      </c>
      <c r="W49" s="1146">
        <v>8535.3993666666665</v>
      </c>
      <c r="X49" s="1146">
        <v>9029.9186666666665</v>
      </c>
      <c r="Y49" s="1146">
        <v>8200</v>
      </c>
      <c r="Z49" s="1146">
        <v>7594</v>
      </c>
      <c r="AA49" s="1146">
        <v>5990</v>
      </c>
      <c r="AB49" s="1146">
        <v>0</v>
      </c>
      <c r="AC49" s="1146">
        <v>5400</v>
      </c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525"/>
      <c r="AQ49" s="1028">
        <f t="shared" si="1"/>
        <v>43</v>
      </c>
      <c r="AR49" s="345" t="s">
        <v>865</v>
      </c>
    </row>
    <row r="50" spans="1:52" s="345" customFormat="1">
      <c r="A50" s="518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525"/>
      <c r="AQ50" s="1028">
        <f t="shared" si="1"/>
        <v>44</v>
      </c>
      <c r="AR50" s="1038" t="s">
        <v>869</v>
      </c>
    </row>
    <row r="51" spans="1:52" s="345" customFormat="1">
      <c r="A51" s="983" t="s">
        <v>846</v>
      </c>
      <c r="B51" s="355"/>
      <c r="C51" s="355"/>
      <c r="D51" s="355"/>
      <c r="E51" s="984">
        <v>35886</v>
      </c>
      <c r="F51" s="985">
        <f t="shared" ref="F51:AN51" si="23">EDATE(E51,1)</f>
        <v>35916</v>
      </c>
      <c r="G51" s="985">
        <f t="shared" si="23"/>
        <v>35947</v>
      </c>
      <c r="H51" s="985">
        <f t="shared" si="23"/>
        <v>35977</v>
      </c>
      <c r="I51" s="985">
        <f t="shared" si="23"/>
        <v>36008</v>
      </c>
      <c r="J51" s="985">
        <f t="shared" si="23"/>
        <v>36039</v>
      </c>
      <c r="K51" s="985">
        <f t="shared" si="23"/>
        <v>36069</v>
      </c>
      <c r="L51" s="985">
        <f t="shared" si="23"/>
        <v>36100</v>
      </c>
      <c r="M51" s="985">
        <f t="shared" si="23"/>
        <v>36130</v>
      </c>
      <c r="N51" s="985">
        <f t="shared" si="23"/>
        <v>36161</v>
      </c>
      <c r="O51" s="985">
        <f t="shared" si="23"/>
        <v>36192</v>
      </c>
      <c r="P51" s="985">
        <f t="shared" si="23"/>
        <v>36220</v>
      </c>
      <c r="Q51" s="985">
        <f t="shared" si="23"/>
        <v>36251</v>
      </c>
      <c r="R51" s="985">
        <f t="shared" si="23"/>
        <v>36281</v>
      </c>
      <c r="S51" s="985">
        <f t="shared" si="23"/>
        <v>36312</v>
      </c>
      <c r="T51" s="985">
        <f t="shared" si="23"/>
        <v>36342</v>
      </c>
      <c r="U51" s="985">
        <f t="shared" si="23"/>
        <v>36373</v>
      </c>
      <c r="V51" s="985">
        <f t="shared" si="23"/>
        <v>36404</v>
      </c>
      <c r="W51" s="985">
        <f t="shared" si="23"/>
        <v>36434</v>
      </c>
      <c r="X51" s="985">
        <f t="shared" si="23"/>
        <v>36465</v>
      </c>
      <c r="Y51" s="985">
        <f t="shared" si="23"/>
        <v>36495</v>
      </c>
      <c r="Z51" s="985">
        <f t="shared" si="23"/>
        <v>36526</v>
      </c>
      <c r="AA51" s="985">
        <f t="shared" si="23"/>
        <v>36557</v>
      </c>
      <c r="AB51" s="985">
        <f t="shared" si="23"/>
        <v>36586</v>
      </c>
      <c r="AC51" s="985">
        <f t="shared" si="23"/>
        <v>36617</v>
      </c>
      <c r="AD51" s="985">
        <f t="shared" si="23"/>
        <v>36647</v>
      </c>
      <c r="AE51" s="985">
        <f t="shared" si="23"/>
        <v>36678</v>
      </c>
      <c r="AF51" s="985">
        <f t="shared" si="23"/>
        <v>36708</v>
      </c>
      <c r="AG51" s="985">
        <f t="shared" si="23"/>
        <v>36739</v>
      </c>
      <c r="AH51" s="985">
        <f t="shared" si="23"/>
        <v>36770</v>
      </c>
      <c r="AI51" s="985">
        <f t="shared" si="23"/>
        <v>36800</v>
      </c>
      <c r="AJ51" s="985">
        <f t="shared" si="23"/>
        <v>36831</v>
      </c>
      <c r="AK51" s="985">
        <f t="shared" si="23"/>
        <v>36861</v>
      </c>
      <c r="AL51" s="985">
        <f t="shared" si="23"/>
        <v>36892</v>
      </c>
      <c r="AM51" s="985">
        <f t="shared" si="23"/>
        <v>36923</v>
      </c>
      <c r="AN51" s="985">
        <f t="shared" si="23"/>
        <v>36951</v>
      </c>
      <c r="AO51" s="355"/>
      <c r="AP51" s="526"/>
      <c r="AQ51" s="1028">
        <f t="shared" si="1"/>
        <v>45</v>
      </c>
      <c r="AR51" s="1029">
        <v>1</v>
      </c>
    </row>
    <row r="52" spans="1:52" s="345" customFormat="1">
      <c r="A52" s="1115" t="s">
        <v>1001</v>
      </c>
      <c r="B52" s="356"/>
      <c r="C52" s="356"/>
      <c r="D52" s="356"/>
      <c r="E52" s="986">
        <f>E$6</f>
        <v>1</v>
      </c>
      <c r="F52" s="986">
        <f t="shared" ref="F52:AN52" si="24">F$6</f>
        <v>2</v>
      </c>
      <c r="G52" s="986">
        <f t="shared" si="24"/>
        <v>3</v>
      </c>
      <c r="H52" s="986">
        <f t="shared" si="24"/>
        <v>4</v>
      </c>
      <c r="I52" s="986">
        <f t="shared" si="24"/>
        <v>5</v>
      </c>
      <c r="J52" s="986">
        <f t="shared" si="24"/>
        <v>6</v>
      </c>
      <c r="K52" s="986">
        <f t="shared" si="24"/>
        <v>7</v>
      </c>
      <c r="L52" s="986">
        <f t="shared" si="24"/>
        <v>8</v>
      </c>
      <c r="M52" s="986">
        <f t="shared" si="24"/>
        <v>9</v>
      </c>
      <c r="N52" s="986">
        <f t="shared" si="24"/>
        <v>10</v>
      </c>
      <c r="O52" s="986">
        <f t="shared" si="24"/>
        <v>11</v>
      </c>
      <c r="P52" s="986">
        <f t="shared" si="24"/>
        <v>12</v>
      </c>
      <c r="Q52" s="986">
        <f t="shared" si="24"/>
        <v>13</v>
      </c>
      <c r="R52" s="986">
        <f t="shared" si="24"/>
        <v>14</v>
      </c>
      <c r="S52" s="986">
        <f t="shared" si="24"/>
        <v>15</v>
      </c>
      <c r="T52" s="986">
        <f t="shared" si="24"/>
        <v>16</v>
      </c>
      <c r="U52" s="986">
        <f t="shared" si="24"/>
        <v>17</v>
      </c>
      <c r="V52" s="986">
        <f t="shared" si="24"/>
        <v>18</v>
      </c>
      <c r="W52" s="986">
        <f t="shared" si="24"/>
        <v>19</v>
      </c>
      <c r="X52" s="986">
        <f t="shared" si="24"/>
        <v>20</v>
      </c>
      <c r="Y52" s="986">
        <f t="shared" si="24"/>
        <v>21</v>
      </c>
      <c r="Z52" s="986">
        <f t="shared" si="24"/>
        <v>22</v>
      </c>
      <c r="AA52" s="986">
        <f t="shared" si="24"/>
        <v>23</v>
      </c>
      <c r="AB52" s="986">
        <f t="shared" si="24"/>
        <v>24</v>
      </c>
      <c r="AC52" s="986">
        <f t="shared" si="24"/>
        <v>25</v>
      </c>
      <c r="AD52" s="986">
        <f t="shared" si="24"/>
        <v>26</v>
      </c>
      <c r="AE52" s="986">
        <f t="shared" si="24"/>
        <v>27</v>
      </c>
      <c r="AF52" s="986">
        <f t="shared" si="24"/>
        <v>28</v>
      </c>
      <c r="AG52" s="986">
        <f t="shared" si="24"/>
        <v>29</v>
      </c>
      <c r="AH52" s="986">
        <f t="shared" si="24"/>
        <v>30</v>
      </c>
      <c r="AI52" s="986">
        <f t="shared" si="24"/>
        <v>31</v>
      </c>
      <c r="AJ52" s="986">
        <f t="shared" si="24"/>
        <v>32</v>
      </c>
      <c r="AK52" s="986">
        <f t="shared" si="24"/>
        <v>33</v>
      </c>
      <c r="AL52" s="986">
        <f t="shared" si="24"/>
        <v>34</v>
      </c>
      <c r="AM52" s="986">
        <f t="shared" si="24"/>
        <v>35</v>
      </c>
      <c r="AN52" s="986">
        <f t="shared" si="24"/>
        <v>36</v>
      </c>
      <c r="AO52" s="356"/>
      <c r="AP52" s="527"/>
      <c r="AQ52" s="1028">
        <f t="shared" si="1"/>
        <v>46</v>
      </c>
      <c r="AR52" s="1030">
        <f t="shared" si="1"/>
        <v>2</v>
      </c>
    </row>
    <row r="53" spans="1:52" s="345" customFormat="1">
      <c r="A53" s="519"/>
      <c r="B53" s="356" t="s">
        <v>426</v>
      </c>
      <c r="C53" s="356"/>
      <c r="D53" s="356"/>
      <c r="E53" s="366">
        <v>1590.94</v>
      </c>
      <c r="F53" s="367">
        <v>1072.7080000000001</v>
      </c>
      <c r="G53" s="367">
        <v>407.38400000000001</v>
      </c>
      <c r="H53" s="367">
        <v>229.018</v>
      </c>
      <c r="I53" s="367">
        <v>246.37700000000001</v>
      </c>
      <c r="J53" s="367">
        <v>661.81299999999999</v>
      </c>
      <c r="K53" s="367">
        <v>8344.4989999999998</v>
      </c>
      <c r="L53" s="367">
        <v>165.36</v>
      </c>
      <c r="M53" s="367">
        <v>3246.7179999999998</v>
      </c>
      <c r="N53" s="367">
        <v>87.756</v>
      </c>
      <c r="O53" s="367">
        <v>9915.8960000000006</v>
      </c>
      <c r="P53" s="367">
        <v>5495.7659999999996</v>
      </c>
      <c r="Q53" s="367">
        <v>10263.094999999999</v>
      </c>
      <c r="R53" s="367">
        <v>10625.795</v>
      </c>
      <c r="S53" s="367">
        <v>7979.4780000000001</v>
      </c>
      <c r="T53" s="367">
        <v>7421.2420000000002</v>
      </c>
      <c r="U53" s="367">
        <v>3925.4140000000002</v>
      </c>
      <c r="V53" s="367">
        <v>3274.14</v>
      </c>
      <c r="W53" s="367">
        <v>3160.297</v>
      </c>
      <c r="X53" s="367">
        <v>5284.1</v>
      </c>
      <c r="Y53" s="367">
        <v>56.292999999999999</v>
      </c>
      <c r="Z53" s="367">
        <v>60.962000000000003</v>
      </c>
      <c r="AA53" s="367">
        <v>59.154000000000003</v>
      </c>
      <c r="AB53" s="367">
        <v>56.454000000000001</v>
      </c>
      <c r="AC53" s="367">
        <v>9368.9770000000008</v>
      </c>
      <c r="AD53" s="367">
        <v>0</v>
      </c>
      <c r="AE53" s="367">
        <v>0</v>
      </c>
      <c r="AF53" s="367">
        <v>0</v>
      </c>
      <c r="AG53" s="367">
        <v>0</v>
      </c>
      <c r="AH53" s="367">
        <v>0</v>
      </c>
      <c r="AI53" s="367">
        <v>0</v>
      </c>
      <c r="AJ53" s="367">
        <v>0</v>
      </c>
      <c r="AK53" s="367">
        <v>0</v>
      </c>
      <c r="AL53" s="367">
        <v>0</v>
      </c>
      <c r="AM53" s="367">
        <v>0</v>
      </c>
      <c r="AN53" s="368">
        <v>0</v>
      </c>
      <c r="AO53" s="369"/>
      <c r="AP53" s="528">
        <f>SUM(E53:AO53)</f>
        <v>92999.636000000013</v>
      </c>
      <c r="AQ53" s="1028">
        <f t="shared" si="1"/>
        <v>47</v>
      </c>
      <c r="AR53" s="1030">
        <f t="shared" si="1"/>
        <v>3</v>
      </c>
    </row>
    <row r="54" spans="1:52" s="345" customFormat="1">
      <c r="A54" s="519"/>
      <c r="B54" s="356" t="s">
        <v>427</v>
      </c>
      <c r="C54" s="356"/>
      <c r="D54" s="356"/>
      <c r="E54" s="369">
        <f>SUM($E53:E53)</f>
        <v>1590.94</v>
      </c>
      <c r="F54" s="369">
        <f>SUM($E53:F53)</f>
        <v>2663.6480000000001</v>
      </c>
      <c r="G54" s="369">
        <f>SUM($E53:G53)</f>
        <v>3071.0320000000002</v>
      </c>
      <c r="H54" s="369">
        <f>SUM($E53:H53)</f>
        <v>3300.05</v>
      </c>
      <c r="I54" s="369">
        <f>SUM($E53:I53)</f>
        <v>3546.4270000000001</v>
      </c>
      <c r="J54" s="369">
        <f>SUM($E53:J53)</f>
        <v>4208.24</v>
      </c>
      <c r="K54" s="369">
        <f>SUM($E53:K53)</f>
        <v>12552.739</v>
      </c>
      <c r="L54" s="369">
        <f>SUM($E53:L53)</f>
        <v>12718.099</v>
      </c>
      <c r="M54" s="369">
        <f>SUM($E53:M53)</f>
        <v>15964.816999999999</v>
      </c>
      <c r="N54" s="369">
        <f>SUM($E53:N53)</f>
        <v>16052.572999999999</v>
      </c>
      <c r="O54" s="369">
        <f>SUM($E53:O53)</f>
        <v>25968.468999999997</v>
      </c>
      <c r="P54" s="369">
        <f>SUM($E53:P53)</f>
        <v>31464.234999999997</v>
      </c>
      <c r="Q54" s="369">
        <f>SUM($E53:Q53)</f>
        <v>41727.329999999994</v>
      </c>
      <c r="R54" s="369">
        <f>SUM($E53:R53)</f>
        <v>52353.124999999993</v>
      </c>
      <c r="S54" s="369">
        <f>SUM($E53:S53)</f>
        <v>60332.602999999996</v>
      </c>
      <c r="T54" s="369">
        <f>SUM($E53:T53)</f>
        <v>67753.845000000001</v>
      </c>
      <c r="U54" s="369">
        <f>SUM($E53:U53)</f>
        <v>71679.259000000005</v>
      </c>
      <c r="V54" s="369">
        <f>SUM($E53:V53)</f>
        <v>74953.399000000005</v>
      </c>
      <c r="W54" s="369">
        <f>SUM($E53:W53)</f>
        <v>78113.696000000011</v>
      </c>
      <c r="X54" s="369">
        <f>SUM($E53:X53)</f>
        <v>83397.796000000017</v>
      </c>
      <c r="Y54" s="369">
        <f>SUM($E53:Y53)</f>
        <v>83454.089000000022</v>
      </c>
      <c r="Z54" s="369">
        <f>SUM($E53:Z53)</f>
        <v>83515.051000000021</v>
      </c>
      <c r="AA54" s="369">
        <f>SUM($E53:AA53)</f>
        <v>83574.205000000016</v>
      </c>
      <c r="AB54" s="369">
        <f>SUM($E53:AB53)</f>
        <v>83630.659000000014</v>
      </c>
      <c r="AC54" s="369">
        <f>SUM($E53:AC53)</f>
        <v>92999.636000000013</v>
      </c>
      <c r="AD54" s="369">
        <f>SUM($E53:AD53)</f>
        <v>92999.636000000013</v>
      </c>
      <c r="AE54" s="369">
        <f>SUM($E53:AE53)</f>
        <v>92999.636000000013</v>
      </c>
      <c r="AF54" s="369">
        <f>SUM($E53:AF53)</f>
        <v>92999.636000000013</v>
      </c>
      <c r="AG54" s="369">
        <f>SUM($E53:AG53)</f>
        <v>92999.636000000013</v>
      </c>
      <c r="AH54" s="369">
        <f>SUM($E53:AH53)</f>
        <v>92999.636000000013</v>
      </c>
      <c r="AI54" s="369">
        <f>SUM($E53:AI53)</f>
        <v>92999.636000000013</v>
      </c>
      <c r="AJ54" s="369">
        <f>SUM($E53:AJ53)</f>
        <v>92999.636000000013</v>
      </c>
      <c r="AK54" s="369">
        <f>SUM($E53:AK53)</f>
        <v>92999.636000000013</v>
      </c>
      <c r="AL54" s="369">
        <f>SUM($E53:AL53)</f>
        <v>92999.636000000013</v>
      </c>
      <c r="AM54" s="369">
        <f>SUM($E53:AM53)</f>
        <v>92999.636000000013</v>
      </c>
      <c r="AN54" s="369">
        <f>SUM($E53:AN53)</f>
        <v>92999.636000000013</v>
      </c>
      <c r="AO54" s="369"/>
      <c r="AP54" s="528"/>
      <c r="AQ54" s="1028">
        <f t="shared" si="1"/>
        <v>48</v>
      </c>
      <c r="AR54" s="1030">
        <f t="shared" si="1"/>
        <v>4</v>
      </c>
    </row>
    <row r="55" spans="1:52" s="345" customFormat="1">
      <c r="A55" s="519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56"/>
      <c r="AB55" s="356"/>
      <c r="AC55" s="356"/>
      <c r="AD55" s="356"/>
      <c r="AE55" s="356"/>
      <c r="AF55" s="356"/>
      <c r="AG55" s="356"/>
      <c r="AH55" s="356"/>
      <c r="AI55" s="356"/>
      <c r="AJ55" s="356"/>
      <c r="AK55" s="356"/>
      <c r="AL55" s="356"/>
      <c r="AM55" s="356"/>
      <c r="AN55" s="356"/>
      <c r="AO55" s="356"/>
      <c r="AP55" s="527"/>
      <c r="AQ55" s="1028">
        <f t="shared" si="1"/>
        <v>49</v>
      </c>
      <c r="AR55" s="1030">
        <f t="shared" si="1"/>
        <v>5</v>
      </c>
    </row>
    <row r="56" spans="1:52" s="345" customFormat="1">
      <c r="A56" s="519"/>
      <c r="B56" s="356" t="s">
        <v>428</v>
      </c>
      <c r="C56" s="356"/>
      <c r="D56" s="356"/>
      <c r="E56" s="357">
        <f t="shared" ref="E56:AN56" si="25">E53/$AP$53</f>
        <v>1.7106948676659336E-2</v>
      </c>
      <c r="F56" s="357">
        <f t="shared" si="25"/>
        <v>1.1534539769596517E-2</v>
      </c>
      <c r="G56" s="357">
        <f t="shared" si="25"/>
        <v>4.3804902634242563E-3</v>
      </c>
      <c r="H56" s="357">
        <f t="shared" si="25"/>
        <v>2.4625687782261854E-3</v>
      </c>
      <c r="I56" s="357">
        <f t="shared" si="25"/>
        <v>2.6492254227747729E-3</v>
      </c>
      <c r="J56" s="357">
        <f t="shared" si="25"/>
        <v>7.1162966702364282E-3</v>
      </c>
      <c r="K56" s="357">
        <f t="shared" si="25"/>
        <v>8.9726146885134028E-2</v>
      </c>
      <c r="L56" s="357">
        <f t="shared" si="25"/>
        <v>1.7780714754625491E-3</v>
      </c>
      <c r="M56" s="357">
        <f t="shared" si="25"/>
        <v>3.4911082877786742E-2</v>
      </c>
      <c r="N56" s="357">
        <f t="shared" si="25"/>
        <v>9.4361659652087229E-4</v>
      </c>
      <c r="O56" s="357">
        <f t="shared" si="25"/>
        <v>0.10662295495436132</v>
      </c>
      <c r="P56" s="357">
        <f t="shared" si="25"/>
        <v>5.9094489359076616E-2</v>
      </c>
      <c r="Q56" s="357">
        <f t="shared" si="25"/>
        <v>0.11035629214720795</v>
      </c>
      <c r="R56" s="357">
        <f t="shared" si="25"/>
        <v>0.11425630741178383</v>
      </c>
      <c r="S56" s="357">
        <f t="shared" si="25"/>
        <v>8.5801174533629343E-2</v>
      </c>
      <c r="T56" s="357">
        <f t="shared" si="25"/>
        <v>7.9798613405325583E-2</v>
      </c>
      <c r="U56" s="357">
        <f t="shared" si="25"/>
        <v>4.2208917892968954E-2</v>
      </c>
      <c r="V56" s="357">
        <f t="shared" si="25"/>
        <v>3.5205944246921562E-2</v>
      </c>
      <c r="W56" s="357">
        <f t="shared" si="25"/>
        <v>3.3981821176160297E-2</v>
      </c>
      <c r="X56" s="357">
        <f t="shared" si="25"/>
        <v>5.6818501956287223E-2</v>
      </c>
      <c r="Y56" s="357">
        <f t="shared" si="25"/>
        <v>6.0530344441348124E-4</v>
      </c>
      <c r="Z56" s="357">
        <f t="shared" si="25"/>
        <v>6.5550794198807397E-4</v>
      </c>
      <c r="AA56" s="357">
        <f t="shared" si="25"/>
        <v>6.3606700568161363E-4</v>
      </c>
      <c r="AB56" s="357">
        <f t="shared" si="25"/>
        <v>6.07034633985019E-4</v>
      </c>
      <c r="AC56" s="357">
        <f t="shared" si="25"/>
        <v>0.10074208247438732</v>
      </c>
      <c r="AD56" s="357">
        <f t="shared" si="25"/>
        <v>0</v>
      </c>
      <c r="AE56" s="357">
        <f t="shared" si="25"/>
        <v>0</v>
      </c>
      <c r="AF56" s="357">
        <f t="shared" si="25"/>
        <v>0</v>
      </c>
      <c r="AG56" s="357">
        <f t="shared" si="25"/>
        <v>0</v>
      </c>
      <c r="AH56" s="357">
        <f t="shared" si="25"/>
        <v>0</v>
      </c>
      <c r="AI56" s="357">
        <f t="shared" si="25"/>
        <v>0</v>
      </c>
      <c r="AJ56" s="357">
        <f t="shared" si="25"/>
        <v>0</v>
      </c>
      <c r="AK56" s="357">
        <f t="shared" si="25"/>
        <v>0</v>
      </c>
      <c r="AL56" s="357">
        <f t="shared" si="25"/>
        <v>0</v>
      </c>
      <c r="AM56" s="357">
        <f t="shared" si="25"/>
        <v>0</v>
      </c>
      <c r="AN56" s="357">
        <f t="shared" si="25"/>
        <v>0</v>
      </c>
      <c r="AO56" s="356"/>
      <c r="AP56" s="529">
        <f>SUM(E56:AO56)</f>
        <v>1</v>
      </c>
      <c r="AQ56" s="1028">
        <f t="shared" si="1"/>
        <v>50</v>
      </c>
      <c r="AR56" s="1030">
        <f t="shared" si="1"/>
        <v>6</v>
      </c>
      <c r="AT56" s="1057" t="s">
        <v>919</v>
      </c>
      <c r="AU56" s="1046"/>
      <c r="AV56" s="1046"/>
      <c r="AW56" s="1046"/>
      <c r="AX56" s="1047" t="s">
        <v>192</v>
      </c>
      <c r="AY56" s="1047" t="s">
        <v>916</v>
      </c>
      <c r="AZ56" s="1048" t="s">
        <v>915</v>
      </c>
    </row>
    <row r="57" spans="1:52" s="345" customFormat="1">
      <c r="A57" s="520"/>
      <c r="B57" s="521" t="s">
        <v>429</v>
      </c>
      <c r="C57" s="521"/>
      <c r="D57" s="521"/>
      <c r="E57" s="522">
        <f>SUM($E56:E56)</f>
        <v>1.7106948676659336E-2</v>
      </c>
      <c r="F57" s="522">
        <f>SUM($E56:F56)</f>
        <v>2.8641488446255851E-2</v>
      </c>
      <c r="G57" s="522">
        <f>SUM($E56:G56)</f>
        <v>3.3021978709680107E-2</v>
      </c>
      <c r="H57" s="522">
        <f>SUM($E56:H56)</f>
        <v>3.548454748790629E-2</v>
      </c>
      <c r="I57" s="522">
        <f>SUM($E56:I56)</f>
        <v>3.8133772910681062E-2</v>
      </c>
      <c r="J57" s="522">
        <f>SUM($E56:J56)</f>
        <v>4.5250069580917492E-2</v>
      </c>
      <c r="K57" s="522">
        <f>SUM($E56:K56)</f>
        <v>0.13497621646605151</v>
      </c>
      <c r="L57" s="522">
        <f>SUM($E56:L56)</f>
        <v>0.13675428794151406</v>
      </c>
      <c r="M57" s="522">
        <f>SUM($E56:M56)</f>
        <v>0.17166537081930081</v>
      </c>
      <c r="N57" s="522">
        <f>SUM($E56:N56)</f>
        <v>0.17260898741582167</v>
      </c>
      <c r="O57" s="522">
        <f>SUM($E56:O56)</f>
        <v>0.27923194237018301</v>
      </c>
      <c r="P57" s="522">
        <f>SUM($E56:P56)</f>
        <v>0.33832643172925964</v>
      </c>
      <c r="Q57" s="522">
        <f>SUM($E56:Q56)</f>
        <v>0.44868272387646757</v>
      </c>
      <c r="R57" s="522">
        <f>SUM($E56:R56)</f>
        <v>0.5629390312882514</v>
      </c>
      <c r="S57" s="522">
        <f>SUM($E56:S56)</f>
        <v>0.64874020582188074</v>
      </c>
      <c r="T57" s="522">
        <f>SUM($E56:T56)</f>
        <v>0.72853881922720631</v>
      </c>
      <c r="U57" s="522">
        <f>SUM($E56:U56)</f>
        <v>0.7707477371201753</v>
      </c>
      <c r="V57" s="522">
        <f>SUM($E56:V56)</f>
        <v>0.80595368136709689</v>
      </c>
      <c r="W57" s="522">
        <f>SUM($E56:W56)</f>
        <v>0.83993550254325722</v>
      </c>
      <c r="X57" s="522">
        <f>SUM($E56:X56)</f>
        <v>0.89675400449954445</v>
      </c>
      <c r="Y57" s="522">
        <f>SUM($E56:Y56)</f>
        <v>0.89735930794395791</v>
      </c>
      <c r="Z57" s="522">
        <f>SUM($E56:Z56)</f>
        <v>0.89801481588594601</v>
      </c>
      <c r="AA57" s="522">
        <f>SUM($E56:AA56)</f>
        <v>0.89865088289162764</v>
      </c>
      <c r="AB57" s="522">
        <f>SUM($E56:AB56)</f>
        <v>0.89925791752561268</v>
      </c>
      <c r="AC57" s="522">
        <f>SUM($E56:AC56)</f>
        <v>1</v>
      </c>
      <c r="AD57" s="522">
        <f>SUM($E56:AD56)</f>
        <v>1</v>
      </c>
      <c r="AE57" s="522">
        <f>SUM($E56:AE56)</f>
        <v>1</v>
      </c>
      <c r="AF57" s="522">
        <f>SUM($E56:AF56)</f>
        <v>1</v>
      </c>
      <c r="AG57" s="522">
        <f>SUM($E56:AG56)</f>
        <v>1</v>
      </c>
      <c r="AH57" s="522">
        <f>SUM($E56:AH56)</f>
        <v>1</v>
      </c>
      <c r="AI57" s="522">
        <f>SUM($E56:AI56)</f>
        <v>1</v>
      </c>
      <c r="AJ57" s="522">
        <f>SUM($E56:AJ56)</f>
        <v>1</v>
      </c>
      <c r="AK57" s="522">
        <f>SUM($E56:AK56)</f>
        <v>1</v>
      </c>
      <c r="AL57" s="522">
        <f>SUM($E56:AL56)</f>
        <v>1</v>
      </c>
      <c r="AM57" s="522">
        <f>SUM($E56:AM56)</f>
        <v>1</v>
      </c>
      <c r="AN57" s="522">
        <f>SUM($E56:AN56)</f>
        <v>1</v>
      </c>
      <c r="AO57" s="521"/>
      <c r="AP57" s="530"/>
      <c r="AQ57" s="1028">
        <f t="shared" si="1"/>
        <v>51</v>
      </c>
      <c r="AR57" s="1030">
        <f t="shared" si="1"/>
        <v>7</v>
      </c>
      <c r="AT57" s="351"/>
      <c r="AU57" s="188"/>
      <c r="AV57" s="188"/>
      <c r="AW57" s="188"/>
      <c r="AX57" s="1049">
        <f>SUM(AY57:AZ57)</f>
        <v>1</v>
      </c>
      <c r="AY57" s="699">
        <f>AY58/$AX58</f>
        <v>0.56036851939162169</v>
      </c>
      <c r="AZ57" s="1050">
        <f>AZ58/$AX58</f>
        <v>0.43963148060837831</v>
      </c>
    </row>
    <row r="58" spans="1:52">
      <c r="A58" s="1009"/>
      <c r="B58" s="1010"/>
      <c r="C58" s="1010"/>
      <c r="D58" s="1010"/>
      <c r="E58" s="1010"/>
      <c r="F58" s="1010"/>
      <c r="G58" s="1010"/>
      <c r="H58" s="1010"/>
      <c r="I58" s="1010"/>
      <c r="J58" s="1010"/>
      <c r="K58" s="1010"/>
      <c r="L58" s="1010"/>
      <c r="M58" s="1010"/>
      <c r="N58" s="1010"/>
      <c r="O58" s="1010"/>
      <c r="P58" s="1010"/>
      <c r="Q58" s="1010"/>
      <c r="R58" s="1010"/>
      <c r="S58" s="1010"/>
      <c r="T58" s="1010"/>
      <c r="U58" s="1010"/>
      <c r="V58" s="1010"/>
      <c r="W58" s="1010"/>
      <c r="X58" s="1010"/>
      <c r="Y58" s="1010"/>
      <c r="Z58" s="1010"/>
      <c r="AA58" s="1010"/>
      <c r="AB58" s="1010"/>
      <c r="AC58" s="1010"/>
      <c r="AD58" s="1010"/>
      <c r="AE58" s="1010"/>
      <c r="AF58" s="1010"/>
      <c r="AG58" s="1010"/>
      <c r="AH58" s="1010"/>
      <c r="AI58" s="1010"/>
      <c r="AJ58" s="1010"/>
      <c r="AK58" s="1010"/>
      <c r="AL58" s="1010"/>
      <c r="AM58" s="1010"/>
      <c r="AN58" s="1010"/>
      <c r="AO58" s="1010"/>
      <c r="AP58" s="1011"/>
      <c r="AQ58" s="1028">
        <f t="shared" ref="AQ58:AQ68" si="26">AQ57+1</f>
        <v>52</v>
      </c>
      <c r="AR58" s="1030">
        <f t="shared" ref="AR58:AR68" si="27">AR57+1</f>
        <v>8</v>
      </c>
      <c r="AT58" s="351" t="s">
        <v>913</v>
      </c>
      <c r="AU58" s="188"/>
      <c r="AV58" s="188"/>
      <c r="AW58" s="188"/>
      <c r="AX58" s="156">
        <f>SUM(AY58:AZ58)</f>
        <v>57267</v>
      </c>
      <c r="AY58" s="831">
        <v>32090.624</v>
      </c>
      <c r="AZ58" s="1051">
        <v>25176.376</v>
      </c>
    </row>
    <row r="59" spans="1:52" s="188" customFormat="1">
      <c r="A59" s="518" t="s">
        <v>834</v>
      </c>
      <c r="C59" s="1020">
        <f>Pipe_NTP</f>
        <v>36342</v>
      </c>
      <c r="AP59" s="525"/>
      <c r="AQ59" s="1028">
        <f t="shared" si="26"/>
        <v>53</v>
      </c>
      <c r="AR59" s="1030">
        <f t="shared" si="27"/>
        <v>9</v>
      </c>
      <c r="AT59" s="351" t="s">
        <v>914</v>
      </c>
      <c r="AU59" s="1052">
        <v>36220</v>
      </c>
      <c r="AX59" s="883">
        <v>-15000</v>
      </c>
      <c r="AY59" s="298">
        <f>$AX59*AY57</f>
        <v>-8405.5277908743246</v>
      </c>
      <c r="AZ59" s="1053">
        <f>$AX59*AZ57</f>
        <v>-6594.4722091256745</v>
      </c>
    </row>
    <row r="60" spans="1:52" s="8" customFormat="1">
      <c r="A60" s="139" t="s">
        <v>835</v>
      </c>
      <c r="C60" s="1020">
        <f>Pipe_RFS</f>
        <v>36892</v>
      </c>
      <c r="H60" s="82" t="s">
        <v>837</v>
      </c>
      <c r="I60" s="825">
        <v>2</v>
      </c>
      <c r="AP60" s="416"/>
      <c r="AQ60" s="1028">
        <f t="shared" si="26"/>
        <v>54</v>
      </c>
      <c r="AR60" s="1030">
        <f t="shared" si="27"/>
        <v>10</v>
      </c>
      <c r="AT60" s="1054">
        <f>EDATE(AU59,1)</f>
        <v>36251</v>
      </c>
      <c r="AU60" s="188" t="s">
        <v>917</v>
      </c>
      <c r="AV60" s="1052">
        <v>36373</v>
      </c>
      <c r="AW60" s="188"/>
      <c r="AX60" s="156">
        <f>SUM(AX58:AX59)</f>
        <v>42267</v>
      </c>
      <c r="AY60" s="156">
        <f>SUM(AY58:AY59)</f>
        <v>23685.096209125673</v>
      </c>
      <c r="AZ60" s="1055">
        <f>SUM(AZ58:AZ59)</f>
        <v>18581.903790874327</v>
      </c>
    </row>
    <row r="61" spans="1:52" s="188" customFormat="1">
      <c r="A61" s="518" t="s">
        <v>836</v>
      </c>
      <c r="C61" s="1012">
        <f>ROUND((C60-C59)/(365/12),0)</f>
        <v>18</v>
      </c>
      <c r="V61" s="1062">
        <v>1</v>
      </c>
      <c r="W61" s="1062">
        <f>V61+1</f>
        <v>2</v>
      </c>
      <c r="X61" s="1062">
        <f t="shared" ref="X61:AN61" si="28">W61+1</f>
        <v>3</v>
      </c>
      <c r="Y61" s="1062">
        <f t="shared" si="28"/>
        <v>4</v>
      </c>
      <c r="Z61" s="1062">
        <f t="shared" si="28"/>
        <v>5</v>
      </c>
      <c r="AA61" s="1062">
        <f t="shared" si="28"/>
        <v>6</v>
      </c>
      <c r="AB61" s="1062">
        <f t="shared" si="28"/>
        <v>7</v>
      </c>
      <c r="AC61" s="1062">
        <f t="shared" si="28"/>
        <v>8</v>
      </c>
      <c r="AD61" s="1062">
        <f t="shared" si="28"/>
        <v>9</v>
      </c>
      <c r="AE61" s="1062">
        <f t="shared" si="28"/>
        <v>10</v>
      </c>
      <c r="AF61" s="1062">
        <f t="shared" si="28"/>
        <v>11</v>
      </c>
      <c r="AG61" s="1062">
        <f t="shared" si="28"/>
        <v>12</v>
      </c>
      <c r="AH61" s="1062">
        <f t="shared" si="28"/>
        <v>13</v>
      </c>
      <c r="AI61" s="1062">
        <f t="shared" si="28"/>
        <v>14</v>
      </c>
      <c r="AJ61" s="1062">
        <f t="shared" si="28"/>
        <v>15</v>
      </c>
      <c r="AK61" s="1062">
        <f t="shared" si="28"/>
        <v>16</v>
      </c>
      <c r="AL61" s="1062">
        <f t="shared" si="28"/>
        <v>17</v>
      </c>
      <c r="AM61" s="1062">
        <f t="shared" si="28"/>
        <v>18</v>
      </c>
      <c r="AN61" s="1062">
        <f t="shared" si="28"/>
        <v>19</v>
      </c>
      <c r="AP61" s="525"/>
      <c r="AQ61" s="1028">
        <f t="shared" si="26"/>
        <v>55</v>
      </c>
      <c r="AR61" s="1030">
        <f t="shared" si="27"/>
        <v>11</v>
      </c>
      <c r="AT61" s="351" t="s">
        <v>918</v>
      </c>
      <c r="AV61" s="1059">
        <f>ROUND((AV60-AT60)/(365/12),0)+1</f>
        <v>5</v>
      </c>
      <c r="AW61" s="188" t="s">
        <v>643</v>
      </c>
      <c r="AX61" s="156">
        <f>AX60/$AV61</f>
        <v>8453.4</v>
      </c>
      <c r="AY61" s="156">
        <f>AY60/$AV61</f>
        <v>4737.0192418251345</v>
      </c>
      <c r="AZ61" s="1055">
        <f>AZ60/$AV61</f>
        <v>3716.3807581748652</v>
      </c>
    </row>
    <row r="62" spans="1:52" s="345" customFormat="1">
      <c r="A62" s="983" t="s">
        <v>833</v>
      </c>
      <c r="B62" s="355"/>
      <c r="C62" s="355"/>
      <c r="D62" s="355"/>
      <c r="E62" s="984">
        <v>35886</v>
      </c>
      <c r="F62" s="985">
        <f t="shared" ref="F62:AN62" si="29">EDATE(E62,1)</f>
        <v>35916</v>
      </c>
      <c r="G62" s="985">
        <f t="shared" si="29"/>
        <v>35947</v>
      </c>
      <c r="H62" s="985">
        <f t="shared" si="29"/>
        <v>35977</v>
      </c>
      <c r="I62" s="985">
        <f t="shared" si="29"/>
        <v>36008</v>
      </c>
      <c r="J62" s="985">
        <f t="shared" si="29"/>
        <v>36039</v>
      </c>
      <c r="K62" s="985">
        <f t="shared" si="29"/>
        <v>36069</v>
      </c>
      <c r="L62" s="985">
        <f t="shared" si="29"/>
        <v>36100</v>
      </c>
      <c r="M62" s="985">
        <f t="shared" si="29"/>
        <v>36130</v>
      </c>
      <c r="N62" s="985">
        <f t="shared" si="29"/>
        <v>36161</v>
      </c>
      <c r="O62" s="985">
        <f t="shared" si="29"/>
        <v>36192</v>
      </c>
      <c r="P62" s="985">
        <f t="shared" si="29"/>
        <v>36220</v>
      </c>
      <c r="Q62" s="985">
        <f t="shared" si="29"/>
        <v>36251</v>
      </c>
      <c r="R62" s="985">
        <f t="shared" si="29"/>
        <v>36281</v>
      </c>
      <c r="S62" s="985">
        <f t="shared" si="29"/>
        <v>36312</v>
      </c>
      <c r="T62" s="985">
        <f t="shared" si="29"/>
        <v>36342</v>
      </c>
      <c r="U62" s="985">
        <f t="shared" si="29"/>
        <v>36373</v>
      </c>
      <c r="V62" s="985">
        <f t="shared" si="29"/>
        <v>36404</v>
      </c>
      <c r="W62" s="985">
        <f t="shared" si="29"/>
        <v>36434</v>
      </c>
      <c r="X62" s="985">
        <f t="shared" si="29"/>
        <v>36465</v>
      </c>
      <c r="Y62" s="985">
        <f t="shared" si="29"/>
        <v>36495</v>
      </c>
      <c r="Z62" s="985">
        <f t="shared" si="29"/>
        <v>36526</v>
      </c>
      <c r="AA62" s="985">
        <f t="shared" si="29"/>
        <v>36557</v>
      </c>
      <c r="AB62" s="985">
        <f t="shared" si="29"/>
        <v>36586</v>
      </c>
      <c r="AC62" s="985">
        <f t="shared" si="29"/>
        <v>36617</v>
      </c>
      <c r="AD62" s="985">
        <f t="shared" si="29"/>
        <v>36647</v>
      </c>
      <c r="AE62" s="985">
        <f t="shared" si="29"/>
        <v>36678</v>
      </c>
      <c r="AF62" s="985">
        <f t="shared" si="29"/>
        <v>36708</v>
      </c>
      <c r="AG62" s="985">
        <f t="shared" si="29"/>
        <v>36739</v>
      </c>
      <c r="AH62" s="985">
        <f t="shared" si="29"/>
        <v>36770</v>
      </c>
      <c r="AI62" s="985">
        <f t="shared" si="29"/>
        <v>36800</v>
      </c>
      <c r="AJ62" s="985">
        <f t="shared" si="29"/>
        <v>36831</v>
      </c>
      <c r="AK62" s="985">
        <f t="shared" si="29"/>
        <v>36861</v>
      </c>
      <c r="AL62" s="985">
        <f t="shared" si="29"/>
        <v>36892</v>
      </c>
      <c r="AM62" s="985">
        <f t="shared" si="29"/>
        <v>36923</v>
      </c>
      <c r="AN62" s="985">
        <f t="shared" si="29"/>
        <v>36951</v>
      </c>
      <c r="AO62" s="355"/>
      <c r="AP62" s="526"/>
      <c r="AQ62" s="1028">
        <f t="shared" si="26"/>
        <v>56</v>
      </c>
      <c r="AR62" s="1030">
        <f t="shared" si="27"/>
        <v>12</v>
      </c>
      <c r="AT62" s="351"/>
      <c r="AU62" s="188"/>
      <c r="AV62" s="188"/>
      <c r="AW62" s="188"/>
      <c r="AX62" s="188"/>
      <c r="AY62" s="188"/>
      <c r="AZ62" s="352"/>
    </row>
    <row r="63" spans="1:52" s="345" customFormat="1">
      <c r="A63" s="1115" t="s">
        <v>1001</v>
      </c>
      <c r="B63" s="356"/>
      <c r="C63" s="356"/>
      <c r="D63" s="356"/>
      <c r="E63" s="986">
        <f>E$6</f>
        <v>1</v>
      </c>
      <c r="F63" s="986">
        <f t="shared" ref="F63:AN63" si="30">F$6</f>
        <v>2</v>
      </c>
      <c r="G63" s="986">
        <f t="shared" si="30"/>
        <v>3</v>
      </c>
      <c r="H63" s="986">
        <f t="shared" si="30"/>
        <v>4</v>
      </c>
      <c r="I63" s="986">
        <f t="shared" si="30"/>
        <v>5</v>
      </c>
      <c r="J63" s="986">
        <f t="shared" si="30"/>
        <v>6</v>
      </c>
      <c r="K63" s="986">
        <f t="shared" si="30"/>
        <v>7</v>
      </c>
      <c r="L63" s="986">
        <f t="shared" si="30"/>
        <v>8</v>
      </c>
      <c r="M63" s="986">
        <f t="shared" si="30"/>
        <v>9</v>
      </c>
      <c r="N63" s="986">
        <f t="shared" si="30"/>
        <v>10</v>
      </c>
      <c r="O63" s="986">
        <f t="shared" si="30"/>
        <v>11</v>
      </c>
      <c r="P63" s="986">
        <f t="shared" si="30"/>
        <v>12</v>
      </c>
      <c r="Q63" s="986">
        <f t="shared" si="30"/>
        <v>13</v>
      </c>
      <c r="R63" s="986">
        <f t="shared" si="30"/>
        <v>14</v>
      </c>
      <c r="S63" s="986">
        <f t="shared" si="30"/>
        <v>15</v>
      </c>
      <c r="T63" s="986">
        <f t="shared" si="30"/>
        <v>16</v>
      </c>
      <c r="U63" s="986">
        <f t="shared" si="30"/>
        <v>17</v>
      </c>
      <c r="V63" s="986">
        <f t="shared" si="30"/>
        <v>18</v>
      </c>
      <c r="W63" s="986">
        <f t="shared" si="30"/>
        <v>19</v>
      </c>
      <c r="X63" s="986">
        <f t="shared" si="30"/>
        <v>20</v>
      </c>
      <c r="Y63" s="986">
        <f t="shared" si="30"/>
        <v>21</v>
      </c>
      <c r="Z63" s="986">
        <f t="shared" si="30"/>
        <v>22</v>
      </c>
      <c r="AA63" s="986">
        <f t="shared" si="30"/>
        <v>23</v>
      </c>
      <c r="AB63" s="986">
        <f t="shared" si="30"/>
        <v>24</v>
      </c>
      <c r="AC63" s="986">
        <f t="shared" si="30"/>
        <v>25</v>
      </c>
      <c r="AD63" s="986">
        <f t="shared" si="30"/>
        <v>26</v>
      </c>
      <c r="AE63" s="986">
        <f t="shared" si="30"/>
        <v>27</v>
      </c>
      <c r="AF63" s="986">
        <f t="shared" si="30"/>
        <v>28</v>
      </c>
      <c r="AG63" s="986">
        <f t="shared" si="30"/>
        <v>29</v>
      </c>
      <c r="AH63" s="986">
        <f t="shared" si="30"/>
        <v>30</v>
      </c>
      <c r="AI63" s="986">
        <f t="shared" si="30"/>
        <v>31</v>
      </c>
      <c r="AJ63" s="986">
        <f t="shared" si="30"/>
        <v>32</v>
      </c>
      <c r="AK63" s="986">
        <f t="shared" si="30"/>
        <v>33</v>
      </c>
      <c r="AL63" s="986">
        <f t="shared" si="30"/>
        <v>34</v>
      </c>
      <c r="AM63" s="986">
        <f t="shared" si="30"/>
        <v>35</v>
      </c>
      <c r="AN63" s="986">
        <f t="shared" si="30"/>
        <v>36</v>
      </c>
      <c r="AO63" s="356"/>
      <c r="AP63" s="527"/>
      <c r="AQ63" s="1028">
        <f t="shared" si="26"/>
        <v>57</v>
      </c>
      <c r="AR63" s="1030">
        <f t="shared" si="27"/>
        <v>13</v>
      </c>
      <c r="AT63" s="3" t="s">
        <v>922</v>
      </c>
      <c r="AU63" s="8"/>
      <c r="AV63" s="8"/>
      <c r="AW63" s="8"/>
      <c r="AX63" s="156">
        <f>SUM(AY63:AZ63)</f>
        <v>159412.163</v>
      </c>
      <c r="AY63" s="831">
        <v>92999.02800000002</v>
      </c>
      <c r="AZ63" s="1051">
        <v>66413.134999999995</v>
      </c>
    </row>
    <row r="64" spans="1:52" s="345" customFormat="1">
      <c r="A64" s="519"/>
      <c r="B64" s="356" t="s">
        <v>426</v>
      </c>
      <c r="C64" s="356"/>
      <c r="D64" s="356"/>
      <c r="E64" s="1044">
        <v>0</v>
      </c>
      <c r="F64" s="1045">
        <v>0</v>
      </c>
      <c r="G64" s="1045">
        <v>0</v>
      </c>
      <c r="H64" s="1045">
        <v>0</v>
      </c>
      <c r="I64" s="1045">
        <v>0</v>
      </c>
      <c r="J64" s="1045">
        <v>0</v>
      </c>
      <c r="K64" s="1045">
        <v>0</v>
      </c>
      <c r="L64" s="1045">
        <v>0</v>
      </c>
      <c r="M64" s="1045">
        <v>0</v>
      </c>
      <c r="N64" s="1045">
        <v>0</v>
      </c>
      <c r="O64" s="1045">
        <v>0</v>
      </c>
      <c r="P64" s="1013">
        <f>-AY59</f>
        <v>8405.5277908743246</v>
      </c>
      <c r="Q64" s="1058">
        <f>$AY61</f>
        <v>4737.0192418251345</v>
      </c>
      <c r="R64" s="1058">
        <f>$AY61</f>
        <v>4737.0192418251345</v>
      </c>
      <c r="S64" s="1058">
        <f>$AY61</f>
        <v>4737.0192418251345</v>
      </c>
      <c r="T64" s="1058">
        <f>$AY61</f>
        <v>4737.0192418251345</v>
      </c>
      <c r="U64" s="1058">
        <f>$AY61</f>
        <v>4737.0192418251345</v>
      </c>
      <c r="V64" s="1013">
        <f>IF(V61&gt;$AV$66,0,$AY$66)</f>
        <v>3582.8472941176483</v>
      </c>
      <c r="W64" s="1013">
        <f t="shared" ref="W64:AN64" si="31">IF(W61&gt;$AV$66,0,$AY$66)</f>
        <v>3582.8472941176483</v>
      </c>
      <c r="X64" s="1013">
        <f t="shared" si="31"/>
        <v>3582.8472941176483</v>
      </c>
      <c r="Y64" s="1013">
        <f t="shared" si="31"/>
        <v>3582.8472941176483</v>
      </c>
      <c r="Z64" s="1013">
        <f t="shared" si="31"/>
        <v>3582.8472941176483</v>
      </c>
      <c r="AA64" s="1013">
        <f t="shared" si="31"/>
        <v>3582.8472941176483</v>
      </c>
      <c r="AB64" s="1013">
        <f t="shared" si="31"/>
        <v>3582.8472941176483</v>
      </c>
      <c r="AC64" s="1013">
        <f t="shared" si="31"/>
        <v>3582.8472941176483</v>
      </c>
      <c r="AD64" s="1013">
        <f t="shared" si="31"/>
        <v>3582.8472941176483</v>
      </c>
      <c r="AE64" s="1013">
        <f t="shared" si="31"/>
        <v>3582.8472941176483</v>
      </c>
      <c r="AF64" s="1013">
        <f t="shared" si="31"/>
        <v>3582.8472941176483</v>
      </c>
      <c r="AG64" s="1013">
        <f t="shared" si="31"/>
        <v>3582.8472941176483</v>
      </c>
      <c r="AH64" s="1013">
        <f t="shared" si="31"/>
        <v>3582.8472941176483</v>
      </c>
      <c r="AI64" s="1013">
        <f t="shared" si="31"/>
        <v>3582.8472941176483</v>
      </c>
      <c r="AJ64" s="1013">
        <f t="shared" si="31"/>
        <v>3582.8472941176483</v>
      </c>
      <c r="AK64" s="1013">
        <f t="shared" si="31"/>
        <v>3582.8472941176483</v>
      </c>
      <c r="AL64" s="1013">
        <f t="shared" si="31"/>
        <v>3582.8472941176483</v>
      </c>
      <c r="AM64" s="1013">
        <f t="shared" si="31"/>
        <v>0</v>
      </c>
      <c r="AN64" s="1014">
        <f t="shared" si="31"/>
        <v>0</v>
      </c>
      <c r="AO64" s="369"/>
      <c r="AP64" s="528">
        <f>SUM(E64:AO64)</f>
        <v>92999.02800000002</v>
      </c>
      <c r="AQ64" s="1028">
        <f t="shared" si="26"/>
        <v>58</v>
      </c>
      <c r="AR64" s="1030">
        <f t="shared" si="27"/>
        <v>14</v>
      </c>
      <c r="AT64" s="3" t="s">
        <v>923</v>
      </c>
      <c r="AU64" s="8"/>
      <c r="AV64" s="8"/>
      <c r="AW64" s="8"/>
      <c r="AX64" s="226">
        <f>-AX58</f>
        <v>-57267</v>
      </c>
      <c r="AY64" s="226">
        <f>-AY58</f>
        <v>-32090.624</v>
      </c>
      <c r="AZ64" s="1060">
        <f>-AZ58</f>
        <v>-25176.376</v>
      </c>
    </row>
    <row r="65" spans="1:52" s="345" customFormat="1">
      <c r="A65" s="519"/>
      <c r="B65" s="356" t="s">
        <v>427</v>
      </c>
      <c r="C65" s="356"/>
      <c r="D65" s="356"/>
      <c r="E65" s="369">
        <f>SUM($E64:E64)</f>
        <v>0</v>
      </c>
      <c r="F65" s="369">
        <f>SUM($E64:F64)</f>
        <v>0</v>
      </c>
      <c r="G65" s="369">
        <f>SUM($E64:G64)</f>
        <v>0</v>
      </c>
      <c r="H65" s="369">
        <f>SUM($E64:H64)</f>
        <v>0</v>
      </c>
      <c r="I65" s="369">
        <f>SUM($E64:I64)</f>
        <v>0</v>
      </c>
      <c r="J65" s="369">
        <f>SUM($E64:J64)</f>
        <v>0</v>
      </c>
      <c r="K65" s="369">
        <f>SUM($E64:K64)</f>
        <v>0</v>
      </c>
      <c r="L65" s="369">
        <f>SUM($E64:L64)</f>
        <v>0</v>
      </c>
      <c r="M65" s="369">
        <f>SUM($E64:M64)</f>
        <v>0</v>
      </c>
      <c r="N65" s="369">
        <f>SUM($E64:N64)</f>
        <v>0</v>
      </c>
      <c r="O65" s="369">
        <f>SUM($E64:O64)</f>
        <v>0</v>
      </c>
      <c r="P65" s="369">
        <f>SUM($E64:P64)</f>
        <v>8405.5277908743246</v>
      </c>
      <c r="Q65" s="369">
        <f>SUM($E64:Q64)</f>
        <v>13142.547032699458</v>
      </c>
      <c r="R65" s="369">
        <f>SUM($E64:R64)</f>
        <v>17879.566274524594</v>
      </c>
      <c r="S65" s="369">
        <f>SUM($E64:S64)</f>
        <v>22616.585516349729</v>
      </c>
      <c r="T65" s="369">
        <f>SUM($E64:T64)</f>
        <v>27353.604758174864</v>
      </c>
      <c r="U65" s="369">
        <f>SUM($E64:U64)</f>
        <v>32090.624</v>
      </c>
      <c r="V65" s="369">
        <f>SUM($E64:V64)</f>
        <v>35673.471294117648</v>
      </c>
      <c r="W65" s="369">
        <f>SUM($E64:W64)</f>
        <v>39256.318588235299</v>
      </c>
      <c r="X65" s="369">
        <f>SUM($E64:X64)</f>
        <v>42839.165882352951</v>
      </c>
      <c r="Y65" s="369">
        <f>SUM($E64:Y64)</f>
        <v>46422.013176470602</v>
      </c>
      <c r="Z65" s="369">
        <f>SUM($E64:Z64)</f>
        <v>50004.860470588254</v>
      </c>
      <c r="AA65" s="369">
        <f>SUM($E64:AA64)</f>
        <v>53587.707764705905</v>
      </c>
      <c r="AB65" s="369">
        <f>SUM($E64:AB64)</f>
        <v>57170.555058823556</v>
      </c>
      <c r="AC65" s="369">
        <f>SUM($E64:AC64)</f>
        <v>60753.402352941208</v>
      </c>
      <c r="AD65" s="369">
        <f>SUM($E64:AD64)</f>
        <v>64336.249647058859</v>
      </c>
      <c r="AE65" s="369">
        <f>SUM($E64:AE64)</f>
        <v>67919.096941176511</v>
      </c>
      <c r="AF65" s="369">
        <f>SUM($E64:AF64)</f>
        <v>71501.944235294155</v>
      </c>
      <c r="AG65" s="369">
        <f>SUM($E64:AG64)</f>
        <v>75084.791529411799</v>
      </c>
      <c r="AH65" s="369">
        <f>SUM($E64:AH64)</f>
        <v>78667.638823529443</v>
      </c>
      <c r="AI65" s="369">
        <f>SUM($E64:AI64)</f>
        <v>82250.486117647088</v>
      </c>
      <c r="AJ65" s="369">
        <f>SUM($E64:AJ64)</f>
        <v>85833.333411764732</v>
      </c>
      <c r="AK65" s="369">
        <f>SUM($E64:AK64)</f>
        <v>89416.180705882376</v>
      </c>
      <c r="AL65" s="369">
        <f>SUM($E64:AL64)</f>
        <v>92999.02800000002</v>
      </c>
      <c r="AM65" s="369">
        <f>SUM($E64:AM64)</f>
        <v>92999.02800000002</v>
      </c>
      <c r="AN65" s="369">
        <f>SUM($E64:AN64)</f>
        <v>92999.02800000002</v>
      </c>
      <c r="AO65" s="369"/>
      <c r="AP65" s="528"/>
      <c r="AQ65" s="1028">
        <f t="shared" si="26"/>
        <v>59</v>
      </c>
      <c r="AR65" s="1030">
        <f t="shared" si="27"/>
        <v>15</v>
      </c>
      <c r="AT65" s="3" t="s">
        <v>924</v>
      </c>
      <c r="AU65" s="8"/>
      <c r="AV65" s="8"/>
      <c r="AW65" s="8"/>
      <c r="AX65" s="53">
        <f>SUM(AX63:AX64)</f>
        <v>102145.163</v>
      </c>
      <c r="AY65" s="53">
        <f>SUM(AY63:AY64)</f>
        <v>60908.404000000024</v>
      </c>
      <c r="AZ65" s="61">
        <f>SUM(AZ63:AZ64)</f>
        <v>41236.758999999991</v>
      </c>
    </row>
    <row r="66" spans="1:52" s="345" customFormat="1">
      <c r="A66" s="519"/>
      <c r="B66" s="35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56"/>
      <c r="AA66" s="356"/>
      <c r="AB66" s="356"/>
      <c r="AC66" s="356"/>
      <c r="AD66" s="356"/>
      <c r="AE66" s="356"/>
      <c r="AF66" s="356"/>
      <c r="AG66" s="356"/>
      <c r="AH66" s="356"/>
      <c r="AI66" s="356"/>
      <c r="AJ66" s="356"/>
      <c r="AK66" s="356"/>
      <c r="AL66" s="356"/>
      <c r="AM66" s="356"/>
      <c r="AN66" s="356"/>
      <c r="AO66" s="356"/>
      <c r="AP66" s="527"/>
      <c r="AQ66" s="1028">
        <f t="shared" si="26"/>
        <v>60</v>
      </c>
      <c r="AR66" s="1030">
        <f t="shared" si="27"/>
        <v>16</v>
      </c>
      <c r="AT66" s="3" t="s">
        <v>918</v>
      </c>
      <c r="AU66" s="8"/>
      <c r="AV66" s="1059">
        <f>AW69</f>
        <v>17</v>
      </c>
      <c r="AW66" s="188" t="s">
        <v>643</v>
      </c>
      <c r="AX66" s="156">
        <f>AX65/$AV66</f>
        <v>6008.5389999999998</v>
      </c>
      <c r="AY66" s="156">
        <f>AY65/$AV66</f>
        <v>3582.8472941176483</v>
      </c>
      <c r="AZ66" s="1055">
        <f>AZ65/$AV66</f>
        <v>2425.6917058823524</v>
      </c>
    </row>
    <row r="67" spans="1:52" s="345" customFormat="1">
      <c r="A67" s="519"/>
      <c r="B67" s="356" t="s">
        <v>428</v>
      </c>
      <c r="C67" s="356"/>
      <c r="D67" s="356"/>
      <c r="E67" s="357">
        <f t="shared" ref="E67:AN67" si="32">E64/$AP$53</f>
        <v>0</v>
      </c>
      <c r="F67" s="357">
        <f t="shared" si="32"/>
        <v>0</v>
      </c>
      <c r="G67" s="357">
        <f t="shared" si="32"/>
        <v>0</v>
      </c>
      <c r="H67" s="357">
        <f t="shared" si="32"/>
        <v>0</v>
      </c>
      <c r="I67" s="357">
        <f t="shared" si="32"/>
        <v>0</v>
      </c>
      <c r="J67" s="357">
        <f t="shared" si="32"/>
        <v>0</v>
      </c>
      <c r="K67" s="357">
        <f t="shared" si="32"/>
        <v>0</v>
      </c>
      <c r="L67" s="357">
        <f t="shared" si="32"/>
        <v>0</v>
      </c>
      <c r="M67" s="357">
        <f t="shared" si="32"/>
        <v>0</v>
      </c>
      <c r="N67" s="357">
        <f t="shared" si="32"/>
        <v>0</v>
      </c>
      <c r="O67" s="357">
        <f t="shared" si="32"/>
        <v>0</v>
      </c>
      <c r="P67" s="357">
        <f t="shared" si="32"/>
        <v>9.0382373011377415E-2</v>
      </c>
      <c r="Q67" s="357">
        <f t="shared" si="32"/>
        <v>5.093589013429186E-2</v>
      </c>
      <c r="R67" s="357">
        <f t="shared" si="32"/>
        <v>5.093589013429186E-2</v>
      </c>
      <c r="S67" s="357">
        <f t="shared" si="32"/>
        <v>5.093589013429186E-2</v>
      </c>
      <c r="T67" s="357">
        <f t="shared" si="32"/>
        <v>5.093589013429186E-2</v>
      </c>
      <c r="U67" s="357">
        <f t="shared" si="32"/>
        <v>5.093589013429186E-2</v>
      </c>
      <c r="V67" s="357">
        <f t="shared" si="32"/>
        <v>3.852539050924509E-2</v>
      </c>
      <c r="W67" s="357">
        <f t="shared" si="32"/>
        <v>3.852539050924509E-2</v>
      </c>
      <c r="X67" s="357">
        <f t="shared" si="32"/>
        <v>3.852539050924509E-2</v>
      </c>
      <c r="Y67" s="357">
        <f t="shared" si="32"/>
        <v>3.852539050924509E-2</v>
      </c>
      <c r="Z67" s="357">
        <f t="shared" si="32"/>
        <v>3.852539050924509E-2</v>
      </c>
      <c r="AA67" s="357">
        <f t="shared" si="32"/>
        <v>3.852539050924509E-2</v>
      </c>
      <c r="AB67" s="357">
        <f t="shared" si="32"/>
        <v>3.852539050924509E-2</v>
      </c>
      <c r="AC67" s="357">
        <f t="shared" si="32"/>
        <v>3.852539050924509E-2</v>
      </c>
      <c r="AD67" s="357">
        <f t="shared" si="32"/>
        <v>3.852539050924509E-2</v>
      </c>
      <c r="AE67" s="357">
        <f t="shared" si="32"/>
        <v>3.852539050924509E-2</v>
      </c>
      <c r="AF67" s="357">
        <f t="shared" si="32"/>
        <v>3.852539050924509E-2</v>
      </c>
      <c r="AG67" s="357">
        <f t="shared" si="32"/>
        <v>3.852539050924509E-2</v>
      </c>
      <c r="AH67" s="357">
        <f t="shared" si="32"/>
        <v>3.852539050924509E-2</v>
      </c>
      <c r="AI67" s="357">
        <f t="shared" si="32"/>
        <v>3.852539050924509E-2</v>
      </c>
      <c r="AJ67" s="357">
        <f t="shared" si="32"/>
        <v>3.852539050924509E-2</v>
      </c>
      <c r="AK67" s="357">
        <f t="shared" si="32"/>
        <v>3.852539050924509E-2</v>
      </c>
      <c r="AL67" s="357">
        <f t="shared" si="32"/>
        <v>3.852539050924509E-2</v>
      </c>
      <c r="AM67" s="357">
        <f t="shared" si="32"/>
        <v>0</v>
      </c>
      <c r="AN67" s="357">
        <f t="shared" si="32"/>
        <v>0</v>
      </c>
      <c r="AO67" s="356"/>
      <c r="AP67" s="529">
        <f>SUM(E67:AO67)</f>
        <v>0.99999346234000319</v>
      </c>
      <c r="AQ67" s="1028">
        <f t="shared" si="26"/>
        <v>61</v>
      </c>
      <c r="AR67" s="1030">
        <f t="shared" si="27"/>
        <v>17</v>
      </c>
      <c r="AT67" s="3"/>
      <c r="AU67" s="8"/>
      <c r="AV67" s="8"/>
      <c r="AW67" s="8"/>
      <c r="AX67" s="8"/>
      <c r="AY67" s="8"/>
      <c r="AZ67" s="9"/>
    </row>
    <row r="68" spans="1:52" s="345" customFormat="1">
      <c r="A68" s="520"/>
      <c r="B68" s="521" t="s">
        <v>429</v>
      </c>
      <c r="C68" s="521"/>
      <c r="D68" s="521"/>
      <c r="E68" s="522">
        <f>SUM($E67:E67)</f>
        <v>0</v>
      </c>
      <c r="F68" s="522">
        <f>SUM($E67:F67)</f>
        <v>0</v>
      </c>
      <c r="G68" s="522">
        <f>SUM($E67:G67)</f>
        <v>0</v>
      </c>
      <c r="H68" s="522">
        <f>SUM($E67:H67)</f>
        <v>0</v>
      </c>
      <c r="I68" s="522">
        <f>SUM($E67:I67)</f>
        <v>0</v>
      </c>
      <c r="J68" s="522">
        <f>SUM($E67:J67)</f>
        <v>0</v>
      </c>
      <c r="K68" s="522">
        <f>SUM($E67:K67)</f>
        <v>0</v>
      </c>
      <c r="L68" s="522">
        <f>SUM($E67:L67)</f>
        <v>0</v>
      </c>
      <c r="M68" s="522">
        <f>SUM($E67:M67)</f>
        <v>0</v>
      </c>
      <c r="N68" s="522">
        <f>SUM($E67:N67)</f>
        <v>0</v>
      </c>
      <c r="O68" s="522">
        <f>SUM($E67:O67)</f>
        <v>0</v>
      </c>
      <c r="P68" s="522">
        <f>SUM($E67:P67)</f>
        <v>9.0382373011377415E-2</v>
      </c>
      <c r="Q68" s="522">
        <f>SUM($E67:Q67)</f>
        <v>0.14131826314566928</v>
      </c>
      <c r="R68" s="522">
        <f>SUM($E67:R67)</f>
        <v>0.19225415327996115</v>
      </c>
      <c r="S68" s="522">
        <f>SUM($E67:S67)</f>
        <v>0.24319004341425302</v>
      </c>
      <c r="T68" s="522">
        <f>SUM($E67:T67)</f>
        <v>0.29412593354854488</v>
      </c>
      <c r="U68" s="522">
        <f>SUM($E67:U67)</f>
        <v>0.34506182368283672</v>
      </c>
      <c r="V68" s="522">
        <f>SUM($E67:V67)</f>
        <v>0.3835872141920818</v>
      </c>
      <c r="W68" s="522">
        <f>SUM($E67:W67)</f>
        <v>0.42211260470132689</v>
      </c>
      <c r="X68" s="522">
        <f>SUM($E67:X67)</f>
        <v>0.46063799521057197</v>
      </c>
      <c r="Y68" s="522">
        <f>SUM($E67:Y67)</f>
        <v>0.49916338571981705</v>
      </c>
      <c r="Z68" s="522">
        <f>SUM($E67:Z67)</f>
        <v>0.53768877622906219</v>
      </c>
      <c r="AA68" s="522">
        <f>SUM($E67:AA67)</f>
        <v>0.57621416673830728</v>
      </c>
      <c r="AB68" s="522">
        <f>SUM($E67:AB67)</f>
        <v>0.61473955724755236</v>
      </c>
      <c r="AC68" s="522">
        <f>SUM($E67:AC67)</f>
        <v>0.65326494775679744</v>
      </c>
      <c r="AD68" s="522">
        <f>SUM($E67:AD67)</f>
        <v>0.69179033826604253</v>
      </c>
      <c r="AE68" s="522">
        <f>SUM($E67:AE67)</f>
        <v>0.73031572877528761</v>
      </c>
      <c r="AF68" s="522">
        <f>SUM($E67:AF67)</f>
        <v>0.76884111928453269</v>
      </c>
      <c r="AG68" s="522">
        <f>SUM($E67:AG67)</f>
        <v>0.80736650979377778</v>
      </c>
      <c r="AH68" s="522">
        <f>SUM($E67:AH67)</f>
        <v>0.84589190030302286</v>
      </c>
      <c r="AI68" s="522">
        <f>SUM($E67:AI67)</f>
        <v>0.88441729081226794</v>
      </c>
      <c r="AJ68" s="522">
        <f>SUM($E67:AJ67)</f>
        <v>0.92294268132151303</v>
      </c>
      <c r="AK68" s="522">
        <f>SUM($E67:AK67)</f>
        <v>0.96146807183075811</v>
      </c>
      <c r="AL68" s="522">
        <f>SUM($E67:AL67)</f>
        <v>0.99999346234000319</v>
      </c>
      <c r="AM68" s="522">
        <f>SUM($E67:AM67)</f>
        <v>0.99999346234000319</v>
      </c>
      <c r="AN68" s="522">
        <f>SUM($E67:AN67)</f>
        <v>0.99999346234000319</v>
      </c>
      <c r="AO68" s="521"/>
      <c r="AP68" s="530"/>
      <c r="AQ68" s="1028">
        <f t="shared" si="26"/>
        <v>62</v>
      </c>
      <c r="AR68" s="1030">
        <f t="shared" si="27"/>
        <v>18</v>
      </c>
      <c r="AT68" s="3" t="s">
        <v>920</v>
      </c>
      <c r="AU68" s="8"/>
      <c r="AV68" s="1020">
        <f>C60</f>
        <v>36892</v>
      </c>
      <c r="AW68" s="8"/>
      <c r="AX68" s="8"/>
      <c r="AY68" s="8"/>
      <c r="AZ68" s="9"/>
    </row>
    <row r="69" spans="1:52" ht="13.5" thickBot="1">
      <c r="A69" s="141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429"/>
      <c r="AT69" s="11" t="s">
        <v>921</v>
      </c>
      <c r="AU69" s="10"/>
      <c r="AV69" s="10"/>
      <c r="AW69" s="1056">
        <f>ROUND((AV68-AV60)/(365/12),0)</f>
        <v>17</v>
      </c>
      <c r="AX69" s="10"/>
      <c r="AY69" s="10"/>
      <c r="AZ69" s="1061"/>
    </row>
    <row r="71" spans="1:52" ht="13.5" thickBot="1"/>
    <row r="72" spans="1:52">
      <c r="A72" s="1125"/>
      <c r="B72" s="1126"/>
      <c r="C72" s="1126"/>
      <c r="D72" s="1126"/>
      <c r="E72" s="1126"/>
      <c r="F72" s="1126"/>
      <c r="G72" s="1126"/>
      <c r="H72" s="1126"/>
      <c r="I72" s="1126"/>
      <c r="J72" s="1126"/>
      <c r="K72" s="1126"/>
      <c r="L72" s="1126"/>
      <c r="M72" s="1126"/>
      <c r="N72" s="1126"/>
      <c r="O72" s="1126"/>
      <c r="P72" s="1126"/>
      <c r="Q72" s="1126"/>
      <c r="R72" s="1126"/>
      <c r="S72" s="1126"/>
      <c r="T72" s="1126"/>
      <c r="U72" s="1126"/>
      <c r="V72" s="1126"/>
      <c r="W72" s="1126"/>
      <c r="X72" s="1126"/>
      <c r="Y72" s="1126"/>
      <c r="Z72" s="1126"/>
      <c r="AA72" s="1126"/>
      <c r="AB72" s="1126"/>
      <c r="AC72" s="1126"/>
      <c r="AD72" s="1127" t="s">
        <v>192</v>
      </c>
    </row>
    <row r="73" spans="1:52" ht="18">
      <c r="A73" s="1128" t="s">
        <v>1004</v>
      </c>
      <c r="B73" s="1119"/>
      <c r="C73" s="1119"/>
      <c r="D73" s="1119"/>
      <c r="E73" s="1120">
        <v>35887</v>
      </c>
      <c r="F73" s="1120">
        <v>35917</v>
      </c>
      <c r="G73" s="1120">
        <v>35947</v>
      </c>
      <c r="H73" s="1120">
        <v>35977</v>
      </c>
      <c r="I73" s="1120">
        <v>36008</v>
      </c>
      <c r="J73" s="1120">
        <v>36039</v>
      </c>
      <c r="K73" s="1120">
        <v>36070</v>
      </c>
      <c r="L73" s="1120">
        <v>36100</v>
      </c>
      <c r="M73" s="1120">
        <v>36130</v>
      </c>
      <c r="N73" s="1120">
        <v>36161</v>
      </c>
      <c r="O73" s="1120">
        <v>36192</v>
      </c>
      <c r="P73" s="1120">
        <v>36222</v>
      </c>
      <c r="Q73" s="1120">
        <v>36252</v>
      </c>
      <c r="R73" s="1120">
        <v>36282</v>
      </c>
      <c r="S73" s="1120">
        <v>36312</v>
      </c>
      <c r="T73" s="1120">
        <v>36342</v>
      </c>
      <c r="U73" s="1120">
        <v>36373</v>
      </c>
      <c r="V73" s="1120">
        <v>36404</v>
      </c>
      <c r="W73" s="1120">
        <v>36434</v>
      </c>
      <c r="X73" s="1120">
        <v>36465</v>
      </c>
      <c r="Y73" s="1120">
        <v>36495</v>
      </c>
      <c r="Z73" s="1120">
        <v>36526</v>
      </c>
      <c r="AA73" s="1120">
        <v>36557</v>
      </c>
      <c r="AB73" s="1120">
        <v>36586</v>
      </c>
      <c r="AC73" s="1120">
        <v>36617</v>
      </c>
      <c r="AD73" s="1129" t="s">
        <v>1005</v>
      </c>
    </row>
    <row r="74" spans="1:52">
      <c r="A74" s="1130" t="s">
        <v>1013</v>
      </c>
      <c r="B74" s="1116"/>
      <c r="C74" s="1116"/>
      <c r="D74" s="1116"/>
      <c r="E74" s="1116"/>
      <c r="F74" s="1116"/>
      <c r="G74" s="1116"/>
      <c r="H74" s="1116"/>
      <c r="I74" s="1116"/>
      <c r="J74" s="1116"/>
      <c r="K74" s="1116"/>
      <c r="L74" s="1116"/>
      <c r="M74" s="1116"/>
      <c r="N74" s="1116"/>
      <c r="O74" s="1116"/>
      <c r="P74" s="1116"/>
      <c r="Q74" s="1116"/>
      <c r="R74" s="1116"/>
      <c r="S74" s="1116"/>
      <c r="T74" s="1116"/>
      <c r="U74" s="1116"/>
      <c r="V74" s="1116"/>
      <c r="W74" s="1116"/>
      <c r="X74" s="1195"/>
      <c r="Y74" s="1195"/>
      <c r="Z74" s="1195"/>
      <c r="AA74" s="1195"/>
      <c r="AB74" s="1195"/>
      <c r="AC74" s="1195"/>
      <c r="AD74" s="1131"/>
    </row>
    <row r="75" spans="1:52" s="1310" customFormat="1">
      <c r="A75" s="1306" t="s">
        <v>1006</v>
      </c>
      <c r="B75" s="1307"/>
      <c r="C75" s="1307"/>
      <c r="D75" s="1307"/>
      <c r="E75" s="1308"/>
      <c r="F75" s="1308"/>
      <c r="G75" s="1308"/>
      <c r="H75" s="1308"/>
      <c r="I75" s="1308"/>
      <c r="J75" s="1308"/>
      <c r="K75" s="1308"/>
      <c r="L75" s="1308"/>
      <c r="M75" s="1308"/>
      <c r="N75" s="1308"/>
      <c r="O75" s="1308"/>
      <c r="P75" s="1308"/>
      <c r="Q75" s="1308"/>
      <c r="R75" s="1308"/>
      <c r="S75" s="1308"/>
      <c r="T75" s="1308"/>
      <c r="U75" s="1308"/>
      <c r="V75" s="1308"/>
      <c r="W75" s="1308"/>
      <c r="X75" s="1308"/>
      <c r="Y75" s="1308"/>
      <c r="Z75" s="1308"/>
      <c r="AA75" s="1308"/>
      <c r="AB75" s="1308"/>
      <c r="AC75" s="1308"/>
      <c r="AD75" s="1309"/>
    </row>
    <row r="76" spans="1:52" s="1310" customFormat="1">
      <c r="A76" s="1311"/>
      <c r="B76" s="1307" t="s">
        <v>1007</v>
      </c>
      <c r="C76" s="1307"/>
      <c r="D76" s="1307"/>
      <c r="E76" s="1123">
        <v>0</v>
      </c>
      <c r="F76" s="1123">
        <v>0</v>
      </c>
      <c r="G76" s="1123">
        <v>0</v>
      </c>
      <c r="H76" s="1123">
        <v>0</v>
      </c>
      <c r="I76" s="1123">
        <v>0</v>
      </c>
      <c r="J76" s="1123">
        <v>4072.33637</v>
      </c>
      <c r="K76" s="1123">
        <v>0</v>
      </c>
      <c r="L76" s="1123">
        <v>0</v>
      </c>
      <c r="M76" s="1123">
        <v>6300</v>
      </c>
      <c r="N76" s="1123">
        <v>4327</v>
      </c>
      <c r="O76" s="1123">
        <v>2178</v>
      </c>
      <c r="P76" s="1123">
        <v>7899.509</v>
      </c>
      <c r="Q76" s="1123">
        <v>5560</v>
      </c>
      <c r="R76" s="1123">
        <v>4625</v>
      </c>
      <c r="S76" s="1123">
        <v>4996.1589999999997</v>
      </c>
      <c r="T76" s="1123">
        <v>41.995640000000598</v>
      </c>
      <c r="U76" s="1123">
        <v>0</v>
      </c>
      <c r="V76" s="1123">
        <v>0</v>
      </c>
      <c r="W76" s="1123">
        <v>0</v>
      </c>
      <c r="X76" s="1123">
        <v>0</v>
      </c>
      <c r="Y76" s="1123">
        <v>0</v>
      </c>
      <c r="Z76" s="1123">
        <v>0</v>
      </c>
      <c r="AA76" s="1123">
        <v>0</v>
      </c>
      <c r="AB76" s="1123">
        <v>0</v>
      </c>
      <c r="AC76" s="1123">
        <v>0</v>
      </c>
      <c r="AD76" s="1305">
        <f>SUM(E76:AC76)</f>
        <v>40000.000010000003</v>
      </c>
    </row>
    <row r="77" spans="1:52">
      <c r="A77" s="1134"/>
      <c r="B77" s="1121" t="s">
        <v>1008</v>
      </c>
      <c r="C77" s="1116"/>
      <c r="D77" s="1116"/>
      <c r="E77" s="1123">
        <v>0</v>
      </c>
      <c r="F77" s="1123">
        <v>0</v>
      </c>
      <c r="G77" s="1123">
        <v>0</v>
      </c>
      <c r="H77" s="1123">
        <v>0</v>
      </c>
      <c r="I77" s="1123">
        <v>0</v>
      </c>
      <c r="J77" s="1123">
        <v>0</v>
      </c>
      <c r="K77" s="1123">
        <v>0</v>
      </c>
      <c r="L77" s="1123">
        <v>0</v>
      </c>
      <c r="M77" s="1123">
        <v>0</v>
      </c>
      <c r="N77" s="1123">
        <v>0</v>
      </c>
      <c r="O77" s="1123">
        <v>0</v>
      </c>
      <c r="P77" s="1123">
        <v>0</v>
      </c>
      <c r="Q77" s="1123">
        <v>0</v>
      </c>
      <c r="R77" s="1123">
        <v>0</v>
      </c>
      <c r="S77" s="1123">
        <v>0</v>
      </c>
      <c r="T77" s="1123">
        <v>19943.380359999999</v>
      </c>
      <c r="U77" s="1123">
        <v>5445.7039999999997</v>
      </c>
      <c r="V77" s="1123">
        <v>0</v>
      </c>
      <c r="W77" s="1123">
        <v>5128</v>
      </c>
      <c r="X77" s="1123">
        <v>8600</v>
      </c>
      <c r="Y77" s="1123">
        <v>8200</v>
      </c>
      <c r="Z77" s="1123">
        <v>7594</v>
      </c>
      <c r="AA77" s="1123">
        <v>5990</v>
      </c>
      <c r="AB77" s="1123">
        <v>0</v>
      </c>
      <c r="AC77" s="1123">
        <v>5400</v>
      </c>
      <c r="AD77" s="1135">
        <f>SUM(E77:AC77)</f>
        <v>66301.084360000008</v>
      </c>
    </row>
    <row r="78" spans="1:52">
      <c r="A78" s="1134"/>
      <c r="B78" s="1121" t="s">
        <v>1009</v>
      </c>
      <c r="C78" s="1116"/>
      <c r="D78" s="1116"/>
      <c r="E78" s="1123">
        <v>0</v>
      </c>
      <c r="F78" s="1123">
        <v>0</v>
      </c>
      <c r="G78" s="1123">
        <v>0</v>
      </c>
      <c r="H78" s="1123">
        <v>0</v>
      </c>
      <c r="I78" s="1123">
        <v>0</v>
      </c>
      <c r="J78" s="1123">
        <v>0</v>
      </c>
      <c r="K78" s="1123">
        <v>0</v>
      </c>
      <c r="L78" s="1123">
        <v>0</v>
      </c>
      <c r="M78" s="1123">
        <v>0</v>
      </c>
      <c r="N78" s="1123">
        <v>0</v>
      </c>
      <c r="O78" s="1123">
        <v>0</v>
      </c>
      <c r="P78" s="1123">
        <v>0</v>
      </c>
      <c r="Q78" s="1123">
        <v>0</v>
      </c>
      <c r="R78" s="1123">
        <v>0</v>
      </c>
      <c r="S78" s="1123">
        <v>0</v>
      </c>
      <c r="T78" s="1123">
        <v>0</v>
      </c>
      <c r="U78" s="1123">
        <v>0</v>
      </c>
      <c r="V78" s="1123">
        <v>0</v>
      </c>
      <c r="W78" s="1123">
        <v>0</v>
      </c>
      <c r="X78" s="1123">
        <v>0</v>
      </c>
      <c r="Y78" s="1123">
        <v>0</v>
      </c>
      <c r="Z78" s="1123">
        <v>0</v>
      </c>
      <c r="AA78" s="1123">
        <v>0</v>
      </c>
      <c r="AB78" s="1123">
        <v>0</v>
      </c>
      <c r="AC78" s="1123">
        <v>0</v>
      </c>
      <c r="AD78" s="1135">
        <f>SUM(E78:AC78)</f>
        <v>0</v>
      </c>
    </row>
    <row r="79" spans="1:52">
      <c r="A79" s="1134"/>
      <c r="B79" s="1121" t="s">
        <v>1010</v>
      </c>
      <c r="C79" s="1116"/>
      <c r="D79" s="1116"/>
      <c r="E79" s="1123">
        <v>0</v>
      </c>
      <c r="F79" s="1123">
        <v>0</v>
      </c>
      <c r="G79" s="1123">
        <v>0</v>
      </c>
      <c r="H79" s="1123">
        <v>0</v>
      </c>
      <c r="I79" s="1123">
        <v>0</v>
      </c>
      <c r="J79" s="1123">
        <v>0</v>
      </c>
      <c r="K79" s="1123">
        <v>0</v>
      </c>
      <c r="L79" s="1123">
        <v>0</v>
      </c>
      <c r="M79" s="1123">
        <v>0</v>
      </c>
      <c r="N79" s="1123">
        <v>0</v>
      </c>
      <c r="O79" s="1123">
        <v>0</v>
      </c>
      <c r="P79" s="1123">
        <v>0</v>
      </c>
      <c r="Q79" s="1123">
        <v>0</v>
      </c>
      <c r="R79" s="1123">
        <v>0</v>
      </c>
      <c r="S79" s="1123">
        <v>0</v>
      </c>
      <c r="T79" s="1123">
        <v>0</v>
      </c>
      <c r="U79" s="1123">
        <v>0</v>
      </c>
      <c r="V79" s="1123">
        <v>0</v>
      </c>
      <c r="W79" s="1123">
        <v>0</v>
      </c>
      <c r="X79" s="1123">
        <v>0</v>
      </c>
      <c r="Y79" s="1123">
        <v>0</v>
      </c>
      <c r="Z79" s="1123">
        <v>0</v>
      </c>
      <c r="AA79" s="1123">
        <v>0</v>
      </c>
      <c r="AB79" s="1123">
        <v>0</v>
      </c>
      <c r="AC79" s="1123">
        <v>0</v>
      </c>
      <c r="AD79" s="1135">
        <f>SUM(E79:AC79)</f>
        <v>0</v>
      </c>
    </row>
    <row r="80" spans="1:52">
      <c r="A80" s="1134"/>
      <c r="B80" s="1121" t="s">
        <v>1011</v>
      </c>
      <c r="C80" s="1116"/>
      <c r="D80" s="1116"/>
      <c r="E80" s="1124">
        <v>0</v>
      </c>
      <c r="F80" s="1124">
        <v>0</v>
      </c>
      <c r="G80" s="1124">
        <v>0</v>
      </c>
      <c r="H80" s="1124">
        <v>0</v>
      </c>
      <c r="I80" s="1124">
        <v>0</v>
      </c>
      <c r="J80" s="1124">
        <v>0</v>
      </c>
      <c r="K80" s="1124">
        <v>0</v>
      </c>
      <c r="L80" s="1124">
        <v>0</v>
      </c>
      <c r="M80" s="1124">
        <v>0</v>
      </c>
      <c r="N80" s="1124">
        <v>0</v>
      </c>
      <c r="O80" s="1124">
        <v>0</v>
      </c>
      <c r="P80" s="1124">
        <v>0</v>
      </c>
      <c r="Q80" s="1124">
        <v>0</v>
      </c>
      <c r="R80" s="1124">
        <v>0</v>
      </c>
      <c r="S80" s="1124">
        <v>0</v>
      </c>
      <c r="T80" s="1124">
        <v>0</v>
      </c>
      <c r="U80" s="1124">
        <v>0</v>
      </c>
      <c r="V80" s="1124">
        <v>0</v>
      </c>
      <c r="W80" s="1124">
        <v>0</v>
      </c>
      <c r="X80" s="1124">
        <v>0</v>
      </c>
      <c r="Y80" s="1124">
        <v>0</v>
      </c>
      <c r="Z80" s="1124">
        <v>0</v>
      </c>
      <c r="AA80" s="1124">
        <v>0</v>
      </c>
      <c r="AB80" s="1124">
        <v>0</v>
      </c>
      <c r="AC80" s="1124">
        <v>0</v>
      </c>
      <c r="AD80" s="1135">
        <f>SUM(E80:AC80)</f>
        <v>0</v>
      </c>
    </row>
    <row r="81" spans="1:30">
      <c r="A81" s="1134"/>
      <c r="B81" s="1122" t="s">
        <v>1012</v>
      </c>
      <c r="C81" s="1116"/>
      <c r="D81" s="1116"/>
      <c r="E81" s="369">
        <f t="shared" ref="E81:X81" si="33">SUM(E76:E80)</f>
        <v>0</v>
      </c>
      <c r="F81" s="369">
        <f t="shared" si="33"/>
        <v>0</v>
      </c>
      <c r="G81" s="369">
        <f t="shared" si="33"/>
        <v>0</v>
      </c>
      <c r="H81" s="369">
        <f t="shared" si="33"/>
        <v>0</v>
      </c>
      <c r="I81" s="369">
        <f t="shared" si="33"/>
        <v>0</v>
      </c>
      <c r="J81" s="369">
        <f t="shared" si="33"/>
        <v>4072.33637</v>
      </c>
      <c r="K81" s="369">
        <f t="shared" si="33"/>
        <v>0</v>
      </c>
      <c r="L81" s="369">
        <f t="shared" si="33"/>
        <v>0</v>
      </c>
      <c r="M81" s="369">
        <f t="shared" si="33"/>
        <v>6300</v>
      </c>
      <c r="N81" s="369">
        <f t="shared" si="33"/>
        <v>4327</v>
      </c>
      <c r="O81" s="369">
        <f t="shared" si="33"/>
        <v>2178</v>
      </c>
      <c r="P81" s="369">
        <f t="shared" si="33"/>
        <v>7899.509</v>
      </c>
      <c r="Q81" s="369">
        <f t="shared" si="33"/>
        <v>5560</v>
      </c>
      <c r="R81" s="369">
        <f t="shared" si="33"/>
        <v>4625</v>
      </c>
      <c r="S81" s="369">
        <f t="shared" si="33"/>
        <v>4996.1589999999997</v>
      </c>
      <c r="T81" s="369">
        <f t="shared" si="33"/>
        <v>19985.376</v>
      </c>
      <c r="U81" s="369">
        <f t="shared" si="33"/>
        <v>5445.7039999999997</v>
      </c>
      <c r="V81" s="369">
        <f t="shared" si="33"/>
        <v>0</v>
      </c>
      <c r="W81" s="369">
        <f t="shared" si="33"/>
        <v>5128</v>
      </c>
      <c r="X81" s="369">
        <f t="shared" si="33"/>
        <v>8600</v>
      </c>
      <c r="Y81" s="369">
        <f t="shared" ref="Y81:AD81" si="34">SUM(Y76:Y80)</f>
        <v>8200</v>
      </c>
      <c r="Z81" s="369">
        <f t="shared" si="34"/>
        <v>7594</v>
      </c>
      <c r="AA81" s="369">
        <f t="shared" si="34"/>
        <v>5990</v>
      </c>
      <c r="AB81" s="369">
        <f t="shared" si="34"/>
        <v>0</v>
      </c>
      <c r="AC81" s="369">
        <f t="shared" si="34"/>
        <v>5400</v>
      </c>
      <c r="AD81" s="1135">
        <f t="shared" si="34"/>
        <v>106301.08437000001</v>
      </c>
    </row>
    <row r="82" spans="1:30">
      <c r="A82" s="1136"/>
      <c r="B82" s="1116"/>
      <c r="C82" s="1116"/>
      <c r="D82" s="1116"/>
      <c r="E82" s="1116"/>
      <c r="F82" s="1116"/>
      <c r="G82" s="1116"/>
      <c r="H82" s="1116"/>
      <c r="I82" s="1116"/>
      <c r="J82" s="1116"/>
      <c r="K82" s="1116"/>
      <c r="L82" s="1116"/>
      <c r="M82" s="1116"/>
      <c r="N82" s="1116"/>
      <c r="O82" s="1116"/>
      <c r="P82" s="1116"/>
      <c r="Q82" s="1116"/>
      <c r="R82" s="1116"/>
      <c r="S82" s="1116"/>
      <c r="T82" s="1116"/>
      <c r="U82" s="1116"/>
      <c r="V82" s="1116"/>
      <c r="W82" s="1116"/>
      <c r="X82" s="1116"/>
      <c r="Y82" s="1116"/>
      <c r="Z82" s="1116"/>
      <c r="AA82" s="1116"/>
      <c r="AB82" s="1116"/>
      <c r="AC82" s="1116"/>
      <c r="AD82" s="1133"/>
    </row>
    <row r="83" spans="1:30">
      <c r="A83" s="1132" t="s">
        <v>1014</v>
      </c>
      <c r="B83" s="1121"/>
      <c r="C83" s="1116"/>
      <c r="D83" s="1116"/>
      <c r="E83" s="1116"/>
      <c r="F83" s="1116"/>
      <c r="G83" s="1116"/>
      <c r="H83" s="1116"/>
      <c r="I83" s="1116"/>
      <c r="J83" s="1116"/>
      <c r="K83" s="1116"/>
      <c r="L83" s="1116"/>
      <c r="M83" s="1116"/>
      <c r="N83" s="1116"/>
      <c r="O83" s="1116"/>
      <c r="P83" s="1116"/>
      <c r="Q83" s="1116"/>
      <c r="R83" s="1116"/>
      <c r="S83" s="1116"/>
      <c r="T83" s="1116"/>
      <c r="U83" s="1116"/>
      <c r="V83" s="1116"/>
      <c r="W83" s="1116"/>
      <c r="X83" s="1116"/>
      <c r="Y83" s="1116"/>
      <c r="Z83" s="1116"/>
      <c r="AA83" s="1116"/>
      <c r="AB83" s="1116"/>
      <c r="AC83" s="1116"/>
      <c r="AD83" s="1133"/>
    </row>
    <row r="84" spans="1:30">
      <c r="A84" s="1134"/>
      <c r="B84" s="1121" t="s">
        <v>1015</v>
      </c>
      <c r="C84" s="1116"/>
      <c r="D84" s="1116"/>
      <c r="E84" s="1117">
        <v>0</v>
      </c>
      <c r="F84" s="1117">
        <v>0</v>
      </c>
      <c r="G84" s="1117">
        <v>0</v>
      </c>
      <c r="H84" s="1117">
        <v>0</v>
      </c>
      <c r="I84" s="1117">
        <v>0</v>
      </c>
      <c r="J84" s="1117">
        <v>0</v>
      </c>
      <c r="K84" s="1117">
        <v>0</v>
      </c>
      <c r="L84" s="1117">
        <v>0</v>
      </c>
      <c r="M84" s="1117">
        <v>2874.2649999999999</v>
      </c>
      <c r="N84" s="1117">
        <v>0</v>
      </c>
      <c r="O84" s="1117">
        <v>0</v>
      </c>
      <c r="P84" s="1117">
        <v>-245.36600000000001</v>
      </c>
      <c r="Q84" s="1117">
        <v>0</v>
      </c>
      <c r="R84" s="1117">
        <v>2747.8449999999998</v>
      </c>
      <c r="S84" s="1117">
        <v>222.465</v>
      </c>
      <c r="T84" s="1117">
        <v>1171.7449999999999</v>
      </c>
      <c r="U84" s="1117">
        <v>29.140999999999998</v>
      </c>
      <c r="V84" s="1117">
        <v>0</v>
      </c>
      <c r="W84" s="1117">
        <v>57.5</v>
      </c>
      <c r="X84" s="1117">
        <v>56.292999999999999</v>
      </c>
      <c r="Y84" s="1117">
        <v>0</v>
      </c>
      <c r="Z84" s="1117">
        <v>0</v>
      </c>
      <c r="AA84" s="1117">
        <v>0</v>
      </c>
      <c r="AB84" s="1117">
        <v>0</v>
      </c>
      <c r="AC84" s="1117">
        <v>0</v>
      </c>
      <c r="AD84" s="1137">
        <f t="shared" ref="AD84:AD93" si="35">SUM(E84:AC84)</f>
        <v>6913.887999999999</v>
      </c>
    </row>
    <row r="85" spans="1:30">
      <c r="A85" s="1134"/>
      <c r="B85" s="1121" t="s">
        <v>1016</v>
      </c>
      <c r="C85" s="1116"/>
      <c r="D85" s="1116"/>
      <c r="E85" s="1117">
        <v>0.82899999999999996</v>
      </c>
      <c r="F85" s="1117">
        <v>0</v>
      </c>
      <c r="G85" s="1117">
        <v>0</v>
      </c>
      <c r="H85" s="1117">
        <v>0.32100000000000001</v>
      </c>
      <c r="I85" s="1117">
        <v>0.67600000000000005</v>
      </c>
      <c r="J85" s="1117">
        <v>0</v>
      </c>
      <c r="K85" s="1117">
        <v>3.7450000000000001</v>
      </c>
      <c r="L85" s="1117">
        <v>0</v>
      </c>
      <c r="M85" s="1117">
        <v>129.06200000000001</v>
      </c>
      <c r="N85" s="1117">
        <v>5.2489999999999997</v>
      </c>
      <c r="O85" s="1117">
        <v>0.72299999999999998</v>
      </c>
      <c r="P85" s="1117">
        <v>0</v>
      </c>
      <c r="Q85" s="1117">
        <v>1.3720000000000001</v>
      </c>
      <c r="R85" s="1117">
        <v>0.75600000000000001</v>
      </c>
      <c r="S85" s="1117">
        <v>488.41</v>
      </c>
      <c r="T85" s="1117">
        <v>65.585999999999999</v>
      </c>
      <c r="U85" s="1117">
        <v>298.14400000000001</v>
      </c>
      <c r="V85" s="1117">
        <v>37.798000000000002</v>
      </c>
      <c r="W85" s="1117">
        <v>65.015000000000001</v>
      </c>
      <c r="X85" s="1117">
        <v>48</v>
      </c>
      <c r="Y85" s="1117">
        <v>0</v>
      </c>
      <c r="Z85" s="1117">
        <v>0</v>
      </c>
      <c r="AA85" s="1117">
        <v>0</v>
      </c>
      <c r="AB85" s="1117">
        <v>0</v>
      </c>
      <c r="AC85" s="1117">
        <v>0</v>
      </c>
      <c r="AD85" s="1137">
        <f t="shared" si="35"/>
        <v>1145.6860000000001</v>
      </c>
    </row>
    <row r="86" spans="1:30">
      <c r="A86" s="1134"/>
      <c r="B86" s="1121" t="s">
        <v>1017</v>
      </c>
      <c r="C86" s="1116"/>
      <c r="D86" s="1116"/>
      <c r="E86" s="1117">
        <v>0</v>
      </c>
      <c r="F86" s="1117">
        <v>0</v>
      </c>
      <c r="G86" s="1117">
        <v>0</v>
      </c>
      <c r="H86" s="1117">
        <v>0</v>
      </c>
      <c r="I86" s="1117">
        <v>0</v>
      </c>
      <c r="J86" s="1117">
        <v>0</v>
      </c>
      <c r="K86" s="1117">
        <v>0</v>
      </c>
      <c r="L86" s="1117">
        <v>0</v>
      </c>
      <c r="M86" s="1117">
        <v>2977.2179999999998</v>
      </c>
      <c r="N86" s="1117">
        <v>162.499</v>
      </c>
      <c r="O86" s="1117">
        <v>4545.1440000000002</v>
      </c>
      <c r="P86" s="1117">
        <v>1761.2929999999999</v>
      </c>
      <c r="Q86" s="1117">
        <v>4461.0919999999996</v>
      </c>
      <c r="R86" s="1117">
        <v>493.9</v>
      </c>
      <c r="S86" s="1117">
        <v>4528.5370000000003</v>
      </c>
      <c r="T86" s="1117">
        <v>5806.92</v>
      </c>
      <c r="U86" s="1117">
        <v>0.11</v>
      </c>
      <c r="V86" s="1117">
        <v>6918.8819999999996</v>
      </c>
      <c r="W86" s="1117">
        <v>2451.4259999999999</v>
      </c>
      <c r="X86" s="1117">
        <v>604.54100000000005</v>
      </c>
      <c r="Y86" s="1117">
        <v>0</v>
      </c>
      <c r="Z86" s="1117">
        <v>0</v>
      </c>
      <c r="AA86" s="1117">
        <v>0</v>
      </c>
      <c r="AB86" s="1117">
        <v>0</v>
      </c>
      <c r="AC86" s="1117">
        <v>0</v>
      </c>
      <c r="AD86" s="1137">
        <f t="shared" si="35"/>
        <v>34711.561999999991</v>
      </c>
    </row>
    <row r="87" spans="1:30">
      <c r="A87" s="1134"/>
      <c r="B87" s="1121" t="s">
        <v>1018</v>
      </c>
      <c r="C87" s="1116"/>
      <c r="D87" s="1116"/>
      <c r="E87" s="1117">
        <v>0</v>
      </c>
      <c r="F87" s="1117">
        <v>0</v>
      </c>
      <c r="G87" s="1117">
        <v>0</v>
      </c>
      <c r="H87" s="1117">
        <v>0</v>
      </c>
      <c r="I87" s="1117">
        <v>0</v>
      </c>
      <c r="J87" s="1117">
        <v>0</v>
      </c>
      <c r="K87" s="1117">
        <v>0</v>
      </c>
      <c r="L87" s="1117">
        <v>0</v>
      </c>
      <c r="M87" s="1117">
        <v>0</v>
      </c>
      <c r="N87" s="1117">
        <v>0</v>
      </c>
      <c r="O87" s="1117">
        <v>55.543999999999997</v>
      </c>
      <c r="P87" s="1117">
        <v>0</v>
      </c>
      <c r="Q87" s="1117">
        <v>1.222</v>
      </c>
      <c r="R87" s="1117">
        <v>-1.222</v>
      </c>
      <c r="S87" s="1117">
        <v>1.222</v>
      </c>
      <c r="T87" s="1117">
        <v>0</v>
      </c>
      <c r="U87" s="1117">
        <v>328.69099999999997</v>
      </c>
      <c r="V87" s="1117">
        <v>0</v>
      </c>
      <c r="W87" s="1117">
        <v>0</v>
      </c>
      <c r="X87" s="1117">
        <v>0</v>
      </c>
      <c r="Y87" s="1117">
        <v>0</v>
      </c>
      <c r="Z87" s="1117">
        <v>0</v>
      </c>
      <c r="AA87" s="1117">
        <v>0</v>
      </c>
      <c r="AB87" s="1117">
        <v>0</v>
      </c>
      <c r="AC87" s="1117">
        <v>0</v>
      </c>
      <c r="AD87" s="1137">
        <f t="shared" si="35"/>
        <v>385.45699999999999</v>
      </c>
    </row>
    <row r="88" spans="1:30">
      <c r="A88" s="1134"/>
      <c r="B88" s="1121" t="s">
        <v>1019</v>
      </c>
      <c r="C88" s="1116"/>
      <c r="D88" s="1116"/>
      <c r="E88" s="1117">
        <v>0</v>
      </c>
      <c r="F88" s="1117">
        <v>0</v>
      </c>
      <c r="G88" s="1117">
        <v>0</v>
      </c>
      <c r="H88" s="1117">
        <v>41.993000000000002</v>
      </c>
      <c r="I88" s="1117">
        <v>36.935000000000002</v>
      </c>
      <c r="J88" s="1117">
        <v>22.611999999999998</v>
      </c>
      <c r="K88" s="1117">
        <v>0</v>
      </c>
      <c r="L88" s="1117">
        <v>0</v>
      </c>
      <c r="M88" s="1117">
        <v>42.948999999999998</v>
      </c>
      <c r="N88" s="1117">
        <v>0</v>
      </c>
      <c r="O88" s="1117">
        <v>0</v>
      </c>
      <c r="P88" s="1117">
        <v>0</v>
      </c>
      <c r="Q88" s="1117">
        <v>0</v>
      </c>
      <c r="R88" s="1117">
        <v>0</v>
      </c>
      <c r="S88" s="1117">
        <v>64.138000000000005</v>
      </c>
      <c r="T88" s="1117">
        <v>68.131</v>
      </c>
      <c r="U88" s="1117">
        <v>0</v>
      </c>
      <c r="V88" s="1117">
        <v>0.151</v>
      </c>
      <c r="W88" s="1117">
        <v>0</v>
      </c>
      <c r="X88" s="1117">
        <v>0</v>
      </c>
      <c r="Y88" s="1117">
        <v>0</v>
      </c>
      <c r="Z88" s="1117">
        <v>0</v>
      </c>
      <c r="AA88" s="1117">
        <v>0</v>
      </c>
      <c r="AB88" s="1117">
        <v>0</v>
      </c>
      <c r="AC88" s="1117">
        <v>0</v>
      </c>
      <c r="AD88" s="1137">
        <f t="shared" si="35"/>
        <v>276.90899999999999</v>
      </c>
    </row>
    <row r="89" spans="1:30">
      <c r="A89" s="1134"/>
      <c r="B89" s="1121" t="s">
        <v>1020</v>
      </c>
      <c r="C89" s="1116"/>
      <c r="D89" s="1116"/>
      <c r="E89" s="1117">
        <v>0</v>
      </c>
      <c r="F89" s="1117">
        <v>0</v>
      </c>
      <c r="G89" s="1117">
        <v>0</v>
      </c>
      <c r="H89" s="1117">
        <v>0</v>
      </c>
      <c r="I89" s="1117">
        <v>0</v>
      </c>
      <c r="J89" s="1117">
        <v>0</v>
      </c>
      <c r="K89" s="1117">
        <v>0</v>
      </c>
      <c r="L89" s="1117">
        <v>0</v>
      </c>
      <c r="M89" s="1117">
        <v>0</v>
      </c>
      <c r="N89" s="1117">
        <v>0</v>
      </c>
      <c r="O89" s="1117">
        <v>0</v>
      </c>
      <c r="P89" s="1117">
        <v>0</v>
      </c>
      <c r="Q89" s="1117">
        <v>202.626</v>
      </c>
      <c r="R89" s="1117">
        <v>0</v>
      </c>
      <c r="S89" s="1117">
        <v>-156.6</v>
      </c>
      <c r="T89" s="1117">
        <v>4511.4210000000003</v>
      </c>
      <c r="U89" s="1117">
        <v>2978.7840000000001</v>
      </c>
      <c r="V89" s="1117">
        <v>1051.402</v>
      </c>
      <c r="W89" s="1117">
        <v>4194.1046999999999</v>
      </c>
      <c r="X89" s="1117">
        <v>6388.5730000000003</v>
      </c>
      <c r="Y89" s="1117">
        <v>0</v>
      </c>
      <c r="Z89" s="1117">
        <v>0</v>
      </c>
      <c r="AA89" s="1117">
        <v>0</v>
      </c>
      <c r="AB89" s="1117">
        <v>0</v>
      </c>
      <c r="AC89" s="1117">
        <v>0</v>
      </c>
      <c r="AD89" s="1137">
        <f t="shared" si="35"/>
        <v>19170.310700000002</v>
      </c>
    </row>
    <row r="90" spans="1:30">
      <c r="A90" s="1134"/>
      <c r="B90" s="1121" t="s">
        <v>1021</v>
      </c>
      <c r="C90" s="1116"/>
      <c r="D90" s="1116"/>
      <c r="E90" s="1117">
        <v>1195</v>
      </c>
      <c r="F90" s="1117">
        <v>0</v>
      </c>
      <c r="G90" s="1117">
        <v>0</v>
      </c>
      <c r="H90" s="1117">
        <v>147.024</v>
      </c>
      <c r="I90" s="1117">
        <v>0</v>
      </c>
      <c r="J90" s="1117">
        <v>0</v>
      </c>
      <c r="K90" s="1117">
        <v>0</v>
      </c>
      <c r="L90" s="1117">
        <v>335.43900000000002</v>
      </c>
      <c r="M90" s="1117">
        <v>337.55500000000001</v>
      </c>
      <c r="N90" s="1117">
        <v>244.41</v>
      </c>
      <c r="O90" s="1117">
        <v>113.61</v>
      </c>
      <c r="P90" s="1117">
        <v>62.146000000000001</v>
      </c>
      <c r="Q90" s="1117">
        <v>0</v>
      </c>
      <c r="R90" s="1117">
        <v>40.078000000000003</v>
      </c>
      <c r="S90" s="1117">
        <v>44.805</v>
      </c>
      <c r="T90" s="1117">
        <v>100.72799999999999</v>
      </c>
      <c r="U90" s="1117">
        <v>119.206</v>
      </c>
      <c r="V90" s="1117">
        <v>383.95100000000002</v>
      </c>
      <c r="W90" s="1117">
        <v>274.666</v>
      </c>
      <c r="X90" s="1117">
        <v>265</v>
      </c>
      <c r="Y90" s="1117">
        <v>0</v>
      </c>
      <c r="Z90" s="1117">
        <v>0</v>
      </c>
      <c r="AA90" s="1117">
        <v>0</v>
      </c>
      <c r="AB90" s="1117">
        <v>0</v>
      </c>
      <c r="AC90" s="1117">
        <v>0</v>
      </c>
      <c r="AD90" s="1137">
        <f t="shared" si="35"/>
        <v>3663.6180000000004</v>
      </c>
    </row>
    <row r="91" spans="1:30">
      <c r="A91" s="1134"/>
      <c r="B91" s="1121" t="s">
        <v>1022</v>
      </c>
      <c r="C91" s="1116"/>
      <c r="D91" s="1116"/>
      <c r="E91" s="1117">
        <v>0</v>
      </c>
      <c r="F91" s="1117">
        <v>0</v>
      </c>
      <c r="G91" s="1117">
        <v>0</v>
      </c>
      <c r="H91" s="1117">
        <v>0</v>
      </c>
      <c r="I91" s="1117">
        <v>0</v>
      </c>
      <c r="J91" s="1117">
        <v>0</v>
      </c>
      <c r="K91" s="1117">
        <v>0</v>
      </c>
      <c r="L91" s="1117">
        <v>0</v>
      </c>
      <c r="M91" s="1117">
        <v>0</v>
      </c>
      <c r="N91" s="1117">
        <v>10.035</v>
      </c>
      <c r="O91" s="1117">
        <v>4.93</v>
      </c>
      <c r="P91" s="1117">
        <v>16.803999999999998</v>
      </c>
      <c r="Q91" s="1117">
        <v>2.0840000000000001</v>
      </c>
      <c r="R91" s="1117">
        <v>87</v>
      </c>
      <c r="S91" s="1117">
        <v>223.54400000000001</v>
      </c>
      <c r="T91" s="1117">
        <v>90.376000000000005</v>
      </c>
      <c r="U91" s="1117">
        <v>592.75599999999997</v>
      </c>
      <c r="V91" s="1117">
        <v>107.143</v>
      </c>
      <c r="W91" s="1117">
        <v>146.66499999999999</v>
      </c>
      <c r="X91" s="1117">
        <v>266.93299999999999</v>
      </c>
      <c r="Y91" s="1117">
        <v>0</v>
      </c>
      <c r="Z91" s="1117">
        <v>0</v>
      </c>
      <c r="AA91" s="1117">
        <v>0</v>
      </c>
      <c r="AB91" s="1117">
        <v>0</v>
      </c>
      <c r="AC91" s="1117">
        <v>0</v>
      </c>
      <c r="AD91" s="1137">
        <f t="shared" si="35"/>
        <v>1548.27</v>
      </c>
    </row>
    <row r="92" spans="1:30">
      <c r="A92" s="1134"/>
      <c r="B92" s="1121" t="s">
        <v>1023</v>
      </c>
      <c r="C92" s="1116"/>
      <c r="D92" s="1116"/>
      <c r="E92" s="1117">
        <v>0</v>
      </c>
      <c r="F92" s="1117">
        <v>0</v>
      </c>
      <c r="G92" s="1117">
        <v>0</v>
      </c>
      <c r="H92" s="1117">
        <v>0</v>
      </c>
      <c r="I92" s="1117">
        <v>0</v>
      </c>
      <c r="J92" s="1117">
        <v>0</v>
      </c>
      <c r="K92" s="1117">
        <v>0</v>
      </c>
      <c r="L92" s="1117">
        <v>0</v>
      </c>
      <c r="M92" s="1117">
        <v>0</v>
      </c>
      <c r="N92" s="1117">
        <v>0</v>
      </c>
      <c r="O92" s="1117">
        <v>0</v>
      </c>
      <c r="P92" s="1117">
        <v>0</v>
      </c>
      <c r="Q92" s="1117">
        <v>0</v>
      </c>
      <c r="R92" s="1117">
        <v>0</v>
      </c>
      <c r="S92" s="1117">
        <v>0</v>
      </c>
      <c r="T92" s="1117">
        <v>0</v>
      </c>
      <c r="U92" s="1117">
        <v>79.150000000000006</v>
      </c>
      <c r="V92" s="1117">
        <v>6.0279999999999996</v>
      </c>
      <c r="W92" s="1117">
        <v>121.758</v>
      </c>
      <c r="X92" s="1117">
        <v>328.613</v>
      </c>
      <c r="Y92" s="1117">
        <v>0</v>
      </c>
      <c r="Z92" s="1117">
        <v>0</v>
      </c>
      <c r="AA92" s="1117">
        <v>0</v>
      </c>
      <c r="AB92" s="1117">
        <v>0</v>
      </c>
      <c r="AC92" s="1117">
        <v>0</v>
      </c>
      <c r="AD92" s="1137">
        <f t="shared" si="35"/>
        <v>535.54899999999998</v>
      </c>
    </row>
    <row r="93" spans="1:30">
      <c r="A93" s="1134"/>
      <c r="B93" s="1121" t="s">
        <v>1025</v>
      </c>
      <c r="C93" s="1116"/>
      <c r="D93" s="1116"/>
      <c r="E93" s="1138">
        <v>2884.998</v>
      </c>
      <c r="F93" s="1138">
        <v>0</v>
      </c>
      <c r="G93" s="1138">
        <v>0</v>
      </c>
      <c r="H93" s="1138">
        <v>0</v>
      </c>
      <c r="I93" s="1138">
        <v>-7.8E-2</v>
      </c>
      <c r="J93" s="1138">
        <v>1.385</v>
      </c>
      <c r="K93" s="1138">
        <v>-9.4E-2</v>
      </c>
      <c r="L93" s="1138">
        <v>1.589</v>
      </c>
      <c r="M93" s="1138">
        <v>555.58699999999999</v>
      </c>
      <c r="N93" s="1138">
        <v>-79.861999999999995</v>
      </c>
      <c r="O93" s="1138">
        <v>20.896999999999998</v>
      </c>
      <c r="P93" s="1138">
        <v>21.949000000000002</v>
      </c>
      <c r="Q93" s="1138">
        <v>6.7309999999999999</v>
      </c>
      <c r="R93" s="1138">
        <v>-0.25600000000000001</v>
      </c>
      <c r="S93" s="1138">
        <v>87.049000000000007</v>
      </c>
      <c r="T93" s="1138">
        <v>38.5</v>
      </c>
      <c r="U93" s="1138">
        <v>834.60799999999995</v>
      </c>
      <c r="V93" s="1138">
        <v>162.28800000000001</v>
      </c>
      <c r="W93" s="1138">
        <v>1224.2646666666665</v>
      </c>
      <c r="X93" s="1138">
        <v>1071.9656666666665</v>
      </c>
      <c r="Y93" s="1138">
        <v>8200</v>
      </c>
      <c r="Z93" s="1138">
        <v>7594</v>
      </c>
      <c r="AA93" s="1138">
        <v>5990</v>
      </c>
      <c r="AB93" s="1138">
        <v>0</v>
      </c>
      <c r="AC93" s="1138">
        <v>5400</v>
      </c>
      <c r="AD93" s="1139">
        <f t="shared" si="35"/>
        <v>34015.521333333338</v>
      </c>
    </row>
    <row r="94" spans="1:30">
      <c r="A94" s="1134"/>
      <c r="B94" s="1122" t="s">
        <v>1024</v>
      </c>
      <c r="C94" s="1116"/>
      <c r="D94" s="1116"/>
      <c r="E94" s="1118">
        <f t="shared" ref="E94:X94" si="36">SUM(E84:E93)</f>
        <v>4080.8270000000002</v>
      </c>
      <c r="F94" s="1118">
        <f t="shared" si="36"/>
        <v>0</v>
      </c>
      <c r="G94" s="1118">
        <f t="shared" si="36"/>
        <v>0</v>
      </c>
      <c r="H94" s="1118">
        <f t="shared" si="36"/>
        <v>189.33799999999999</v>
      </c>
      <c r="I94" s="1118">
        <f t="shared" si="36"/>
        <v>37.533000000000001</v>
      </c>
      <c r="J94" s="1118">
        <f t="shared" si="36"/>
        <v>23.997</v>
      </c>
      <c r="K94" s="1118">
        <f t="shared" si="36"/>
        <v>3.6510000000000002</v>
      </c>
      <c r="L94" s="1118">
        <f t="shared" si="36"/>
        <v>337.02800000000002</v>
      </c>
      <c r="M94" s="1118">
        <f t="shared" si="36"/>
        <v>6916.6360000000004</v>
      </c>
      <c r="N94" s="1118">
        <f t="shared" si="36"/>
        <v>342.33100000000002</v>
      </c>
      <c r="O94" s="1118">
        <f t="shared" si="36"/>
        <v>4740.848</v>
      </c>
      <c r="P94" s="1118">
        <f t="shared" si="36"/>
        <v>1616.826</v>
      </c>
      <c r="Q94" s="1118">
        <f t="shared" si="36"/>
        <v>4675.1269999999995</v>
      </c>
      <c r="R94" s="1118">
        <f t="shared" si="36"/>
        <v>3368.1009999999997</v>
      </c>
      <c r="S94" s="1118">
        <f t="shared" si="36"/>
        <v>5503.57</v>
      </c>
      <c r="T94" s="1118">
        <f t="shared" si="36"/>
        <v>11853.406999999999</v>
      </c>
      <c r="U94" s="1118">
        <f t="shared" si="36"/>
        <v>5260.59</v>
      </c>
      <c r="V94" s="1118">
        <f t="shared" si="36"/>
        <v>8667.643</v>
      </c>
      <c r="W94" s="1118">
        <f t="shared" si="36"/>
        <v>8535.3993666666665</v>
      </c>
      <c r="X94" s="1118">
        <f t="shared" si="36"/>
        <v>9029.9186666666665</v>
      </c>
      <c r="Y94" s="1118">
        <f t="shared" ref="Y94:AD94" si="37">SUM(Y84:Y93)</f>
        <v>8200</v>
      </c>
      <c r="Z94" s="1118">
        <f t="shared" si="37"/>
        <v>7594</v>
      </c>
      <c r="AA94" s="1118">
        <f t="shared" si="37"/>
        <v>5990</v>
      </c>
      <c r="AB94" s="1118">
        <f t="shared" si="37"/>
        <v>0</v>
      </c>
      <c r="AC94" s="1118">
        <f t="shared" si="37"/>
        <v>5400</v>
      </c>
      <c r="AD94" s="1137">
        <f t="shared" si="37"/>
        <v>102366.77103333334</v>
      </c>
    </row>
    <row r="95" spans="1:30" ht="13.5" thickBot="1">
      <c r="A95" s="1140"/>
      <c r="B95" s="1141"/>
      <c r="C95" s="1141"/>
      <c r="D95" s="1141"/>
      <c r="E95" s="1141"/>
      <c r="F95" s="1141"/>
      <c r="G95" s="1141"/>
      <c r="H95" s="1141"/>
      <c r="I95" s="1141"/>
      <c r="J95" s="1141"/>
      <c r="K95" s="1141"/>
      <c r="L95" s="1141"/>
      <c r="M95" s="1141"/>
      <c r="N95" s="1141"/>
      <c r="O95" s="1141"/>
      <c r="P95" s="1141"/>
      <c r="Q95" s="1141"/>
      <c r="R95" s="1141"/>
      <c r="S95" s="1141"/>
      <c r="T95" s="1141"/>
      <c r="U95" s="1141"/>
      <c r="V95" s="1141"/>
      <c r="W95" s="1141"/>
      <c r="X95" s="1141"/>
      <c r="Y95" s="1141"/>
      <c r="Z95" s="1141"/>
      <c r="AA95" s="1141"/>
      <c r="AB95" s="1141"/>
      <c r="AC95" s="1141"/>
      <c r="AD95" s="1142"/>
    </row>
  </sheetData>
  <printOptions horizontalCentered="1"/>
  <pageMargins left="0.25" right="0.25" top="0.5" bottom="0.5" header="0.25" footer="0.25"/>
  <pageSetup scale="3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Q88"/>
  <sheetViews>
    <sheetView showGridLines="0" zoomScale="7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J17" sqref="J17"/>
    </sheetView>
  </sheetViews>
  <sheetFormatPr defaultRowHeight="12.75"/>
  <cols>
    <col min="1" max="1" width="20.7109375" style="8" customWidth="1"/>
    <col min="2" max="2" width="9.7109375" style="5" customWidth="1"/>
    <col min="3" max="3" width="2.7109375" style="5" customWidth="1"/>
    <col min="4" max="40" width="9.7109375" style="5" customWidth="1"/>
    <col min="41" max="41" width="10.7109375" style="8" customWidth="1"/>
    <col min="42" max="16384" width="9.140625" style="5"/>
  </cols>
  <sheetData>
    <row r="1" spans="1:42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3"/>
      <c r="AA1" s="283"/>
      <c r="AB1" s="23"/>
      <c r="AO1" s="23"/>
    </row>
    <row r="2" spans="1:42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3"/>
      <c r="AA2" s="283"/>
      <c r="AB2" s="23"/>
      <c r="AO2" s="23"/>
    </row>
    <row r="3" spans="1:42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3"/>
      <c r="AA3" s="283"/>
      <c r="AB3" s="23"/>
      <c r="AO3" s="23"/>
    </row>
    <row r="4" spans="1:42" s="240" customFormat="1" ht="15.75">
      <c r="A4" s="820" t="s">
        <v>905</v>
      </c>
      <c r="B4" s="820"/>
      <c r="C4" s="881"/>
      <c r="D4" s="882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3"/>
      <c r="AA4" s="283"/>
      <c r="AB4" s="23"/>
      <c r="AE4" s="1245"/>
      <c r="AO4" s="23"/>
    </row>
    <row r="5" spans="1:42" s="240" customFormat="1" ht="13.5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  <c r="AO5" s="23"/>
      <c r="AP5" s="240" t="s">
        <v>865</v>
      </c>
    </row>
    <row r="6" spans="1:42" s="8" customFormat="1">
      <c r="A6" s="411" t="s">
        <v>193</v>
      </c>
      <c r="B6" s="73"/>
      <c r="C6" s="73"/>
      <c r="D6" s="73"/>
      <c r="E6" s="887">
        <v>1</v>
      </c>
      <c r="F6" s="154">
        <f t="shared" ref="F6:O6" si="0">E6+1</f>
        <v>2</v>
      </c>
      <c r="G6" s="154">
        <f t="shared" si="0"/>
        <v>3</v>
      </c>
      <c r="H6" s="154">
        <f t="shared" si="0"/>
        <v>4</v>
      </c>
      <c r="I6" s="154">
        <f t="shared" si="0"/>
        <v>5</v>
      </c>
      <c r="J6" s="154">
        <f t="shared" si="0"/>
        <v>6</v>
      </c>
      <c r="K6" s="154">
        <f t="shared" si="0"/>
        <v>7</v>
      </c>
      <c r="L6" s="154">
        <f t="shared" si="0"/>
        <v>8</v>
      </c>
      <c r="M6" s="154">
        <f t="shared" si="0"/>
        <v>9</v>
      </c>
      <c r="N6" s="154">
        <f t="shared" si="0"/>
        <v>10</v>
      </c>
      <c r="O6" s="154">
        <f t="shared" si="0"/>
        <v>11</v>
      </c>
      <c r="P6" s="154">
        <f t="shared" ref="P6:Y6" si="1">O6+1</f>
        <v>12</v>
      </c>
      <c r="Q6" s="154">
        <f t="shared" si="1"/>
        <v>13</v>
      </c>
      <c r="R6" s="154">
        <f t="shared" si="1"/>
        <v>14</v>
      </c>
      <c r="S6" s="154">
        <f t="shared" si="1"/>
        <v>15</v>
      </c>
      <c r="T6" s="154">
        <f t="shared" si="1"/>
        <v>16</v>
      </c>
      <c r="U6" s="154">
        <f t="shared" si="1"/>
        <v>17</v>
      </c>
      <c r="V6" s="154">
        <f t="shared" si="1"/>
        <v>18</v>
      </c>
      <c r="W6" s="154">
        <f t="shared" si="1"/>
        <v>19</v>
      </c>
      <c r="X6" s="154">
        <f t="shared" si="1"/>
        <v>20</v>
      </c>
      <c r="Y6" s="154">
        <f t="shared" si="1"/>
        <v>21</v>
      </c>
      <c r="Z6" s="154">
        <f t="shared" ref="Z6:AN6" si="2">Y6+1</f>
        <v>22</v>
      </c>
      <c r="AA6" s="154">
        <f t="shared" si="2"/>
        <v>23</v>
      </c>
      <c r="AB6" s="154">
        <f t="shared" si="2"/>
        <v>24</v>
      </c>
      <c r="AC6" s="154">
        <f t="shared" si="2"/>
        <v>25</v>
      </c>
      <c r="AD6" s="154">
        <f t="shared" si="2"/>
        <v>26</v>
      </c>
      <c r="AE6" s="154">
        <f t="shared" si="2"/>
        <v>27</v>
      </c>
      <c r="AF6" s="154">
        <f t="shared" si="2"/>
        <v>28</v>
      </c>
      <c r="AG6" s="154">
        <f t="shared" si="2"/>
        <v>29</v>
      </c>
      <c r="AH6" s="154">
        <f t="shared" si="2"/>
        <v>30</v>
      </c>
      <c r="AI6" s="154">
        <f t="shared" si="2"/>
        <v>31</v>
      </c>
      <c r="AJ6" s="154">
        <f t="shared" si="2"/>
        <v>32</v>
      </c>
      <c r="AK6" s="154">
        <f t="shared" si="2"/>
        <v>33</v>
      </c>
      <c r="AL6" s="154">
        <f t="shared" si="2"/>
        <v>34</v>
      </c>
      <c r="AM6" s="154">
        <f t="shared" si="2"/>
        <v>35</v>
      </c>
      <c r="AN6" s="154">
        <f t="shared" si="2"/>
        <v>36</v>
      </c>
      <c r="AO6" s="536"/>
      <c r="AP6" s="1039" t="s">
        <v>870</v>
      </c>
    </row>
    <row r="7" spans="1:42" s="8" customFormat="1" ht="13.5" thickBot="1">
      <c r="A7" s="75" t="s">
        <v>194</v>
      </c>
      <c r="B7" s="307"/>
      <c r="C7" s="307"/>
      <c r="D7" s="307"/>
      <c r="E7" s="308">
        <f>Startconst</f>
        <v>35886</v>
      </c>
      <c r="F7" s="309">
        <f t="shared" ref="F7:AN7" si="3">EDATE(E$7,1)</f>
        <v>35916</v>
      </c>
      <c r="G7" s="309">
        <f t="shared" si="3"/>
        <v>35947</v>
      </c>
      <c r="H7" s="309">
        <f t="shared" si="3"/>
        <v>35977</v>
      </c>
      <c r="I7" s="309">
        <f t="shared" si="3"/>
        <v>36008</v>
      </c>
      <c r="J7" s="309">
        <f t="shared" si="3"/>
        <v>36039</v>
      </c>
      <c r="K7" s="309">
        <f t="shared" si="3"/>
        <v>36069</v>
      </c>
      <c r="L7" s="309">
        <f t="shared" si="3"/>
        <v>36100</v>
      </c>
      <c r="M7" s="309">
        <f t="shared" si="3"/>
        <v>36130</v>
      </c>
      <c r="N7" s="309">
        <f t="shared" si="3"/>
        <v>36161</v>
      </c>
      <c r="O7" s="309">
        <f t="shared" si="3"/>
        <v>36192</v>
      </c>
      <c r="P7" s="309">
        <f t="shared" si="3"/>
        <v>36220</v>
      </c>
      <c r="Q7" s="309">
        <f t="shared" si="3"/>
        <v>36251</v>
      </c>
      <c r="R7" s="309">
        <f t="shared" si="3"/>
        <v>36281</v>
      </c>
      <c r="S7" s="309">
        <f t="shared" si="3"/>
        <v>36312</v>
      </c>
      <c r="T7" s="309">
        <f t="shared" si="3"/>
        <v>36342</v>
      </c>
      <c r="U7" s="309">
        <f t="shared" si="3"/>
        <v>36373</v>
      </c>
      <c r="V7" s="309">
        <f t="shared" si="3"/>
        <v>36404</v>
      </c>
      <c r="W7" s="309">
        <f t="shared" si="3"/>
        <v>36434</v>
      </c>
      <c r="X7" s="309">
        <f t="shared" si="3"/>
        <v>36465</v>
      </c>
      <c r="Y7" s="309">
        <f t="shared" si="3"/>
        <v>36495</v>
      </c>
      <c r="Z7" s="309">
        <f t="shared" si="3"/>
        <v>36526</v>
      </c>
      <c r="AA7" s="309">
        <f t="shared" si="3"/>
        <v>36557</v>
      </c>
      <c r="AB7" s="309">
        <f t="shared" si="3"/>
        <v>36586</v>
      </c>
      <c r="AC7" s="309">
        <f t="shared" si="3"/>
        <v>36617</v>
      </c>
      <c r="AD7" s="309">
        <f t="shared" si="3"/>
        <v>36647</v>
      </c>
      <c r="AE7" s="309">
        <f t="shared" si="3"/>
        <v>36678</v>
      </c>
      <c r="AF7" s="309">
        <f t="shared" si="3"/>
        <v>36708</v>
      </c>
      <c r="AG7" s="309">
        <f t="shared" si="3"/>
        <v>36739</v>
      </c>
      <c r="AH7" s="309">
        <f t="shared" si="3"/>
        <v>36770</v>
      </c>
      <c r="AI7" s="309">
        <f t="shared" si="3"/>
        <v>36800</v>
      </c>
      <c r="AJ7" s="309">
        <f t="shared" si="3"/>
        <v>36831</v>
      </c>
      <c r="AK7" s="309">
        <f t="shared" si="3"/>
        <v>36861</v>
      </c>
      <c r="AL7" s="309">
        <f t="shared" si="3"/>
        <v>36892</v>
      </c>
      <c r="AM7" s="309">
        <f t="shared" si="3"/>
        <v>36923</v>
      </c>
      <c r="AN7" s="309">
        <f t="shared" si="3"/>
        <v>36951</v>
      </c>
      <c r="AO7" s="414" t="s">
        <v>152</v>
      </c>
      <c r="AP7" s="888">
        <v>1</v>
      </c>
    </row>
    <row r="8" spans="1:42">
      <c r="A8" s="4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416"/>
      <c r="AP8" s="20">
        <f t="shared" ref="AP8:AP75" si="4">AP7+1</f>
        <v>2</v>
      </c>
    </row>
    <row r="9" spans="1:42" s="8" customFormat="1">
      <c r="A9" s="466"/>
      <c r="B9" s="303" t="s">
        <v>530</v>
      </c>
      <c r="C9" s="303"/>
      <c r="D9" s="531" t="s">
        <v>192</v>
      </c>
      <c r="AO9" s="416"/>
      <c r="AP9" s="20">
        <f t="shared" si="4"/>
        <v>3</v>
      </c>
    </row>
    <row r="10" spans="1:42">
      <c r="A10" s="491" t="s">
        <v>195</v>
      </c>
      <c r="B10" s="304">
        <f ca="1">Est_Cost-Est_IDC-Est_WhTax</f>
        <v>147753.20626901163</v>
      </c>
      <c r="C10" s="305"/>
      <c r="D10" s="532">
        <f ca="1">Est_Cost</f>
        <v>156184.0925154642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416"/>
      <c r="AP10" s="20">
        <f t="shared" si="4"/>
        <v>4</v>
      </c>
    </row>
    <row r="11" spans="1:42">
      <c r="A11" s="491" t="s">
        <v>874</v>
      </c>
      <c r="B11" s="305"/>
      <c r="C11" s="305"/>
      <c r="D11" s="533">
        <f>Int_BL</f>
        <v>0.06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416"/>
      <c r="AP11" s="20">
        <f t="shared" si="4"/>
        <v>5</v>
      </c>
    </row>
    <row r="12" spans="1:42">
      <c r="A12" s="492" t="s">
        <v>875</v>
      </c>
      <c r="B12" s="444"/>
      <c r="C12" s="444"/>
      <c r="D12" s="534">
        <f ca="1">Assm!X73</f>
        <v>0.110125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416"/>
      <c r="AP12" s="20">
        <f t="shared" si="4"/>
        <v>6</v>
      </c>
    </row>
    <row r="13" spans="1:42">
      <c r="A13" s="491" t="s">
        <v>1125</v>
      </c>
      <c r="B13" s="278"/>
      <c r="C13" s="278"/>
      <c r="D13" s="1189">
        <f>Assm!X59</f>
        <v>0.13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416"/>
      <c r="AP13" s="20">
        <f t="shared" si="4"/>
        <v>7</v>
      </c>
    </row>
    <row r="14" spans="1:42">
      <c r="A14" s="139" t="s">
        <v>93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416"/>
      <c r="AP14" s="20">
        <f t="shared" si="4"/>
        <v>8</v>
      </c>
    </row>
    <row r="15" spans="1:42">
      <c r="A15" s="146" t="s">
        <v>196</v>
      </c>
      <c r="B15" s="8"/>
      <c r="C15" s="8"/>
      <c r="D15" s="8"/>
      <c r="E15" s="2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416"/>
      <c r="AP15" s="20">
        <f t="shared" si="4"/>
        <v>9</v>
      </c>
    </row>
    <row r="16" spans="1:42">
      <c r="A16" s="139" t="s">
        <v>164</v>
      </c>
      <c r="B16" s="8"/>
      <c r="C16" s="8"/>
      <c r="D16" s="8"/>
      <c r="E16" s="831">
        <v>0</v>
      </c>
      <c r="F16" s="53">
        <f t="shared" ref="F16:AN16" ca="1" si="5">E20</f>
        <v>0</v>
      </c>
      <c r="G16" s="53">
        <f t="shared" ca="1" si="5"/>
        <v>0</v>
      </c>
      <c r="H16" s="53">
        <f t="shared" ca="1" si="5"/>
        <v>0</v>
      </c>
      <c r="I16" s="53">
        <f t="shared" ca="1" si="5"/>
        <v>0</v>
      </c>
      <c r="J16" s="53">
        <f t="shared" ca="1" si="5"/>
        <v>0</v>
      </c>
      <c r="K16" s="53">
        <f t="shared" ca="1" si="5"/>
        <v>4072.33637</v>
      </c>
      <c r="L16" s="53">
        <f t="shared" ca="1" si="5"/>
        <v>4072.33637</v>
      </c>
      <c r="M16" s="53">
        <f t="shared" ca="1" si="5"/>
        <v>4072.33637</v>
      </c>
      <c r="N16" s="53">
        <f t="shared" ca="1" si="5"/>
        <v>10372.336370000001</v>
      </c>
      <c r="O16" s="53">
        <f t="shared" ca="1" si="5"/>
        <v>14699.336370000001</v>
      </c>
      <c r="P16" s="53">
        <f t="shared" ca="1" si="5"/>
        <v>16877.336370000001</v>
      </c>
      <c r="Q16" s="53">
        <f t="shared" ca="1" si="5"/>
        <v>24776.845370000003</v>
      </c>
      <c r="R16" s="53">
        <f t="shared" ca="1" si="5"/>
        <v>30336.845370000003</v>
      </c>
      <c r="S16" s="53">
        <f t="shared" ca="1" si="5"/>
        <v>34961.845370000003</v>
      </c>
      <c r="T16" s="53">
        <f t="shared" ca="1" si="5"/>
        <v>39958.004370000002</v>
      </c>
      <c r="U16" s="53">
        <f t="shared" ca="1" si="5"/>
        <v>60000.361456742852</v>
      </c>
      <c r="V16" s="53">
        <f t="shared" ca="1" si="5"/>
        <v>65575.912390724247</v>
      </c>
      <c r="W16" s="53">
        <f t="shared" ca="1" si="5"/>
        <v>65722.06046147125</v>
      </c>
      <c r="X16" s="53">
        <f t="shared" ca="1" si="5"/>
        <v>71011.695092622511</v>
      </c>
      <c r="Y16" s="53">
        <f t="shared" ca="1" si="5"/>
        <v>79813.476207380358</v>
      </c>
      <c r="Z16" s="53">
        <f t="shared" ca="1" si="5"/>
        <v>84691.442009574253</v>
      </c>
      <c r="AA16" s="53">
        <f t="shared" ca="1" si="5"/>
        <v>89597.281902066403</v>
      </c>
      <c r="AB16" s="53">
        <f t="shared" ca="1" si="5"/>
        <v>94531.155165372795</v>
      </c>
      <c r="AC16" s="53">
        <f t="shared" ca="1" si="5"/>
        <v>99493.221990183796</v>
      </c>
      <c r="AD16" s="53">
        <f t="shared" ca="1" si="5"/>
        <v>104483.64348256514</v>
      </c>
      <c r="AE16" s="53">
        <f t="shared" ca="1" si="5"/>
        <v>109502.58166918867</v>
      </c>
      <c r="AF16" s="53">
        <f t="shared" ca="1" si="5"/>
        <v>114493.05664545004</v>
      </c>
      <c r="AG16" s="53">
        <f t="shared" ca="1" si="5"/>
        <v>125106.90410728091</v>
      </c>
      <c r="AH16" s="53">
        <f t="shared" ca="1" si="5"/>
        <v>130129.40378318852</v>
      </c>
      <c r="AI16" s="53">
        <f t="shared" ca="1" si="5"/>
        <v>136857.49232891496</v>
      </c>
      <c r="AJ16" s="53">
        <f t="shared" ca="1" si="5"/>
        <v>142233.52230677649</v>
      </c>
      <c r="AK16" s="53">
        <f t="shared" ca="1" si="5"/>
        <v>147657.11961667237</v>
      </c>
      <c r="AL16" s="53">
        <f t="shared" ca="1" si="5"/>
        <v>154426.9445900929</v>
      </c>
      <c r="AM16" s="53">
        <f t="shared" ca="1" si="5"/>
        <v>155301.64884336301</v>
      </c>
      <c r="AN16" s="53">
        <f t="shared" ca="1" si="5"/>
        <v>156184.0925154642</v>
      </c>
      <c r="AO16" s="420">
        <f>E16</f>
        <v>0</v>
      </c>
      <c r="AP16" s="20">
        <f t="shared" si="4"/>
        <v>10</v>
      </c>
    </row>
    <row r="17" spans="1:43">
      <c r="A17" s="139" t="s">
        <v>197</v>
      </c>
      <c r="B17" s="8"/>
      <c r="C17" s="8"/>
      <c r="D17" s="8"/>
      <c r="E17" s="53">
        <f ca="1">Drawdown!E48</f>
        <v>0</v>
      </c>
      <c r="F17" s="53">
        <f ca="1">Drawdown!F48</f>
        <v>0</v>
      </c>
      <c r="G17" s="53">
        <f ca="1">Drawdown!G48</f>
        <v>0</v>
      </c>
      <c r="H17" s="53">
        <f ca="1">Drawdown!H48</f>
        <v>0</v>
      </c>
      <c r="I17" s="53">
        <f ca="1">Drawdown!I48</f>
        <v>0</v>
      </c>
      <c r="J17" s="53">
        <f ca="1">Drawdown!J48</f>
        <v>4072.33637</v>
      </c>
      <c r="K17" s="53">
        <f ca="1">Drawdown!K48</f>
        <v>0</v>
      </c>
      <c r="L17" s="53">
        <f ca="1">Drawdown!L48</f>
        <v>0</v>
      </c>
      <c r="M17" s="53">
        <f ca="1">Drawdown!M48</f>
        <v>6300</v>
      </c>
      <c r="N17" s="53">
        <f ca="1">Drawdown!N48</f>
        <v>4327</v>
      </c>
      <c r="O17" s="53">
        <f ca="1">Drawdown!O48</f>
        <v>2178</v>
      </c>
      <c r="P17" s="53">
        <f ca="1">Drawdown!P48</f>
        <v>7899.509</v>
      </c>
      <c r="Q17" s="53">
        <f ca="1">Drawdown!Q48</f>
        <v>5560</v>
      </c>
      <c r="R17" s="53">
        <f ca="1">Drawdown!R48</f>
        <v>4625</v>
      </c>
      <c r="S17" s="53">
        <f ca="1">Drawdown!S48</f>
        <v>4996.1589999999997</v>
      </c>
      <c r="T17" s="53">
        <f ca="1">Drawdown!T48</f>
        <v>19985.376</v>
      </c>
      <c r="U17" s="53">
        <f ca="1">Drawdown!U48</f>
        <v>5445.7039999999997</v>
      </c>
      <c r="V17" s="53">
        <f ca="1">Drawdown!V48</f>
        <v>0</v>
      </c>
      <c r="W17" s="53">
        <f ca="1">Drawdown!W48</f>
        <v>5128</v>
      </c>
      <c r="X17" s="53">
        <f ca="1">Drawdown!X48</f>
        <v>8600</v>
      </c>
      <c r="Y17" s="53">
        <f ca="1">Drawdown!Y48</f>
        <v>4637.2110494960225</v>
      </c>
      <c r="Z17" s="53">
        <f ca="1">Drawdown!Z48</f>
        <v>4637.2110494960225</v>
      </c>
      <c r="AA17" s="53">
        <f ca="1">Drawdown!AA48</f>
        <v>4637.2110494960225</v>
      </c>
      <c r="AB17" s="53">
        <f ca="1">Drawdown!AB48</f>
        <v>4637.2110494960225</v>
      </c>
      <c r="AC17" s="53">
        <f ca="1">Drawdown!AC48</f>
        <v>4637.2110494960225</v>
      </c>
      <c r="AD17" s="53">
        <f ca="1">Drawdown!AD48</f>
        <v>4637.2110494960225</v>
      </c>
      <c r="AE17" s="53">
        <f ca="1">Drawdown!AE48</f>
        <v>4637.2110494960225</v>
      </c>
      <c r="AF17" s="53">
        <f ca="1">Drawdown!AF48</f>
        <v>10273.106832962689</v>
      </c>
      <c r="AG17" s="53">
        <f ca="1">Drawdown!AG48</f>
        <v>4637.2110494960225</v>
      </c>
      <c r="AH17" s="53">
        <f ca="1">Drawdown!AH48</f>
        <v>6050.7135337209183</v>
      </c>
      <c r="AI17" s="53">
        <f ca="1">Drawdown!AI48</f>
        <v>4642.874296638458</v>
      </c>
      <c r="AJ17" s="53">
        <f ca="1">Drawdown!AJ48</f>
        <v>4640.6725821918426</v>
      </c>
      <c r="AK17" s="53">
        <f ca="1">Drawdown!AK48</f>
        <v>5930.7080286880155</v>
      </c>
      <c r="AL17" s="53">
        <f ca="1">Drawdown!AL48</f>
        <v>0.35822884151896717</v>
      </c>
      <c r="AM17" s="53">
        <f ca="1">Drawdown!AM48</f>
        <v>1.0752880067836183E-14</v>
      </c>
      <c r="AN17" s="53">
        <f ca="1">Drawdown!AN48</f>
        <v>1.0748516697338702E-14</v>
      </c>
      <c r="AO17" s="420">
        <f ca="1">SUM(E17:AN17)</f>
        <v>147753.20626901157</v>
      </c>
      <c r="AP17" s="20">
        <f t="shared" si="4"/>
        <v>11</v>
      </c>
      <c r="AQ17" s="66"/>
    </row>
    <row r="18" spans="1:43">
      <c r="A18" s="139" t="s">
        <v>55</v>
      </c>
      <c r="B18" s="8"/>
      <c r="C18" s="8"/>
      <c r="D18" s="8"/>
      <c r="E18" s="53">
        <f t="shared" ref="E18:AN18" ca="1" si="6">E51</f>
        <v>0</v>
      </c>
      <c r="F18" s="53">
        <f t="shared" ca="1" si="6"/>
        <v>0</v>
      </c>
      <c r="G18" s="53">
        <f t="shared" ca="1" si="6"/>
        <v>0</v>
      </c>
      <c r="H18" s="53">
        <f t="shared" ca="1" si="6"/>
        <v>0</v>
      </c>
      <c r="I18" s="53">
        <f t="shared" ca="1" si="6"/>
        <v>0</v>
      </c>
      <c r="J18" s="53">
        <f t="shared" ca="1" si="6"/>
        <v>0</v>
      </c>
      <c r="K18" s="53">
        <f t="shared" ca="1" si="6"/>
        <v>0</v>
      </c>
      <c r="L18" s="53">
        <f t="shared" ca="1" si="6"/>
        <v>0</v>
      </c>
      <c r="M18" s="53">
        <f t="shared" ca="1" si="6"/>
        <v>0</v>
      </c>
      <c r="N18" s="53">
        <f t="shared" ca="1" si="6"/>
        <v>0</v>
      </c>
      <c r="O18" s="53">
        <f t="shared" ca="1" si="6"/>
        <v>0</v>
      </c>
      <c r="P18" s="53">
        <f t="shared" ca="1" si="6"/>
        <v>0</v>
      </c>
      <c r="Q18" s="53">
        <f t="shared" ca="1" si="6"/>
        <v>0</v>
      </c>
      <c r="R18" s="53">
        <f t="shared" ca="1" si="6"/>
        <v>0</v>
      </c>
      <c r="S18" s="53">
        <f t="shared" ca="1" si="6"/>
        <v>0</v>
      </c>
      <c r="T18" s="53">
        <f t="shared" ca="1" si="6"/>
        <v>49.858450900000001</v>
      </c>
      <c r="U18" s="53">
        <f t="shared" ca="1" si="6"/>
        <v>113.61606723371426</v>
      </c>
      <c r="V18" s="53">
        <f t="shared" ca="1" si="6"/>
        <v>127.87956190362119</v>
      </c>
      <c r="W18" s="53">
        <f t="shared" ca="1" si="6"/>
        <v>141.43030225735617</v>
      </c>
      <c r="X18" s="53">
        <f t="shared" ca="1" si="6"/>
        <v>176.55847541311252</v>
      </c>
      <c r="Y18" s="53">
        <f t="shared" ca="1" si="6"/>
        <v>210.66040861064175</v>
      </c>
      <c r="Z18" s="53">
        <f t="shared" ca="1" si="6"/>
        <v>235.05023762161122</v>
      </c>
      <c r="AA18" s="53">
        <f t="shared" ca="1" si="6"/>
        <v>259.57943708407197</v>
      </c>
      <c r="AB18" s="53">
        <f t="shared" ca="1" si="6"/>
        <v>284.24880340060389</v>
      </c>
      <c r="AC18" s="53">
        <f t="shared" ca="1" si="6"/>
        <v>309.05913752465887</v>
      </c>
      <c r="AD18" s="53">
        <f t="shared" ca="1" si="6"/>
        <v>334.01124498656566</v>
      </c>
      <c r="AE18" s="53">
        <f t="shared" ca="1" si="6"/>
        <v>309.1059359196833</v>
      </c>
      <c r="AF18" s="53">
        <f t="shared" ca="1" si="6"/>
        <v>298.14805025965683</v>
      </c>
      <c r="AG18" s="53">
        <f t="shared" ca="1" si="6"/>
        <v>337.12754811014446</v>
      </c>
      <c r="AH18" s="53">
        <f t="shared" ca="1" si="6"/>
        <v>674.46336062073829</v>
      </c>
      <c r="AI18" s="53">
        <f t="shared" ca="1" si="6"/>
        <v>730.00426034594443</v>
      </c>
      <c r="AJ18" s="53">
        <f t="shared" ca="1" si="6"/>
        <v>779.55937789457369</v>
      </c>
      <c r="AK18" s="53">
        <f t="shared" ca="1" si="6"/>
        <v>835.51005641982204</v>
      </c>
      <c r="AL18" s="53">
        <f t="shared" ca="1" si="6"/>
        <v>870.58770626261116</v>
      </c>
      <c r="AM18" s="53">
        <f t="shared" ca="1" si="6"/>
        <v>878.65054673589418</v>
      </c>
      <c r="AN18" s="53">
        <f t="shared" ca="1" si="6"/>
        <v>0</v>
      </c>
      <c r="AO18" s="420">
        <f ca="1">SUM(E18:AN18)</f>
        <v>7955.1089695050259</v>
      </c>
      <c r="AP18" s="20">
        <f t="shared" si="4"/>
        <v>12</v>
      </c>
    </row>
    <row r="19" spans="1:43">
      <c r="A19" s="139" t="s">
        <v>719</v>
      </c>
      <c r="B19" s="8"/>
      <c r="C19" s="8"/>
      <c r="D19" s="8"/>
      <c r="E19" s="226">
        <f ca="1">E53</f>
        <v>0</v>
      </c>
      <c r="F19" s="226">
        <f t="shared" ref="F19:AN19" ca="1" si="7">F53</f>
        <v>0</v>
      </c>
      <c r="G19" s="226">
        <f t="shared" ca="1" si="7"/>
        <v>0</v>
      </c>
      <c r="H19" s="226">
        <f t="shared" ca="1" si="7"/>
        <v>0</v>
      </c>
      <c r="I19" s="226">
        <f t="shared" ca="1" si="7"/>
        <v>0</v>
      </c>
      <c r="J19" s="226">
        <f t="shared" ca="1" si="7"/>
        <v>0</v>
      </c>
      <c r="K19" s="226">
        <f t="shared" ca="1" si="7"/>
        <v>0</v>
      </c>
      <c r="L19" s="226">
        <f t="shared" ca="1" si="7"/>
        <v>0</v>
      </c>
      <c r="M19" s="226">
        <f t="shared" ca="1" si="7"/>
        <v>0</v>
      </c>
      <c r="N19" s="226">
        <f t="shared" ca="1" si="7"/>
        <v>0</v>
      </c>
      <c r="O19" s="226">
        <f t="shared" ca="1" si="7"/>
        <v>0</v>
      </c>
      <c r="P19" s="226">
        <f t="shared" ca="1" si="7"/>
        <v>0</v>
      </c>
      <c r="Q19" s="226">
        <f t="shared" ca="1" si="7"/>
        <v>0</v>
      </c>
      <c r="R19" s="226">
        <f t="shared" ca="1" si="7"/>
        <v>0</v>
      </c>
      <c r="S19" s="226">
        <f t="shared" ca="1" si="7"/>
        <v>0</v>
      </c>
      <c r="T19" s="226">
        <f t="shared" ca="1" si="7"/>
        <v>7.122635842857143</v>
      </c>
      <c r="U19" s="226">
        <f t="shared" ca="1" si="7"/>
        <v>16.230866747673463</v>
      </c>
      <c r="V19" s="226">
        <f t="shared" ca="1" si="7"/>
        <v>18.268508843374455</v>
      </c>
      <c r="W19" s="226">
        <f t="shared" ca="1" si="7"/>
        <v>20.204328893908023</v>
      </c>
      <c r="X19" s="226">
        <f t="shared" ca="1" si="7"/>
        <v>25.222639344730357</v>
      </c>
      <c r="Y19" s="226">
        <f t="shared" ca="1" si="7"/>
        <v>30.094344087234536</v>
      </c>
      <c r="Z19" s="226">
        <f t="shared" ca="1" si="7"/>
        <v>33.578605374515888</v>
      </c>
      <c r="AA19" s="226">
        <f t="shared" ca="1" si="7"/>
        <v>37.082776726295997</v>
      </c>
      <c r="AB19" s="226">
        <f t="shared" ca="1" si="7"/>
        <v>40.606971914371982</v>
      </c>
      <c r="AC19" s="226">
        <f t="shared" ca="1" si="7"/>
        <v>44.151305360665553</v>
      </c>
      <c r="AD19" s="226">
        <f t="shared" ca="1" si="7"/>
        <v>47.715892140937946</v>
      </c>
      <c r="AE19" s="226">
        <f t="shared" ca="1" si="7"/>
        <v>44.15799084566904</v>
      </c>
      <c r="AF19" s="226">
        <f t="shared" ca="1" si="7"/>
        <v>42.592578608522402</v>
      </c>
      <c r="AG19" s="226">
        <f t="shared" ca="1" si="7"/>
        <v>48.161078301449209</v>
      </c>
      <c r="AH19" s="226">
        <f t="shared" ca="1" si="7"/>
        <v>2.9116513847712486</v>
      </c>
      <c r="AI19" s="226">
        <f t="shared" ca="1" si="7"/>
        <v>3.1514208771384906</v>
      </c>
      <c r="AJ19" s="226">
        <f t="shared" ca="1" si="7"/>
        <v>3.3653498094680008</v>
      </c>
      <c r="AK19" s="226">
        <f t="shared" ca="1" si="7"/>
        <v>3.6068883126966989</v>
      </c>
      <c r="AL19" s="226">
        <f t="shared" ca="1" si="7"/>
        <v>3.7583181659733538</v>
      </c>
      <c r="AM19" s="226">
        <f t="shared" ca="1" si="7"/>
        <v>3.7931253652964099</v>
      </c>
      <c r="AN19" s="226">
        <f t="shared" ca="1" si="7"/>
        <v>0</v>
      </c>
      <c r="AO19" s="421">
        <f ca="1">SUM(E19:AN19)</f>
        <v>475.77727694755021</v>
      </c>
      <c r="AP19" s="20">
        <f t="shared" si="4"/>
        <v>13</v>
      </c>
    </row>
    <row r="20" spans="1:43">
      <c r="A20" s="139" t="s">
        <v>172</v>
      </c>
      <c r="B20" s="8"/>
      <c r="C20" s="8"/>
      <c r="D20" s="8"/>
      <c r="E20" s="53">
        <f ca="1">SUM(E16:E19)</f>
        <v>0</v>
      </c>
      <c r="F20" s="53">
        <f t="shared" ref="F20:AN20" ca="1" si="8">SUM(F16:F19)</f>
        <v>0</v>
      </c>
      <c r="G20" s="53">
        <f t="shared" ca="1" si="8"/>
        <v>0</v>
      </c>
      <c r="H20" s="53">
        <f t="shared" ca="1" si="8"/>
        <v>0</v>
      </c>
      <c r="I20" s="53">
        <f t="shared" ca="1" si="8"/>
        <v>0</v>
      </c>
      <c r="J20" s="53">
        <f t="shared" ca="1" si="8"/>
        <v>4072.33637</v>
      </c>
      <c r="K20" s="53">
        <f t="shared" ca="1" si="8"/>
        <v>4072.33637</v>
      </c>
      <c r="L20" s="53">
        <f t="shared" ca="1" si="8"/>
        <v>4072.33637</v>
      </c>
      <c r="M20" s="53">
        <f t="shared" ca="1" si="8"/>
        <v>10372.336370000001</v>
      </c>
      <c r="N20" s="53">
        <f t="shared" ca="1" si="8"/>
        <v>14699.336370000001</v>
      </c>
      <c r="O20" s="53">
        <f t="shared" ca="1" si="8"/>
        <v>16877.336370000001</v>
      </c>
      <c r="P20" s="53">
        <f t="shared" ca="1" si="8"/>
        <v>24776.845370000003</v>
      </c>
      <c r="Q20" s="53">
        <f t="shared" ca="1" si="8"/>
        <v>30336.845370000003</v>
      </c>
      <c r="R20" s="53">
        <f t="shared" ca="1" si="8"/>
        <v>34961.845370000003</v>
      </c>
      <c r="S20" s="53">
        <f t="shared" ca="1" si="8"/>
        <v>39958.004370000002</v>
      </c>
      <c r="T20" s="53">
        <f t="shared" ca="1" si="8"/>
        <v>60000.361456742852</v>
      </c>
      <c r="U20" s="53">
        <f t="shared" ca="1" si="8"/>
        <v>65575.912390724247</v>
      </c>
      <c r="V20" s="53">
        <f t="shared" ca="1" si="8"/>
        <v>65722.06046147125</v>
      </c>
      <c r="W20" s="53">
        <f t="shared" ca="1" si="8"/>
        <v>71011.695092622511</v>
      </c>
      <c r="X20" s="53">
        <f t="shared" ca="1" si="8"/>
        <v>79813.476207380358</v>
      </c>
      <c r="Y20" s="53">
        <f t="shared" ca="1" si="8"/>
        <v>84691.442009574253</v>
      </c>
      <c r="Z20" s="53">
        <f t="shared" ca="1" si="8"/>
        <v>89597.281902066403</v>
      </c>
      <c r="AA20" s="53">
        <f t="shared" ca="1" si="8"/>
        <v>94531.155165372795</v>
      </c>
      <c r="AB20" s="53">
        <f t="shared" ca="1" si="8"/>
        <v>99493.221990183796</v>
      </c>
      <c r="AC20" s="53">
        <f t="shared" ca="1" si="8"/>
        <v>104483.64348256514</v>
      </c>
      <c r="AD20" s="53">
        <f t="shared" ca="1" si="8"/>
        <v>109502.58166918867</v>
      </c>
      <c r="AE20" s="53">
        <f t="shared" ca="1" si="8"/>
        <v>114493.05664545004</v>
      </c>
      <c r="AF20" s="53">
        <f t="shared" ca="1" si="8"/>
        <v>125106.90410728091</v>
      </c>
      <c r="AG20" s="53">
        <f t="shared" ca="1" si="8"/>
        <v>130129.40378318852</v>
      </c>
      <c r="AH20" s="53">
        <f t="shared" ca="1" si="8"/>
        <v>136857.49232891496</v>
      </c>
      <c r="AI20" s="53">
        <f t="shared" ca="1" si="8"/>
        <v>142233.52230677649</v>
      </c>
      <c r="AJ20" s="53">
        <f t="shared" ca="1" si="8"/>
        <v>147657.11961667237</v>
      </c>
      <c r="AK20" s="53">
        <f t="shared" ca="1" si="8"/>
        <v>154426.9445900929</v>
      </c>
      <c r="AL20" s="53">
        <f t="shared" ca="1" si="8"/>
        <v>155301.64884336301</v>
      </c>
      <c r="AM20" s="53">
        <f t="shared" ca="1" si="8"/>
        <v>156184.0925154642</v>
      </c>
      <c r="AN20" s="53">
        <f t="shared" ca="1" si="8"/>
        <v>156184.0925154642</v>
      </c>
      <c r="AO20" s="420">
        <f ca="1">SUM(AO16:AO19)</f>
        <v>156184.09251546414</v>
      </c>
      <c r="AP20" s="20">
        <f t="shared" si="4"/>
        <v>14</v>
      </c>
    </row>
    <row r="21" spans="1:43">
      <c r="A21" s="139" t="s">
        <v>441</v>
      </c>
      <c r="B21" s="8"/>
      <c r="C21" s="8"/>
      <c r="D21" s="8"/>
      <c r="E21" s="39">
        <f ca="1">SUM($E$17:E17)/$B$10</f>
        <v>0</v>
      </c>
      <c r="F21" s="39">
        <f ca="1">SUM($E$17:F17)/$B$10</f>
        <v>0</v>
      </c>
      <c r="G21" s="39">
        <f ca="1">SUM($E$17:G17)/$B$10</f>
        <v>0</v>
      </c>
      <c r="H21" s="39">
        <f ca="1">SUM($E$17:H17)/$B$10</f>
        <v>0</v>
      </c>
      <c r="I21" s="39">
        <f ca="1">SUM($E$17:I17)/$B$10</f>
        <v>0</v>
      </c>
      <c r="J21" s="39">
        <f ca="1">SUM($E$17:J17)/$B$10</f>
        <v>2.7561746190370783E-2</v>
      </c>
      <c r="K21" s="39">
        <f ca="1">SUM($E$17:K17)/$B$10</f>
        <v>2.7561746190370783E-2</v>
      </c>
      <c r="L21" s="39">
        <f ca="1">SUM($E$17:L17)/$B$10</f>
        <v>2.7561746190370783E-2</v>
      </c>
      <c r="M21" s="39">
        <f ca="1">SUM($E$17:M17)/$B$10</f>
        <v>7.0200414812760625E-2</v>
      </c>
      <c r="N21" s="39">
        <f ca="1">SUM($E$17:N17)/$B$10</f>
        <v>9.9485735309440132E-2</v>
      </c>
      <c r="O21" s="39">
        <f ca="1">SUM($E$17:O17)/$B$10</f>
        <v>0.11422653217603776</v>
      </c>
      <c r="P21" s="39">
        <f ca="1">SUM($E$17:P17)/$B$10</f>
        <v>0.16769074591105146</v>
      </c>
      <c r="Q21" s="39">
        <f ca="1">SUM($E$17:Q17)/$B$10</f>
        <v>0.20532106298097011</v>
      </c>
      <c r="R21" s="39">
        <f ca="1">SUM($E$17:R17)/$B$10</f>
        <v>0.23662326018391502</v>
      </c>
      <c r="S21" s="39">
        <f ca="1">SUM($E$17:S17)/$B$10</f>
        <v>0.27043747732451351</v>
      </c>
      <c r="T21" s="39">
        <f ca="1">SUM($E$17:T17)/$B$10</f>
        <v>0.40569935423845999</v>
      </c>
      <c r="U21" s="39">
        <f ca="1">SUM($E$17:U17)/$B$10</f>
        <v>0.44255611110697157</v>
      </c>
      <c r="V21" s="39">
        <f ca="1">SUM($E$17:V17)/$B$10</f>
        <v>0.44255611110697157</v>
      </c>
      <c r="W21" s="39">
        <f ca="1">SUM($E$17:W17)/$B$10</f>
        <v>0.47726263375706918</v>
      </c>
      <c r="X21" s="39">
        <f ca="1">SUM($E$17:X17)/$B$10</f>
        <v>0.53546780044795061</v>
      </c>
      <c r="Y21" s="39">
        <f ca="1">SUM($E$17:Y17)/$B$10</f>
        <v>0.56685264255454504</v>
      </c>
      <c r="Z21" s="39">
        <f ca="1">SUM($E$17:Z17)/$B$10</f>
        <v>0.59823748466113957</v>
      </c>
      <c r="AA21" s="39">
        <f ca="1">SUM($E$17:AA17)/$B$10</f>
        <v>0.62962232676773411</v>
      </c>
      <c r="AB21" s="39">
        <f ca="1">SUM($E$17:AB17)/$B$10</f>
        <v>0.66100716887432864</v>
      </c>
      <c r="AC21" s="39">
        <f ca="1">SUM($E$17:AC17)/$B$10</f>
        <v>0.69239201098092318</v>
      </c>
      <c r="AD21" s="39">
        <f ca="1">SUM($E$17:AD17)/$B$10</f>
        <v>0.72377685308751771</v>
      </c>
      <c r="AE21" s="39">
        <f ca="1">SUM($E$17:AE17)/$B$10</f>
        <v>0.75516169519411225</v>
      </c>
      <c r="AF21" s="39">
        <f ca="1">SUM($E$17:AF17)/$B$10</f>
        <v>0.82469052026920819</v>
      </c>
      <c r="AG21" s="39">
        <f ca="1">SUM($E$17:AG17)/$B$10</f>
        <v>0.85607536237580273</v>
      </c>
      <c r="AH21" s="39">
        <f ca="1">SUM($E$17:AH17)/$B$10</f>
        <v>0.89702684956522094</v>
      </c>
      <c r="AI21" s="39">
        <f ca="1">SUM($E$17:AI17)/$B$10</f>
        <v>0.92845002076994765</v>
      </c>
      <c r="AJ21" s="39">
        <f ca="1">SUM($E$17:AJ17)/$B$10</f>
        <v>0.95985829067742201</v>
      </c>
      <c r="AK21" s="39">
        <f ca="1">SUM($E$17:AK17)/$B$10</f>
        <v>0.99999757549192592</v>
      </c>
      <c r="AL21" s="39">
        <f ca="1">SUM($E$17:AL17)/$B$10</f>
        <v>0.99999999999999956</v>
      </c>
      <c r="AM21" s="39">
        <f ca="1">SUM($E$17:AM17)/$B$10</f>
        <v>0.99999999999999956</v>
      </c>
      <c r="AN21" s="39">
        <f ca="1">SUM($E$17:AN17)/$B$10</f>
        <v>0.99999999999999956</v>
      </c>
      <c r="AO21" s="416"/>
      <c r="AP21" s="20">
        <f t="shared" si="4"/>
        <v>15</v>
      </c>
    </row>
    <row r="22" spans="1:43">
      <c r="A22" s="139" t="s">
        <v>442</v>
      </c>
      <c r="B22" s="8"/>
      <c r="C22" s="8"/>
      <c r="D22" s="8"/>
      <c r="E22" s="39">
        <f ca="1">E20/$D$10</f>
        <v>0</v>
      </c>
      <c r="F22" s="39">
        <f t="shared" ref="F22:U22" ca="1" si="9">F20/$D$10</f>
        <v>0</v>
      </c>
      <c r="G22" s="39">
        <f t="shared" ca="1" si="9"/>
        <v>0</v>
      </c>
      <c r="H22" s="39">
        <f t="shared" ca="1" si="9"/>
        <v>0</v>
      </c>
      <c r="I22" s="39">
        <f t="shared" ca="1" si="9"/>
        <v>0</v>
      </c>
      <c r="J22" s="39">
        <f t="shared" ca="1" si="9"/>
        <v>2.6073950966528727E-2</v>
      </c>
      <c r="K22" s="39">
        <f t="shared" ca="1" si="9"/>
        <v>2.6073950966528727E-2</v>
      </c>
      <c r="L22" s="39">
        <f t="shared" ca="1" si="9"/>
        <v>2.6073950966528727E-2</v>
      </c>
      <c r="M22" s="39">
        <f t="shared" ca="1" si="9"/>
        <v>6.6410965437936703E-2</v>
      </c>
      <c r="N22" s="39">
        <f t="shared" ca="1" si="9"/>
        <v>9.4115451409013243E-2</v>
      </c>
      <c r="O22" s="39">
        <f t="shared" ca="1" si="9"/>
        <v>0.10806053355484285</v>
      </c>
      <c r="P22" s="39">
        <f t="shared" ca="1" si="9"/>
        <v>0.15863872543579802</v>
      </c>
      <c r="Q22" s="39">
        <f t="shared" ca="1" si="9"/>
        <v>0.19423774138199298</v>
      </c>
      <c r="R22" s="39">
        <f t="shared" ca="1" si="9"/>
        <v>0.22385023216457423</v>
      </c>
      <c r="S22" s="39">
        <f t="shared" ca="1" si="9"/>
        <v>0.25583914293988458</v>
      </c>
      <c r="T22" s="39">
        <f t="shared" ca="1" si="9"/>
        <v>0.38416435688418177</v>
      </c>
      <c r="U22" s="39">
        <f t="shared" ca="1" si="9"/>
        <v>0.41986294080641662</v>
      </c>
      <c r="V22" s="39">
        <f t="shared" ref="V22:AK22" ca="1" si="10">V20/$D$10</f>
        <v>0.42079868316271668</v>
      </c>
      <c r="W22" s="39">
        <f t="shared" ca="1" si="10"/>
        <v>0.4546666305698927</v>
      </c>
      <c r="X22" s="39">
        <f t="shared" ca="1" si="10"/>
        <v>0.51102180076039316</v>
      </c>
      <c r="Y22" s="39">
        <f t="shared" ca="1" si="10"/>
        <v>0.54225395586422309</v>
      </c>
      <c r="Z22" s="39">
        <f t="shared" ca="1" si="10"/>
        <v>0.57366458042578916</v>
      </c>
      <c r="AA22" s="39">
        <f t="shared" ca="1" si="10"/>
        <v>0.60525469427056411</v>
      </c>
      <c r="AB22" s="39">
        <f t="shared" ca="1" si="10"/>
        <v>0.63702532305159509</v>
      </c>
      <c r="AC22" s="39">
        <f t="shared" ca="1" si="10"/>
        <v>0.66897749828280328</v>
      </c>
      <c r="AD22" s="39">
        <f t="shared" ca="1" si="10"/>
        <v>0.70111225737247551</v>
      </c>
      <c r="AE22" s="39">
        <f t="shared" ca="1" si="10"/>
        <v>0.73306477504496037</v>
      </c>
      <c r="AF22" s="39">
        <f t="shared" ca="1" si="10"/>
        <v>0.80102206372197438</v>
      </c>
      <c r="AG22" s="39">
        <f t="shared" ca="1" si="10"/>
        <v>0.83317962596161366</v>
      </c>
      <c r="AH22" s="39">
        <f t="shared" ca="1" si="10"/>
        <v>0.87625756326857895</v>
      </c>
      <c r="AI22" s="39">
        <f t="shared" ca="1" si="10"/>
        <v>0.91067867422345572</v>
      </c>
      <c r="AJ22" s="39">
        <f t="shared" ca="1" si="10"/>
        <v>0.94540434456890954</v>
      </c>
      <c r="AK22" s="39">
        <f t="shared" ca="1" si="10"/>
        <v>0.98874950773109416</v>
      </c>
      <c r="AL22" s="39">
        <f ca="1">AL20/$D$10</f>
        <v>0.99434997727432572</v>
      </c>
      <c r="AM22" s="39">
        <f ca="1">AM20/$D$10</f>
        <v>1</v>
      </c>
      <c r="AN22" s="39">
        <f ca="1">AN20/$D$10</f>
        <v>1</v>
      </c>
      <c r="AO22" s="416"/>
      <c r="AP22" s="20">
        <f t="shared" si="4"/>
        <v>16</v>
      </c>
    </row>
    <row r="23" spans="1:43">
      <c r="A23" s="13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416"/>
      <c r="AP23" s="20">
        <f t="shared" si="4"/>
        <v>17</v>
      </c>
    </row>
    <row r="24" spans="1:43">
      <c r="A24" s="146" t="s">
        <v>792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416"/>
      <c r="AP24" s="20">
        <f t="shared" si="4"/>
        <v>18</v>
      </c>
    </row>
    <row r="25" spans="1:43">
      <c r="A25" s="139" t="s">
        <v>164</v>
      </c>
      <c r="B25" s="8"/>
      <c r="C25" s="8"/>
      <c r="D25" s="8"/>
      <c r="E25" s="831">
        <v>0</v>
      </c>
      <c r="F25" s="53">
        <f t="shared" ref="F25:AN25" ca="1" si="11">E30</f>
        <v>0</v>
      </c>
      <c r="G25" s="53">
        <f t="shared" ca="1" si="11"/>
        <v>0</v>
      </c>
      <c r="H25" s="53">
        <f t="shared" ca="1" si="11"/>
        <v>0</v>
      </c>
      <c r="I25" s="53">
        <f t="shared" ca="1" si="11"/>
        <v>0</v>
      </c>
      <c r="J25" s="53">
        <f t="shared" ca="1" si="11"/>
        <v>0</v>
      </c>
      <c r="K25" s="53">
        <f t="shared" ca="1" si="11"/>
        <v>0</v>
      </c>
      <c r="L25" s="53">
        <f t="shared" ca="1" si="11"/>
        <v>0</v>
      </c>
      <c r="M25" s="53">
        <f t="shared" ca="1" si="11"/>
        <v>0</v>
      </c>
      <c r="N25" s="53">
        <f t="shared" ca="1" si="11"/>
        <v>0</v>
      </c>
      <c r="O25" s="53">
        <f t="shared" ca="1" si="11"/>
        <v>0</v>
      </c>
      <c r="P25" s="53">
        <f t="shared" ca="1" si="11"/>
        <v>0</v>
      </c>
      <c r="Q25" s="53">
        <f t="shared" ca="1" si="11"/>
        <v>0</v>
      </c>
      <c r="R25" s="53">
        <f t="shared" ca="1" si="11"/>
        <v>0</v>
      </c>
      <c r="S25" s="53">
        <f t="shared" ca="1" si="11"/>
        <v>0</v>
      </c>
      <c r="T25" s="53">
        <f t="shared" ca="1" si="11"/>
        <v>0</v>
      </c>
      <c r="U25" s="53">
        <f t="shared" ca="1" si="11"/>
        <v>20000.361446742856</v>
      </c>
      <c r="V25" s="53">
        <f t="shared" ca="1" si="11"/>
        <v>25575.912380724239</v>
      </c>
      <c r="W25" s="53">
        <f t="shared" ca="1" si="11"/>
        <v>25722.060451471236</v>
      </c>
      <c r="X25" s="53">
        <f t="shared" ca="1" si="11"/>
        <v>31011.6950826225</v>
      </c>
      <c r="Y25" s="53">
        <f t="shared" ca="1" si="11"/>
        <v>39813.47619738034</v>
      </c>
      <c r="Z25" s="53">
        <f t="shared" ca="1" si="11"/>
        <v>44691.441999574236</v>
      </c>
      <c r="AA25" s="53">
        <f t="shared" ca="1" si="11"/>
        <v>49597.281892066385</v>
      </c>
      <c r="AB25" s="53">
        <f t="shared" ca="1" si="11"/>
        <v>54531.155155372777</v>
      </c>
      <c r="AC25" s="53">
        <f t="shared" ca="1" si="11"/>
        <v>59493.221980183771</v>
      </c>
      <c r="AD25" s="53">
        <f t="shared" ca="1" si="11"/>
        <v>64483.64347256512</v>
      </c>
      <c r="AE25" s="53">
        <f t="shared" ca="1" si="11"/>
        <v>69502.581659188654</v>
      </c>
      <c r="AF25" s="53">
        <f t="shared" ca="1" si="11"/>
        <v>54493.056635450026</v>
      </c>
      <c r="AG25" s="53">
        <f t="shared" ca="1" si="11"/>
        <v>65106.904097280887</v>
      </c>
      <c r="AH25" s="53">
        <f t="shared" ca="1" si="11"/>
        <v>70129.403773188504</v>
      </c>
      <c r="AI25" s="53">
        <f t="shared" ca="1" si="11"/>
        <v>0</v>
      </c>
      <c r="AJ25" s="53">
        <f t="shared" ca="1" si="11"/>
        <v>0</v>
      </c>
      <c r="AK25" s="53">
        <f t="shared" ca="1" si="11"/>
        <v>0</v>
      </c>
      <c r="AL25" s="53">
        <f t="shared" ca="1" si="11"/>
        <v>0</v>
      </c>
      <c r="AM25" s="53">
        <f t="shared" ca="1" si="11"/>
        <v>0</v>
      </c>
      <c r="AN25" s="53">
        <f t="shared" ca="1" si="11"/>
        <v>0</v>
      </c>
      <c r="AO25" s="420">
        <f>E25</f>
        <v>0</v>
      </c>
      <c r="AP25" s="20">
        <f t="shared" si="4"/>
        <v>19</v>
      </c>
    </row>
    <row r="26" spans="1:43" ht="13.5" customHeight="1">
      <c r="A26" s="139" t="s">
        <v>797</v>
      </c>
      <c r="B26" s="8"/>
      <c r="C26" s="8"/>
      <c r="D26" s="8"/>
      <c r="E26" s="53">
        <f t="shared" ref="E26:AN26" ca="1" si="12">IF(E$7=Fin_Close,-E25,0)</f>
        <v>0</v>
      </c>
      <c r="F26" s="53">
        <f t="shared" ca="1" si="12"/>
        <v>0</v>
      </c>
      <c r="G26" s="53">
        <f t="shared" ca="1" si="12"/>
        <v>0</v>
      </c>
      <c r="H26" s="53">
        <f t="shared" ca="1" si="12"/>
        <v>0</v>
      </c>
      <c r="I26" s="53">
        <f t="shared" ca="1" si="12"/>
        <v>0</v>
      </c>
      <c r="J26" s="53">
        <f t="shared" ca="1" si="12"/>
        <v>0</v>
      </c>
      <c r="K26" s="53">
        <f t="shared" ca="1" si="12"/>
        <v>0</v>
      </c>
      <c r="L26" s="53">
        <f t="shared" ca="1" si="12"/>
        <v>0</v>
      </c>
      <c r="M26" s="53">
        <f t="shared" ca="1" si="12"/>
        <v>0</v>
      </c>
      <c r="N26" s="53">
        <f t="shared" ca="1" si="12"/>
        <v>0</v>
      </c>
      <c r="O26" s="53">
        <f t="shared" ca="1" si="12"/>
        <v>0</v>
      </c>
      <c r="P26" s="53">
        <f t="shared" ca="1" si="12"/>
        <v>0</v>
      </c>
      <c r="Q26" s="53">
        <f t="shared" ca="1" si="12"/>
        <v>0</v>
      </c>
      <c r="R26" s="53">
        <f t="shared" ca="1" si="12"/>
        <v>0</v>
      </c>
      <c r="S26" s="53">
        <f t="shared" ca="1" si="12"/>
        <v>0</v>
      </c>
      <c r="T26" s="53">
        <f t="shared" ca="1" si="12"/>
        <v>0</v>
      </c>
      <c r="U26" s="53">
        <f t="shared" ca="1" si="12"/>
        <v>0</v>
      </c>
      <c r="V26" s="53">
        <f t="shared" ca="1" si="12"/>
        <v>0</v>
      </c>
      <c r="W26" s="53">
        <f t="shared" ca="1" si="12"/>
        <v>0</v>
      </c>
      <c r="X26" s="53">
        <f t="shared" ca="1" si="12"/>
        <v>0</v>
      </c>
      <c r="Y26" s="53">
        <f t="shared" ca="1" si="12"/>
        <v>0</v>
      </c>
      <c r="Z26" s="53">
        <f t="shared" ca="1" si="12"/>
        <v>0</v>
      </c>
      <c r="AA26" s="53">
        <f t="shared" ca="1" si="12"/>
        <v>0</v>
      </c>
      <c r="AB26" s="53">
        <f t="shared" ca="1" si="12"/>
        <v>0</v>
      </c>
      <c r="AC26" s="53">
        <f t="shared" ca="1" si="12"/>
        <v>0</v>
      </c>
      <c r="AD26" s="53">
        <f t="shared" ca="1" si="12"/>
        <v>0</v>
      </c>
      <c r="AE26" s="53">
        <f t="shared" ca="1" si="12"/>
        <v>0</v>
      </c>
      <c r="AF26" s="53">
        <f t="shared" ca="1" si="12"/>
        <v>0</v>
      </c>
      <c r="AG26" s="53">
        <f t="shared" ca="1" si="12"/>
        <v>0</v>
      </c>
      <c r="AH26" s="53">
        <f t="shared" ca="1" si="12"/>
        <v>-70129.403773188504</v>
      </c>
      <c r="AI26" s="53">
        <f t="shared" ca="1" si="12"/>
        <v>0</v>
      </c>
      <c r="AJ26" s="53">
        <f t="shared" ca="1" si="12"/>
        <v>0</v>
      </c>
      <c r="AK26" s="53">
        <f t="shared" ca="1" si="12"/>
        <v>0</v>
      </c>
      <c r="AL26" s="53">
        <f t="shared" ca="1" si="12"/>
        <v>0</v>
      </c>
      <c r="AM26" s="53">
        <f t="shared" ca="1" si="12"/>
        <v>0</v>
      </c>
      <c r="AN26" s="53">
        <f t="shared" ca="1" si="12"/>
        <v>0</v>
      </c>
      <c r="AO26" s="420">
        <f ca="1">SUM(E26:AN26)</f>
        <v>-70129.403773188504</v>
      </c>
      <c r="AP26" s="20">
        <f t="shared" si="4"/>
        <v>20</v>
      </c>
    </row>
    <row r="27" spans="1:43" ht="13.5" customHeight="1">
      <c r="A27" s="139" t="s">
        <v>197</v>
      </c>
      <c r="B27" s="8"/>
      <c r="C27" s="8"/>
      <c r="D27" s="8"/>
      <c r="E27" s="53">
        <f t="shared" ref="E27:AN27" ca="1" si="13">IF(E$7&lt;Fin_Close,E17-E64,0)</f>
        <v>0</v>
      </c>
      <c r="F27" s="53">
        <f t="shared" ca="1" si="13"/>
        <v>0</v>
      </c>
      <c r="G27" s="53">
        <f t="shared" ca="1" si="13"/>
        <v>0</v>
      </c>
      <c r="H27" s="53">
        <f t="shared" ca="1" si="13"/>
        <v>0</v>
      </c>
      <c r="I27" s="53">
        <f t="shared" ca="1" si="13"/>
        <v>0</v>
      </c>
      <c r="J27" s="53">
        <f t="shared" ca="1" si="13"/>
        <v>0</v>
      </c>
      <c r="K27" s="53">
        <f t="shared" ca="1" si="13"/>
        <v>0</v>
      </c>
      <c r="L27" s="53">
        <f t="shared" ca="1" si="13"/>
        <v>0</v>
      </c>
      <c r="M27" s="53">
        <f t="shared" ca="1" si="13"/>
        <v>0</v>
      </c>
      <c r="N27" s="53">
        <f t="shared" ca="1" si="13"/>
        <v>0</v>
      </c>
      <c r="O27" s="53">
        <f t="shared" ca="1" si="13"/>
        <v>0</v>
      </c>
      <c r="P27" s="53">
        <f t="shared" ca="1" si="13"/>
        <v>0</v>
      </c>
      <c r="Q27" s="53">
        <f t="shared" ca="1" si="13"/>
        <v>0</v>
      </c>
      <c r="R27" s="53">
        <f t="shared" ca="1" si="13"/>
        <v>0</v>
      </c>
      <c r="S27" s="53">
        <f t="shared" ca="1" si="13"/>
        <v>0</v>
      </c>
      <c r="T27" s="53">
        <f t="shared" ca="1" si="13"/>
        <v>19943.380359999999</v>
      </c>
      <c r="U27" s="53">
        <f t="shared" ca="1" si="13"/>
        <v>5445.7039999999997</v>
      </c>
      <c r="V27" s="53">
        <f t="shared" ca="1" si="13"/>
        <v>0</v>
      </c>
      <c r="W27" s="53">
        <f t="shared" ca="1" si="13"/>
        <v>5128</v>
      </c>
      <c r="X27" s="53">
        <f t="shared" ca="1" si="13"/>
        <v>8600</v>
      </c>
      <c r="Y27" s="53">
        <f t="shared" ca="1" si="13"/>
        <v>4637.2110494960225</v>
      </c>
      <c r="Z27" s="53">
        <f t="shared" ca="1" si="13"/>
        <v>4637.2110494960225</v>
      </c>
      <c r="AA27" s="53">
        <f t="shared" ca="1" si="13"/>
        <v>4637.2110494960225</v>
      </c>
      <c r="AB27" s="53">
        <f t="shared" ca="1" si="13"/>
        <v>4637.2110494960225</v>
      </c>
      <c r="AC27" s="53">
        <f t="shared" ca="1" si="13"/>
        <v>4637.2110494960225</v>
      </c>
      <c r="AD27" s="53">
        <f t="shared" ca="1" si="13"/>
        <v>4637.2110494960225</v>
      </c>
      <c r="AE27" s="53">
        <f t="shared" ca="1" si="13"/>
        <v>-15362.788950503978</v>
      </c>
      <c r="AF27" s="53">
        <f t="shared" ca="1" si="13"/>
        <v>10273.106832962689</v>
      </c>
      <c r="AG27" s="53">
        <f t="shared" ca="1" si="13"/>
        <v>4637.2110494960225</v>
      </c>
      <c r="AH27" s="53">
        <f t="shared" ca="1" si="13"/>
        <v>0</v>
      </c>
      <c r="AI27" s="53">
        <f t="shared" ca="1" si="13"/>
        <v>0</v>
      </c>
      <c r="AJ27" s="53">
        <f t="shared" ca="1" si="13"/>
        <v>0</v>
      </c>
      <c r="AK27" s="53">
        <f t="shared" ca="1" si="13"/>
        <v>0</v>
      </c>
      <c r="AL27" s="53">
        <f t="shared" ca="1" si="13"/>
        <v>0</v>
      </c>
      <c r="AM27" s="53">
        <f t="shared" ca="1" si="13"/>
        <v>0</v>
      </c>
      <c r="AN27" s="53">
        <f t="shared" ca="1" si="13"/>
        <v>0</v>
      </c>
      <c r="AO27" s="420">
        <f ca="1">SUM(E27:AN27)</f>
        <v>66487.879588930868</v>
      </c>
      <c r="AP27" s="20">
        <f t="shared" si="4"/>
        <v>21</v>
      </c>
    </row>
    <row r="28" spans="1:43">
      <c r="A28" s="139" t="s">
        <v>720</v>
      </c>
      <c r="B28" s="8"/>
      <c r="C28" s="8"/>
      <c r="D28" s="8"/>
      <c r="E28" s="53">
        <f t="shared" ref="E28:AN28" ca="1" si="14">IF(E$7&lt;Fin_Close,E18-E65,0)</f>
        <v>0</v>
      </c>
      <c r="F28" s="53">
        <f t="shared" ca="1" si="14"/>
        <v>0</v>
      </c>
      <c r="G28" s="53">
        <f t="shared" ca="1" si="14"/>
        <v>0</v>
      </c>
      <c r="H28" s="53">
        <f t="shared" ca="1" si="14"/>
        <v>0</v>
      </c>
      <c r="I28" s="53">
        <f t="shared" ca="1" si="14"/>
        <v>0</v>
      </c>
      <c r="J28" s="53">
        <f t="shared" ca="1" si="14"/>
        <v>0</v>
      </c>
      <c r="K28" s="53">
        <f t="shared" ca="1" si="14"/>
        <v>0</v>
      </c>
      <c r="L28" s="53">
        <f t="shared" ca="1" si="14"/>
        <v>0</v>
      </c>
      <c r="M28" s="53">
        <f t="shared" ca="1" si="14"/>
        <v>0</v>
      </c>
      <c r="N28" s="53">
        <f t="shared" ca="1" si="14"/>
        <v>0</v>
      </c>
      <c r="O28" s="53">
        <f t="shared" ca="1" si="14"/>
        <v>0</v>
      </c>
      <c r="P28" s="53">
        <f t="shared" ca="1" si="14"/>
        <v>0</v>
      </c>
      <c r="Q28" s="53">
        <f t="shared" ca="1" si="14"/>
        <v>0</v>
      </c>
      <c r="R28" s="53">
        <f t="shared" ca="1" si="14"/>
        <v>0</v>
      </c>
      <c r="S28" s="53">
        <f t="shared" ca="1" si="14"/>
        <v>0</v>
      </c>
      <c r="T28" s="53">
        <f t="shared" ca="1" si="14"/>
        <v>49.858450900000001</v>
      </c>
      <c r="U28" s="53">
        <f t="shared" ca="1" si="14"/>
        <v>113.61606723371426</v>
      </c>
      <c r="V28" s="53">
        <f t="shared" ca="1" si="14"/>
        <v>127.87956190362119</v>
      </c>
      <c r="W28" s="53">
        <f t="shared" ca="1" si="14"/>
        <v>141.43030225735617</v>
      </c>
      <c r="X28" s="53">
        <f t="shared" ca="1" si="14"/>
        <v>176.55847541311252</v>
      </c>
      <c r="Y28" s="53">
        <f t="shared" ca="1" si="14"/>
        <v>210.66040861064175</v>
      </c>
      <c r="Z28" s="53">
        <f t="shared" ca="1" si="14"/>
        <v>235.05023762161122</v>
      </c>
      <c r="AA28" s="53">
        <f t="shared" ca="1" si="14"/>
        <v>259.57943708407197</v>
      </c>
      <c r="AB28" s="53">
        <f t="shared" ca="1" si="14"/>
        <v>284.24880340060389</v>
      </c>
      <c r="AC28" s="53">
        <f t="shared" ca="1" si="14"/>
        <v>309.05913752465887</v>
      </c>
      <c r="AD28" s="53">
        <f t="shared" ca="1" si="14"/>
        <v>334.01124498656566</v>
      </c>
      <c r="AE28" s="53">
        <f t="shared" ca="1" si="14"/>
        <v>309.1059359196833</v>
      </c>
      <c r="AF28" s="53">
        <f t="shared" ca="1" si="14"/>
        <v>298.14805025965683</v>
      </c>
      <c r="AG28" s="53">
        <f t="shared" ca="1" si="14"/>
        <v>337.12754811014446</v>
      </c>
      <c r="AH28" s="53">
        <f t="shared" ca="1" si="14"/>
        <v>0</v>
      </c>
      <c r="AI28" s="53">
        <f t="shared" ca="1" si="14"/>
        <v>0</v>
      </c>
      <c r="AJ28" s="53">
        <f t="shared" ca="1" si="14"/>
        <v>0</v>
      </c>
      <c r="AK28" s="53">
        <f t="shared" ca="1" si="14"/>
        <v>0</v>
      </c>
      <c r="AL28" s="53">
        <f t="shared" ca="1" si="14"/>
        <v>0</v>
      </c>
      <c r="AM28" s="53">
        <f t="shared" ca="1" si="14"/>
        <v>0</v>
      </c>
      <c r="AN28" s="53">
        <f t="shared" ca="1" si="14"/>
        <v>0</v>
      </c>
      <c r="AO28" s="420">
        <f ca="1">SUM(E28:AN28)</f>
        <v>3186.333661225442</v>
      </c>
      <c r="AP28" s="20">
        <f t="shared" si="4"/>
        <v>22</v>
      </c>
      <c r="AQ28" s="29"/>
    </row>
    <row r="29" spans="1:43">
      <c r="A29" s="139" t="s">
        <v>721</v>
      </c>
      <c r="B29" s="8"/>
      <c r="C29" s="8"/>
      <c r="D29" s="8"/>
      <c r="E29" s="226">
        <f t="shared" ref="E29:AN29" ca="1" si="15">IF(E$7&lt;Fin_Close,E19-E66,0)</f>
        <v>0</v>
      </c>
      <c r="F29" s="226">
        <f t="shared" ca="1" si="15"/>
        <v>0</v>
      </c>
      <c r="G29" s="226">
        <f t="shared" ca="1" si="15"/>
        <v>0</v>
      </c>
      <c r="H29" s="226">
        <f t="shared" ca="1" si="15"/>
        <v>0</v>
      </c>
      <c r="I29" s="226">
        <f t="shared" ca="1" si="15"/>
        <v>0</v>
      </c>
      <c r="J29" s="226">
        <f t="shared" ca="1" si="15"/>
        <v>0</v>
      </c>
      <c r="K29" s="226">
        <f t="shared" ca="1" si="15"/>
        <v>0</v>
      </c>
      <c r="L29" s="226">
        <f t="shared" ca="1" si="15"/>
        <v>0</v>
      </c>
      <c r="M29" s="226">
        <f t="shared" ca="1" si="15"/>
        <v>0</v>
      </c>
      <c r="N29" s="226">
        <f t="shared" ca="1" si="15"/>
        <v>0</v>
      </c>
      <c r="O29" s="226">
        <f t="shared" ca="1" si="15"/>
        <v>0</v>
      </c>
      <c r="P29" s="226">
        <f t="shared" ca="1" si="15"/>
        <v>0</v>
      </c>
      <c r="Q29" s="226">
        <f t="shared" ca="1" si="15"/>
        <v>0</v>
      </c>
      <c r="R29" s="226">
        <f t="shared" ca="1" si="15"/>
        <v>0</v>
      </c>
      <c r="S29" s="226">
        <f t="shared" ca="1" si="15"/>
        <v>0</v>
      </c>
      <c r="T29" s="226">
        <f t="shared" ca="1" si="15"/>
        <v>7.122635842857143</v>
      </c>
      <c r="U29" s="226">
        <f t="shared" ca="1" si="15"/>
        <v>16.230866747673463</v>
      </c>
      <c r="V29" s="226">
        <f t="shared" ca="1" si="15"/>
        <v>18.268508843374455</v>
      </c>
      <c r="W29" s="226">
        <f t="shared" ca="1" si="15"/>
        <v>20.204328893908023</v>
      </c>
      <c r="X29" s="226">
        <f t="shared" ca="1" si="15"/>
        <v>25.222639344730357</v>
      </c>
      <c r="Y29" s="226">
        <f t="shared" ca="1" si="15"/>
        <v>30.094344087234536</v>
      </c>
      <c r="Z29" s="226">
        <f t="shared" ca="1" si="15"/>
        <v>33.578605374515888</v>
      </c>
      <c r="AA29" s="226">
        <f t="shared" ca="1" si="15"/>
        <v>37.082776726295997</v>
      </c>
      <c r="AB29" s="226">
        <f t="shared" ca="1" si="15"/>
        <v>40.606971914371982</v>
      </c>
      <c r="AC29" s="226">
        <f t="shared" ca="1" si="15"/>
        <v>44.151305360665553</v>
      </c>
      <c r="AD29" s="226">
        <f t="shared" ca="1" si="15"/>
        <v>47.715892140937946</v>
      </c>
      <c r="AE29" s="226">
        <f t="shared" ca="1" si="15"/>
        <v>44.15799084566904</v>
      </c>
      <c r="AF29" s="226">
        <f t="shared" ca="1" si="15"/>
        <v>42.592578608522402</v>
      </c>
      <c r="AG29" s="226">
        <f t="shared" ca="1" si="15"/>
        <v>48.161078301449209</v>
      </c>
      <c r="AH29" s="226">
        <f t="shared" ca="1" si="15"/>
        <v>0</v>
      </c>
      <c r="AI29" s="226">
        <f t="shared" ca="1" si="15"/>
        <v>0</v>
      </c>
      <c r="AJ29" s="226">
        <f t="shared" ca="1" si="15"/>
        <v>0</v>
      </c>
      <c r="AK29" s="226">
        <f t="shared" ca="1" si="15"/>
        <v>0</v>
      </c>
      <c r="AL29" s="226">
        <f t="shared" ca="1" si="15"/>
        <v>0</v>
      </c>
      <c r="AM29" s="226">
        <f t="shared" ca="1" si="15"/>
        <v>0</v>
      </c>
      <c r="AN29" s="226">
        <f t="shared" ca="1" si="15"/>
        <v>0</v>
      </c>
      <c r="AO29" s="421">
        <f ca="1">SUM(E29:AN29)</f>
        <v>455.19052303220599</v>
      </c>
      <c r="AP29" s="20">
        <f t="shared" si="4"/>
        <v>23</v>
      </c>
      <c r="AQ29" s="29"/>
    </row>
    <row r="30" spans="1:43">
      <c r="A30" s="139" t="s">
        <v>172</v>
      </c>
      <c r="B30" s="8"/>
      <c r="C30" s="8"/>
      <c r="D30" s="8"/>
      <c r="E30" s="53">
        <f t="shared" ref="E30:AO30" ca="1" si="16">SUM(E25:E29)</f>
        <v>0</v>
      </c>
      <c r="F30" s="53">
        <f t="shared" ca="1" si="16"/>
        <v>0</v>
      </c>
      <c r="G30" s="53">
        <f t="shared" ca="1" si="16"/>
        <v>0</v>
      </c>
      <c r="H30" s="53">
        <f t="shared" ca="1" si="16"/>
        <v>0</v>
      </c>
      <c r="I30" s="53">
        <f t="shared" ca="1" si="16"/>
        <v>0</v>
      </c>
      <c r="J30" s="53">
        <f t="shared" ca="1" si="16"/>
        <v>0</v>
      </c>
      <c r="K30" s="53">
        <f t="shared" ca="1" si="16"/>
        <v>0</v>
      </c>
      <c r="L30" s="53">
        <f t="shared" ca="1" si="16"/>
        <v>0</v>
      </c>
      <c r="M30" s="53">
        <f t="shared" ca="1" si="16"/>
        <v>0</v>
      </c>
      <c r="N30" s="53">
        <f t="shared" ca="1" si="16"/>
        <v>0</v>
      </c>
      <c r="O30" s="53">
        <f t="shared" ca="1" si="16"/>
        <v>0</v>
      </c>
      <c r="P30" s="53">
        <f t="shared" ca="1" si="16"/>
        <v>0</v>
      </c>
      <c r="Q30" s="53">
        <f t="shared" ca="1" si="16"/>
        <v>0</v>
      </c>
      <c r="R30" s="53">
        <f t="shared" ca="1" si="16"/>
        <v>0</v>
      </c>
      <c r="S30" s="53">
        <f t="shared" ca="1" si="16"/>
        <v>0</v>
      </c>
      <c r="T30" s="53">
        <f t="shared" ca="1" si="16"/>
        <v>20000.361446742856</v>
      </c>
      <c r="U30" s="53">
        <f t="shared" ca="1" si="16"/>
        <v>25575.912380724239</v>
      </c>
      <c r="V30" s="53">
        <f t="shared" ca="1" si="16"/>
        <v>25722.060451471236</v>
      </c>
      <c r="W30" s="53">
        <f t="shared" ca="1" si="16"/>
        <v>31011.6950826225</v>
      </c>
      <c r="X30" s="53">
        <f t="shared" ca="1" si="16"/>
        <v>39813.47619738034</v>
      </c>
      <c r="Y30" s="53">
        <f t="shared" ca="1" si="16"/>
        <v>44691.441999574236</v>
      </c>
      <c r="Z30" s="53">
        <f t="shared" ca="1" si="16"/>
        <v>49597.281892066385</v>
      </c>
      <c r="AA30" s="53">
        <f t="shared" ca="1" si="16"/>
        <v>54531.155155372777</v>
      </c>
      <c r="AB30" s="53">
        <f t="shared" ca="1" si="16"/>
        <v>59493.221980183771</v>
      </c>
      <c r="AC30" s="53">
        <f t="shared" ca="1" si="16"/>
        <v>64483.64347256512</v>
      </c>
      <c r="AD30" s="53">
        <f t="shared" ca="1" si="16"/>
        <v>69502.581659188654</v>
      </c>
      <c r="AE30" s="53">
        <f t="shared" ca="1" si="16"/>
        <v>54493.056635450026</v>
      </c>
      <c r="AF30" s="53">
        <f t="shared" ca="1" si="16"/>
        <v>65106.904097280887</v>
      </c>
      <c r="AG30" s="53">
        <f t="shared" ca="1" si="16"/>
        <v>70129.403773188504</v>
      </c>
      <c r="AH30" s="53">
        <f t="shared" ca="1" si="16"/>
        <v>0</v>
      </c>
      <c r="AI30" s="53">
        <f t="shared" ca="1" si="16"/>
        <v>0</v>
      </c>
      <c r="AJ30" s="53">
        <f t="shared" ca="1" si="16"/>
        <v>0</v>
      </c>
      <c r="AK30" s="53">
        <f t="shared" ca="1" si="16"/>
        <v>0</v>
      </c>
      <c r="AL30" s="53">
        <f t="shared" ca="1" si="16"/>
        <v>0</v>
      </c>
      <c r="AM30" s="53">
        <f t="shared" ca="1" si="16"/>
        <v>0</v>
      </c>
      <c r="AN30" s="53">
        <f t="shared" ca="1" si="16"/>
        <v>0</v>
      </c>
      <c r="AO30" s="420">
        <f t="shared" ca="1" si="16"/>
        <v>1.1937117960769683E-11</v>
      </c>
      <c r="AP30" s="20">
        <f t="shared" si="4"/>
        <v>24</v>
      </c>
    </row>
    <row r="31" spans="1:43">
      <c r="A31" s="139"/>
      <c r="B31" s="8"/>
      <c r="C31" s="8"/>
      <c r="D31" s="8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16"/>
      <c r="AP31" s="20">
        <f t="shared" si="4"/>
        <v>25</v>
      </c>
    </row>
    <row r="32" spans="1:43">
      <c r="A32" s="146" t="s">
        <v>275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416"/>
      <c r="AP32" s="20">
        <f t="shared" si="4"/>
        <v>26</v>
      </c>
    </row>
    <row r="33" spans="1:43">
      <c r="A33" s="139" t="s">
        <v>164</v>
      </c>
      <c r="B33" s="8"/>
      <c r="C33" s="8"/>
      <c r="D33" s="8"/>
      <c r="E33" s="831">
        <v>0</v>
      </c>
      <c r="F33" s="53">
        <f t="shared" ref="F33:AN33" ca="1" si="17">E38</f>
        <v>0</v>
      </c>
      <c r="G33" s="53">
        <f t="shared" ca="1" si="17"/>
        <v>0</v>
      </c>
      <c r="H33" s="53">
        <f t="shared" ca="1" si="17"/>
        <v>0</v>
      </c>
      <c r="I33" s="53">
        <f t="shared" ca="1" si="17"/>
        <v>0</v>
      </c>
      <c r="J33" s="53">
        <f t="shared" ca="1" si="17"/>
        <v>0</v>
      </c>
      <c r="K33" s="53">
        <f t="shared" ca="1" si="17"/>
        <v>0</v>
      </c>
      <c r="L33" s="53">
        <f t="shared" ca="1" si="17"/>
        <v>0</v>
      </c>
      <c r="M33" s="53">
        <f t="shared" ca="1" si="17"/>
        <v>0</v>
      </c>
      <c r="N33" s="53">
        <f t="shared" ca="1" si="17"/>
        <v>0</v>
      </c>
      <c r="O33" s="53">
        <f t="shared" ca="1" si="17"/>
        <v>0</v>
      </c>
      <c r="P33" s="53">
        <f t="shared" ca="1" si="17"/>
        <v>0</v>
      </c>
      <c r="Q33" s="53">
        <f t="shared" ca="1" si="17"/>
        <v>0</v>
      </c>
      <c r="R33" s="53">
        <f t="shared" ca="1" si="17"/>
        <v>0</v>
      </c>
      <c r="S33" s="53">
        <f t="shared" ca="1" si="17"/>
        <v>0</v>
      </c>
      <c r="T33" s="53">
        <f t="shared" ca="1" si="17"/>
        <v>0</v>
      </c>
      <c r="U33" s="53">
        <f t="shared" ca="1" si="17"/>
        <v>0</v>
      </c>
      <c r="V33" s="53">
        <f t="shared" ca="1" si="17"/>
        <v>0</v>
      </c>
      <c r="W33" s="53">
        <f t="shared" ca="1" si="17"/>
        <v>0</v>
      </c>
      <c r="X33" s="53">
        <f t="shared" ca="1" si="17"/>
        <v>0</v>
      </c>
      <c r="Y33" s="53">
        <f t="shared" ca="1" si="17"/>
        <v>0</v>
      </c>
      <c r="Z33" s="53">
        <f t="shared" ca="1" si="17"/>
        <v>0</v>
      </c>
      <c r="AA33" s="53">
        <f t="shared" ca="1" si="17"/>
        <v>0</v>
      </c>
      <c r="AB33" s="53">
        <f t="shared" ca="1" si="17"/>
        <v>0</v>
      </c>
      <c r="AC33" s="53">
        <f t="shared" ca="1" si="17"/>
        <v>0</v>
      </c>
      <c r="AD33" s="53">
        <f t="shared" ca="1" si="17"/>
        <v>0</v>
      </c>
      <c r="AE33" s="53">
        <f t="shared" ca="1" si="17"/>
        <v>0</v>
      </c>
      <c r="AF33" s="53">
        <f t="shared" ca="1" si="17"/>
        <v>0</v>
      </c>
      <c r="AG33" s="53">
        <f t="shared" ca="1" si="17"/>
        <v>0</v>
      </c>
      <c r="AH33" s="53">
        <f t="shared" ca="1" si="17"/>
        <v>0</v>
      </c>
      <c r="AI33" s="53">
        <f t="shared" ca="1" si="17"/>
        <v>74880.891703555113</v>
      </c>
      <c r="AJ33" s="53">
        <f t="shared" ca="1" si="17"/>
        <v>80118.662367434081</v>
      </c>
      <c r="AK33" s="53">
        <f t="shared" ca="1" si="17"/>
        <v>85402.777039310487</v>
      </c>
      <c r="AL33" s="53">
        <f t="shared" ca="1" si="17"/>
        <v>91998.497448496521</v>
      </c>
      <c r="AM33" s="53">
        <f t="shared" ca="1" si="17"/>
        <v>92850.706289632988</v>
      </c>
      <c r="AN33" s="53">
        <f t="shared" ca="1" si="17"/>
        <v>93710.455509278487</v>
      </c>
      <c r="AO33" s="420">
        <f>E33</f>
        <v>0</v>
      </c>
      <c r="AP33" s="20">
        <f t="shared" si="4"/>
        <v>27</v>
      </c>
    </row>
    <row r="34" spans="1:43" ht="13.5" customHeight="1">
      <c r="A34" s="139" t="s">
        <v>722</v>
      </c>
      <c r="B34" s="8"/>
      <c r="C34" s="8"/>
      <c r="D34" s="8"/>
      <c r="E34" s="53">
        <f ca="1">IF(E$7=Fin_Close,-E26*Debt_Perc/SUM(Debt_Perc,Subdebt_Perc),0)</f>
        <v>0</v>
      </c>
      <c r="F34" s="53">
        <f t="shared" ref="F34:AN34" ca="1" si="18">IF(F$7=Fin_Close,-F26*Debt_Perc/SUM(Debt_Perc,Subdebt_Perc),0)</f>
        <v>0</v>
      </c>
      <c r="G34" s="53">
        <f t="shared" ca="1" si="18"/>
        <v>0</v>
      </c>
      <c r="H34" s="53">
        <f t="shared" ca="1" si="18"/>
        <v>0</v>
      </c>
      <c r="I34" s="53">
        <f t="shared" ca="1" si="18"/>
        <v>0</v>
      </c>
      <c r="J34" s="53">
        <f t="shared" ca="1" si="18"/>
        <v>0</v>
      </c>
      <c r="K34" s="53">
        <f t="shared" ca="1" si="18"/>
        <v>0</v>
      </c>
      <c r="L34" s="53">
        <f t="shared" ca="1" si="18"/>
        <v>0</v>
      </c>
      <c r="M34" s="53">
        <f t="shared" ca="1" si="18"/>
        <v>0</v>
      </c>
      <c r="N34" s="53">
        <f t="shared" ca="1" si="18"/>
        <v>0</v>
      </c>
      <c r="O34" s="53">
        <f t="shared" ca="1" si="18"/>
        <v>0</v>
      </c>
      <c r="P34" s="53">
        <f t="shared" ca="1" si="18"/>
        <v>0</v>
      </c>
      <c r="Q34" s="53">
        <f t="shared" ca="1" si="18"/>
        <v>0</v>
      </c>
      <c r="R34" s="53">
        <f t="shared" ca="1" si="18"/>
        <v>0</v>
      </c>
      <c r="S34" s="53">
        <f t="shared" ca="1" si="18"/>
        <v>0</v>
      </c>
      <c r="T34" s="53">
        <f t="shared" ca="1" si="18"/>
        <v>0</v>
      </c>
      <c r="U34" s="53">
        <f t="shared" ca="1" si="18"/>
        <v>0</v>
      </c>
      <c r="V34" s="53">
        <f t="shared" ca="1" si="18"/>
        <v>0</v>
      </c>
      <c r="W34" s="53">
        <f t="shared" ca="1" si="18"/>
        <v>0</v>
      </c>
      <c r="X34" s="53">
        <f t="shared" ca="1" si="18"/>
        <v>0</v>
      </c>
      <c r="Y34" s="53">
        <f t="shared" ca="1" si="18"/>
        <v>0</v>
      </c>
      <c r="Z34" s="53">
        <f t="shared" ca="1" si="18"/>
        <v>0</v>
      </c>
      <c r="AA34" s="53">
        <f t="shared" ca="1" si="18"/>
        <v>0</v>
      </c>
      <c r="AB34" s="53">
        <f t="shared" ca="1" si="18"/>
        <v>0</v>
      </c>
      <c r="AC34" s="53">
        <f t="shared" ca="1" si="18"/>
        <v>0</v>
      </c>
      <c r="AD34" s="53">
        <f t="shared" ca="1" si="18"/>
        <v>0</v>
      </c>
      <c r="AE34" s="53">
        <f t="shared" ca="1" si="18"/>
        <v>0</v>
      </c>
      <c r="AF34" s="53">
        <f t="shared" ca="1" si="18"/>
        <v>0</v>
      </c>
      <c r="AG34" s="53">
        <f t="shared" ca="1" si="18"/>
        <v>0</v>
      </c>
      <c r="AH34" s="53">
        <f t="shared" ca="1" si="18"/>
        <v>68325.834355678555</v>
      </c>
      <c r="AI34" s="53">
        <f t="shared" ca="1" si="18"/>
        <v>0</v>
      </c>
      <c r="AJ34" s="53">
        <f t="shared" ca="1" si="18"/>
        <v>0</v>
      </c>
      <c r="AK34" s="53">
        <f t="shared" ca="1" si="18"/>
        <v>0</v>
      </c>
      <c r="AL34" s="53">
        <f t="shared" ca="1" si="18"/>
        <v>0</v>
      </c>
      <c r="AM34" s="53">
        <f t="shared" ca="1" si="18"/>
        <v>0</v>
      </c>
      <c r="AN34" s="53">
        <f t="shared" ca="1" si="18"/>
        <v>0</v>
      </c>
      <c r="AO34" s="420">
        <f ca="1">SUM(E34:AN34)</f>
        <v>68325.834355678555</v>
      </c>
      <c r="AP34" s="20">
        <f t="shared" si="4"/>
        <v>28</v>
      </c>
    </row>
    <row r="35" spans="1:43" ht="13.5" customHeight="1">
      <c r="A35" s="139" t="s">
        <v>197</v>
      </c>
      <c r="B35" s="8"/>
      <c r="C35" s="8"/>
      <c r="D35" s="8"/>
      <c r="E35" s="53">
        <f ca="1">IF(E$7&lt;Fin_Close,0,E17*Debt_Perc/SUM(Debt_Perc,Subdebt_Perc))</f>
        <v>0</v>
      </c>
      <c r="F35" s="53">
        <f t="shared" ref="F35:AN37" ca="1" si="19">IF(F$7&lt;Fin_Close,0,F17*Debt_Perc/SUM(Debt_Perc,Subdebt_Perc))</f>
        <v>0</v>
      </c>
      <c r="G35" s="53">
        <f t="shared" ca="1" si="19"/>
        <v>0</v>
      </c>
      <c r="H35" s="53">
        <f t="shared" ca="1" si="19"/>
        <v>0</v>
      </c>
      <c r="I35" s="53">
        <f t="shared" ca="1" si="19"/>
        <v>0</v>
      </c>
      <c r="J35" s="53">
        <f t="shared" ca="1" si="19"/>
        <v>0</v>
      </c>
      <c r="K35" s="53">
        <f t="shared" ca="1" si="19"/>
        <v>0</v>
      </c>
      <c r="L35" s="53">
        <f t="shared" ca="1" si="19"/>
        <v>0</v>
      </c>
      <c r="M35" s="53">
        <f t="shared" ca="1" si="19"/>
        <v>0</v>
      </c>
      <c r="N35" s="53">
        <f t="shared" ca="1" si="19"/>
        <v>0</v>
      </c>
      <c r="O35" s="53">
        <f t="shared" ca="1" si="19"/>
        <v>0</v>
      </c>
      <c r="P35" s="53">
        <f t="shared" ca="1" si="19"/>
        <v>0</v>
      </c>
      <c r="Q35" s="53">
        <f t="shared" ca="1" si="19"/>
        <v>0</v>
      </c>
      <c r="R35" s="53">
        <f t="shared" ca="1" si="19"/>
        <v>0</v>
      </c>
      <c r="S35" s="53">
        <f t="shared" ca="1" si="19"/>
        <v>0</v>
      </c>
      <c r="T35" s="53">
        <f t="shared" ca="1" si="19"/>
        <v>0</v>
      </c>
      <c r="U35" s="53">
        <f t="shared" ca="1" si="19"/>
        <v>0</v>
      </c>
      <c r="V35" s="53">
        <f t="shared" ca="1" si="19"/>
        <v>0</v>
      </c>
      <c r="W35" s="53">
        <f t="shared" ca="1" si="19"/>
        <v>0</v>
      </c>
      <c r="X35" s="53">
        <f t="shared" ca="1" si="19"/>
        <v>0</v>
      </c>
      <c r="Y35" s="53">
        <f t="shared" ca="1" si="19"/>
        <v>0</v>
      </c>
      <c r="Z35" s="53">
        <f t="shared" ca="1" si="19"/>
        <v>0</v>
      </c>
      <c r="AA35" s="53">
        <f t="shared" ca="1" si="19"/>
        <v>0</v>
      </c>
      <c r="AB35" s="53">
        <f t="shared" ca="1" si="19"/>
        <v>0</v>
      </c>
      <c r="AC35" s="53">
        <f t="shared" ca="1" si="19"/>
        <v>0</v>
      </c>
      <c r="AD35" s="53">
        <f t="shared" ca="1" si="19"/>
        <v>0</v>
      </c>
      <c r="AE35" s="53">
        <f t="shared" ca="1" si="19"/>
        <v>0</v>
      </c>
      <c r="AF35" s="53">
        <f t="shared" ca="1" si="19"/>
        <v>0</v>
      </c>
      <c r="AG35" s="53">
        <f t="shared" ca="1" si="19"/>
        <v>0</v>
      </c>
      <c r="AH35" s="53">
        <f t="shared" ca="1" si="19"/>
        <v>5895.1028868825842</v>
      </c>
      <c r="AI35" s="53">
        <f t="shared" ca="1" si="19"/>
        <v>4523.470086132942</v>
      </c>
      <c r="AJ35" s="53">
        <f t="shared" ca="1" si="19"/>
        <v>4521.3249947948707</v>
      </c>
      <c r="AK35" s="53">
        <f t="shared" ca="1" si="19"/>
        <v>5778.183651619066</v>
      </c>
      <c r="AL35" s="53">
        <f t="shared" ca="1" si="19"/>
        <v>0.34901600712608966</v>
      </c>
      <c r="AM35" s="53">
        <f t="shared" ca="1" si="19"/>
        <v>1.0476340348445099E-14</v>
      </c>
      <c r="AN35" s="53">
        <f t="shared" ca="1" si="19"/>
        <v>1.0472089193953502E-14</v>
      </c>
      <c r="AO35" s="420">
        <f ca="1">SUM(E35:AN35)</f>
        <v>20718.430635436591</v>
      </c>
      <c r="AP35" s="20">
        <f t="shared" si="4"/>
        <v>29</v>
      </c>
    </row>
    <row r="36" spans="1:43">
      <c r="A36" s="139" t="s">
        <v>720</v>
      </c>
      <c r="B36" s="8"/>
      <c r="C36" s="8"/>
      <c r="D36" s="8"/>
      <c r="E36" s="53">
        <f t="shared" ref="E36:T37" ca="1" si="20">IF(E$7&lt;Fin_Close,0,E18*Debt_Perc/SUM(Debt_Perc,Subdebt_Perc))</f>
        <v>0</v>
      </c>
      <c r="F36" s="53">
        <f t="shared" ca="1" si="20"/>
        <v>0</v>
      </c>
      <c r="G36" s="53">
        <f t="shared" ca="1" si="20"/>
        <v>0</v>
      </c>
      <c r="H36" s="53">
        <f t="shared" ca="1" si="20"/>
        <v>0</v>
      </c>
      <c r="I36" s="53">
        <f t="shared" ca="1" si="20"/>
        <v>0</v>
      </c>
      <c r="J36" s="53">
        <f t="shared" ca="1" si="20"/>
        <v>0</v>
      </c>
      <c r="K36" s="53">
        <f t="shared" ca="1" si="20"/>
        <v>0</v>
      </c>
      <c r="L36" s="53">
        <f t="shared" ca="1" si="20"/>
        <v>0</v>
      </c>
      <c r="M36" s="53">
        <f t="shared" ca="1" si="20"/>
        <v>0</v>
      </c>
      <c r="N36" s="53">
        <f t="shared" ca="1" si="20"/>
        <v>0</v>
      </c>
      <c r="O36" s="53">
        <f t="shared" ca="1" si="20"/>
        <v>0</v>
      </c>
      <c r="P36" s="53">
        <f t="shared" ca="1" si="20"/>
        <v>0</v>
      </c>
      <c r="Q36" s="53">
        <f t="shared" ca="1" si="20"/>
        <v>0</v>
      </c>
      <c r="R36" s="53">
        <f t="shared" ca="1" si="20"/>
        <v>0</v>
      </c>
      <c r="S36" s="53">
        <f t="shared" ca="1" si="20"/>
        <v>0</v>
      </c>
      <c r="T36" s="53">
        <f t="shared" ca="1" si="20"/>
        <v>0</v>
      </c>
      <c r="U36" s="53">
        <f t="shared" ca="1" si="19"/>
        <v>0</v>
      </c>
      <c r="V36" s="53">
        <f t="shared" ca="1" si="19"/>
        <v>0</v>
      </c>
      <c r="W36" s="53">
        <f t="shared" ca="1" si="19"/>
        <v>0</v>
      </c>
      <c r="X36" s="53">
        <f t="shared" ca="1" si="19"/>
        <v>0</v>
      </c>
      <c r="Y36" s="53">
        <f t="shared" ca="1" si="19"/>
        <v>0</v>
      </c>
      <c r="Z36" s="53">
        <f t="shared" ca="1" si="19"/>
        <v>0</v>
      </c>
      <c r="AA36" s="53">
        <f t="shared" ca="1" si="19"/>
        <v>0</v>
      </c>
      <c r="AB36" s="53">
        <f t="shared" ca="1" si="19"/>
        <v>0</v>
      </c>
      <c r="AC36" s="53">
        <f t="shared" ca="1" si="19"/>
        <v>0</v>
      </c>
      <c r="AD36" s="53">
        <f t="shared" ca="1" si="19"/>
        <v>0</v>
      </c>
      <c r="AE36" s="53">
        <f t="shared" ca="1" si="19"/>
        <v>0</v>
      </c>
      <c r="AF36" s="53">
        <f t="shared" ca="1" si="19"/>
        <v>0</v>
      </c>
      <c r="AG36" s="53">
        <f t="shared" ca="1" si="19"/>
        <v>0</v>
      </c>
      <c r="AH36" s="53">
        <f t="shared" ca="1" si="19"/>
        <v>657.11769068775641</v>
      </c>
      <c r="AI36" s="53">
        <f t="shared" ca="1" si="19"/>
        <v>711.23020427568201</v>
      </c>
      <c r="AJ36" s="53">
        <f t="shared" ca="1" si="19"/>
        <v>759.5108764464369</v>
      </c>
      <c r="AK36" s="53">
        <f t="shared" ca="1" si="19"/>
        <v>814.02263025184266</v>
      </c>
      <c r="AL36" s="53">
        <f t="shared" ca="1" si="19"/>
        <v>848.19816239377144</v>
      </c>
      <c r="AM36" s="53">
        <f t="shared" ca="1" si="19"/>
        <v>856.05364487292547</v>
      </c>
      <c r="AN36" s="53">
        <f t="shared" ca="1" si="19"/>
        <v>0</v>
      </c>
      <c r="AO36" s="420">
        <f ca="1">SUM(E36:AN36)</f>
        <v>4646.1332089284151</v>
      </c>
      <c r="AP36" s="20">
        <f t="shared" si="4"/>
        <v>30</v>
      </c>
      <c r="AQ36" s="29"/>
    </row>
    <row r="37" spans="1:43">
      <c r="A37" s="139" t="s">
        <v>721</v>
      </c>
      <c r="B37" s="8"/>
      <c r="C37" s="8"/>
      <c r="D37" s="8"/>
      <c r="E37" s="226">
        <f t="shared" ca="1" si="20"/>
        <v>0</v>
      </c>
      <c r="F37" s="226">
        <f t="shared" ca="1" si="19"/>
        <v>0</v>
      </c>
      <c r="G37" s="226">
        <f t="shared" ca="1" si="19"/>
        <v>0</v>
      </c>
      <c r="H37" s="226">
        <f t="shared" ca="1" si="19"/>
        <v>0</v>
      </c>
      <c r="I37" s="226">
        <f t="shared" ca="1" si="19"/>
        <v>0</v>
      </c>
      <c r="J37" s="226">
        <f t="shared" ca="1" si="19"/>
        <v>0</v>
      </c>
      <c r="K37" s="226">
        <f t="shared" ca="1" si="19"/>
        <v>0</v>
      </c>
      <c r="L37" s="226">
        <f t="shared" ca="1" si="19"/>
        <v>0</v>
      </c>
      <c r="M37" s="226">
        <f t="shared" ca="1" si="19"/>
        <v>0</v>
      </c>
      <c r="N37" s="226">
        <f t="shared" ca="1" si="19"/>
        <v>0</v>
      </c>
      <c r="O37" s="226">
        <f t="shared" ca="1" si="19"/>
        <v>0</v>
      </c>
      <c r="P37" s="226">
        <f t="shared" ca="1" si="19"/>
        <v>0</v>
      </c>
      <c r="Q37" s="226">
        <f t="shared" ca="1" si="19"/>
        <v>0</v>
      </c>
      <c r="R37" s="226">
        <f t="shared" ca="1" si="19"/>
        <v>0</v>
      </c>
      <c r="S37" s="226">
        <f t="shared" ca="1" si="19"/>
        <v>0</v>
      </c>
      <c r="T37" s="226">
        <f t="shared" ca="1" si="19"/>
        <v>0</v>
      </c>
      <c r="U37" s="226">
        <f t="shared" ca="1" si="19"/>
        <v>0</v>
      </c>
      <c r="V37" s="226">
        <f t="shared" ca="1" si="19"/>
        <v>0</v>
      </c>
      <c r="W37" s="226">
        <f t="shared" ca="1" si="19"/>
        <v>0</v>
      </c>
      <c r="X37" s="226">
        <f t="shared" ca="1" si="19"/>
        <v>0</v>
      </c>
      <c r="Y37" s="226">
        <f t="shared" ca="1" si="19"/>
        <v>0</v>
      </c>
      <c r="Z37" s="226">
        <f t="shared" ca="1" si="19"/>
        <v>0</v>
      </c>
      <c r="AA37" s="226">
        <f t="shared" ca="1" si="19"/>
        <v>0</v>
      </c>
      <c r="AB37" s="226">
        <f t="shared" ca="1" si="19"/>
        <v>0</v>
      </c>
      <c r="AC37" s="226">
        <f t="shared" ca="1" si="19"/>
        <v>0</v>
      </c>
      <c r="AD37" s="226">
        <f t="shared" ca="1" si="19"/>
        <v>0</v>
      </c>
      <c r="AE37" s="226">
        <f t="shared" ca="1" si="19"/>
        <v>0</v>
      </c>
      <c r="AF37" s="226">
        <f t="shared" ca="1" si="19"/>
        <v>0</v>
      </c>
      <c r="AG37" s="226">
        <f t="shared" ca="1" si="19"/>
        <v>0</v>
      </c>
      <c r="AH37" s="226">
        <f t="shared" ca="1" si="19"/>
        <v>2.8367703062295315</v>
      </c>
      <c r="AI37" s="226">
        <f t="shared" ca="1" si="19"/>
        <v>3.070373470346158</v>
      </c>
      <c r="AJ37" s="226">
        <f t="shared" ca="1" si="19"/>
        <v>3.2788006350987193</v>
      </c>
      <c r="AK37" s="226">
        <f t="shared" ca="1" si="19"/>
        <v>3.5141273151243673</v>
      </c>
      <c r="AL37" s="226">
        <f t="shared" ca="1" si="19"/>
        <v>3.6616627355729441</v>
      </c>
      <c r="AM37" s="226">
        <f t="shared" ca="1" si="19"/>
        <v>3.6955747725699202</v>
      </c>
      <c r="AN37" s="226">
        <f t="shared" ca="1" si="19"/>
        <v>0</v>
      </c>
      <c r="AO37" s="421">
        <f ca="1">SUM(E37:AN37)</f>
        <v>20.057309234941641</v>
      </c>
      <c r="AP37" s="20">
        <f t="shared" si="4"/>
        <v>31</v>
      </c>
      <c r="AQ37" s="29"/>
    </row>
    <row r="38" spans="1:43">
      <c r="A38" s="139" t="s">
        <v>172</v>
      </c>
      <c r="B38" s="8"/>
      <c r="C38" s="8"/>
      <c r="D38" s="8"/>
      <c r="E38" s="53">
        <f ca="1">SUM(E33:E37)</f>
        <v>0</v>
      </c>
      <c r="F38" s="53">
        <f t="shared" ref="F38:AN38" ca="1" si="21">SUM(F33:F37)</f>
        <v>0</v>
      </c>
      <c r="G38" s="53">
        <f t="shared" ca="1" si="21"/>
        <v>0</v>
      </c>
      <c r="H38" s="53">
        <f t="shared" ca="1" si="21"/>
        <v>0</v>
      </c>
      <c r="I38" s="53">
        <f t="shared" ca="1" si="21"/>
        <v>0</v>
      </c>
      <c r="J38" s="53">
        <f t="shared" ca="1" si="21"/>
        <v>0</v>
      </c>
      <c r="K38" s="53">
        <f t="shared" ca="1" si="21"/>
        <v>0</v>
      </c>
      <c r="L38" s="53">
        <f t="shared" ca="1" si="21"/>
        <v>0</v>
      </c>
      <c r="M38" s="53">
        <f t="shared" ca="1" si="21"/>
        <v>0</v>
      </c>
      <c r="N38" s="53">
        <f t="shared" ca="1" si="21"/>
        <v>0</v>
      </c>
      <c r="O38" s="53">
        <f t="shared" ca="1" si="21"/>
        <v>0</v>
      </c>
      <c r="P38" s="53">
        <f t="shared" ca="1" si="21"/>
        <v>0</v>
      </c>
      <c r="Q38" s="53">
        <f t="shared" ca="1" si="21"/>
        <v>0</v>
      </c>
      <c r="R38" s="53">
        <f t="shared" ca="1" si="21"/>
        <v>0</v>
      </c>
      <c r="S38" s="53">
        <f t="shared" ca="1" si="21"/>
        <v>0</v>
      </c>
      <c r="T38" s="53">
        <f t="shared" ca="1" si="21"/>
        <v>0</v>
      </c>
      <c r="U38" s="53">
        <f t="shared" ca="1" si="21"/>
        <v>0</v>
      </c>
      <c r="V38" s="53">
        <f t="shared" ca="1" si="21"/>
        <v>0</v>
      </c>
      <c r="W38" s="53">
        <f t="shared" ca="1" si="21"/>
        <v>0</v>
      </c>
      <c r="X38" s="53">
        <f t="shared" ca="1" si="21"/>
        <v>0</v>
      </c>
      <c r="Y38" s="53">
        <f t="shared" ca="1" si="21"/>
        <v>0</v>
      </c>
      <c r="Z38" s="53">
        <f t="shared" ca="1" si="21"/>
        <v>0</v>
      </c>
      <c r="AA38" s="53">
        <f t="shared" ca="1" si="21"/>
        <v>0</v>
      </c>
      <c r="AB38" s="53">
        <f t="shared" ca="1" si="21"/>
        <v>0</v>
      </c>
      <c r="AC38" s="53">
        <f t="shared" ca="1" si="21"/>
        <v>0</v>
      </c>
      <c r="AD38" s="53">
        <f t="shared" ca="1" si="21"/>
        <v>0</v>
      </c>
      <c r="AE38" s="53">
        <f t="shared" ca="1" si="21"/>
        <v>0</v>
      </c>
      <c r="AF38" s="53">
        <f t="shared" ca="1" si="21"/>
        <v>0</v>
      </c>
      <c r="AG38" s="53">
        <f t="shared" ca="1" si="21"/>
        <v>0</v>
      </c>
      <c r="AH38" s="53">
        <f t="shared" ca="1" si="21"/>
        <v>74880.891703555113</v>
      </c>
      <c r="AI38" s="53">
        <f t="shared" ca="1" si="21"/>
        <v>80118.662367434081</v>
      </c>
      <c r="AJ38" s="53">
        <f t="shared" ca="1" si="21"/>
        <v>85402.777039310487</v>
      </c>
      <c r="AK38" s="53">
        <f t="shared" ca="1" si="21"/>
        <v>91998.497448496521</v>
      </c>
      <c r="AL38" s="53">
        <f t="shared" ca="1" si="21"/>
        <v>92850.706289632988</v>
      </c>
      <c r="AM38" s="53">
        <f t="shared" ca="1" si="21"/>
        <v>93710.455509278487</v>
      </c>
      <c r="AN38" s="53">
        <f t="shared" ca="1" si="21"/>
        <v>93710.455509278487</v>
      </c>
      <c r="AO38" s="420">
        <f ca="1">SUM(AO33:AO37)</f>
        <v>93710.455509278487</v>
      </c>
      <c r="AP38" s="20">
        <f t="shared" si="4"/>
        <v>32</v>
      </c>
    </row>
    <row r="39" spans="1:43">
      <c r="A39" s="139"/>
      <c r="B39" s="8"/>
      <c r="C39" s="8"/>
      <c r="D39" s="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420"/>
      <c r="AP39" s="20">
        <f t="shared" si="4"/>
        <v>33</v>
      </c>
    </row>
    <row r="40" spans="1:43">
      <c r="A40" s="146" t="s">
        <v>1125</v>
      </c>
      <c r="B40" s="8"/>
      <c r="C40" s="8"/>
      <c r="D40" s="8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420"/>
      <c r="AP40" s="20">
        <f t="shared" si="4"/>
        <v>34</v>
      </c>
    </row>
    <row r="41" spans="1:43">
      <c r="A41" s="139" t="s">
        <v>164</v>
      </c>
      <c r="B41" s="8"/>
      <c r="C41" s="8"/>
      <c r="D41" s="8"/>
      <c r="E41" s="831">
        <v>0</v>
      </c>
      <c r="F41" s="53">
        <f t="shared" ref="F41:AN41" ca="1" si="22">E46</f>
        <v>0</v>
      </c>
      <c r="G41" s="53">
        <f t="shared" ca="1" si="22"/>
        <v>0</v>
      </c>
      <c r="H41" s="53">
        <f t="shared" ca="1" si="22"/>
        <v>0</v>
      </c>
      <c r="I41" s="53">
        <f t="shared" ca="1" si="22"/>
        <v>0</v>
      </c>
      <c r="J41" s="53">
        <f t="shared" ca="1" si="22"/>
        <v>0</v>
      </c>
      <c r="K41" s="53">
        <f t="shared" ca="1" si="22"/>
        <v>0</v>
      </c>
      <c r="L41" s="53">
        <f t="shared" ca="1" si="22"/>
        <v>0</v>
      </c>
      <c r="M41" s="53">
        <f t="shared" ca="1" si="22"/>
        <v>0</v>
      </c>
      <c r="N41" s="53">
        <f t="shared" ca="1" si="22"/>
        <v>0</v>
      </c>
      <c r="O41" s="53">
        <f t="shared" ca="1" si="22"/>
        <v>0</v>
      </c>
      <c r="P41" s="53">
        <f t="shared" ca="1" si="22"/>
        <v>0</v>
      </c>
      <c r="Q41" s="53">
        <f t="shared" ca="1" si="22"/>
        <v>0</v>
      </c>
      <c r="R41" s="53">
        <f t="shared" ca="1" si="22"/>
        <v>0</v>
      </c>
      <c r="S41" s="53">
        <f t="shared" ca="1" si="22"/>
        <v>0</v>
      </c>
      <c r="T41" s="53">
        <f t="shared" ca="1" si="22"/>
        <v>0</v>
      </c>
      <c r="U41" s="53">
        <f t="shared" ca="1" si="22"/>
        <v>0</v>
      </c>
      <c r="V41" s="53">
        <f t="shared" ca="1" si="22"/>
        <v>0</v>
      </c>
      <c r="W41" s="53">
        <f t="shared" ca="1" si="22"/>
        <v>0</v>
      </c>
      <c r="X41" s="53">
        <f t="shared" ca="1" si="22"/>
        <v>0</v>
      </c>
      <c r="Y41" s="53">
        <f t="shared" ca="1" si="22"/>
        <v>0</v>
      </c>
      <c r="Z41" s="53">
        <f t="shared" ca="1" si="22"/>
        <v>0</v>
      </c>
      <c r="AA41" s="53">
        <f t="shared" ca="1" si="22"/>
        <v>0</v>
      </c>
      <c r="AB41" s="53">
        <f t="shared" ca="1" si="22"/>
        <v>0</v>
      </c>
      <c r="AC41" s="53">
        <f t="shared" ca="1" si="22"/>
        <v>0</v>
      </c>
      <c r="AD41" s="53">
        <f t="shared" ca="1" si="22"/>
        <v>0</v>
      </c>
      <c r="AE41" s="53">
        <f t="shared" ca="1" si="22"/>
        <v>0</v>
      </c>
      <c r="AF41" s="53">
        <f t="shared" ca="1" si="22"/>
        <v>0</v>
      </c>
      <c r="AG41" s="53">
        <f t="shared" ca="1" si="22"/>
        <v>0</v>
      </c>
      <c r="AH41" s="53">
        <f t="shared" ca="1" si="22"/>
        <v>0</v>
      </c>
      <c r="AI41" s="53">
        <f t="shared" ca="1" si="22"/>
        <v>1976.6006153598053</v>
      </c>
      <c r="AJ41" s="53">
        <f t="shared" ca="1" si="22"/>
        <v>2114.8599293423763</v>
      </c>
      <c r="AK41" s="53">
        <f t="shared" ca="1" si="22"/>
        <v>2254.342567361854</v>
      </c>
      <c r="AL41" s="53">
        <f t="shared" ca="1" si="22"/>
        <v>2428.4471315963551</v>
      </c>
      <c r="AM41" s="53">
        <f t="shared" ca="1" si="22"/>
        <v>2450.9425437299878</v>
      </c>
      <c r="AN41" s="53">
        <f t="shared" ca="1" si="22"/>
        <v>2473.6369961856831</v>
      </c>
      <c r="AO41" s="420">
        <f>E41</f>
        <v>0</v>
      </c>
      <c r="AP41" s="20">
        <f t="shared" si="4"/>
        <v>35</v>
      </c>
    </row>
    <row r="42" spans="1:43">
      <c r="A42" s="139" t="s">
        <v>1126</v>
      </c>
      <c r="B42" s="8"/>
      <c r="C42" s="8"/>
      <c r="D42" s="8"/>
      <c r="E42" s="53">
        <f ca="1">IF(E$7=Fin_Close,-E26*Subdebt_Perc/SUM(Debt_Perc,Subdebt_Perc),0)</f>
        <v>0</v>
      </c>
      <c r="F42" s="53">
        <f t="shared" ref="F42:AN42" ca="1" si="23">IF(F$7=Fin_Close,-F26*Subdebt_Perc/SUM(Debt_Perc,Subdebt_Perc),0)</f>
        <v>0</v>
      </c>
      <c r="G42" s="53">
        <f t="shared" ca="1" si="23"/>
        <v>0</v>
      </c>
      <c r="H42" s="53">
        <f t="shared" ca="1" si="23"/>
        <v>0</v>
      </c>
      <c r="I42" s="53">
        <f t="shared" ca="1" si="23"/>
        <v>0</v>
      </c>
      <c r="J42" s="53">
        <f t="shared" ca="1" si="23"/>
        <v>0</v>
      </c>
      <c r="K42" s="53">
        <f t="shared" ca="1" si="23"/>
        <v>0</v>
      </c>
      <c r="L42" s="53">
        <f t="shared" ca="1" si="23"/>
        <v>0</v>
      </c>
      <c r="M42" s="53">
        <f t="shared" ca="1" si="23"/>
        <v>0</v>
      </c>
      <c r="N42" s="53">
        <f t="shared" ca="1" si="23"/>
        <v>0</v>
      </c>
      <c r="O42" s="53">
        <f t="shared" ca="1" si="23"/>
        <v>0</v>
      </c>
      <c r="P42" s="53">
        <f t="shared" ca="1" si="23"/>
        <v>0</v>
      </c>
      <c r="Q42" s="53">
        <f t="shared" ca="1" si="23"/>
        <v>0</v>
      </c>
      <c r="R42" s="53">
        <f t="shared" ca="1" si="23"/>
        <v>0</v>
      </c>
      <c r="S42" s="53">
        <f t="shared" ca="1" si="23"/>
        <v>0</v>
      </c>
      <c r="T42" s="53">
        <f t="shared" ca="1" si="23"/>
        <v>0</v>
      </c>
      <c r="U42" s="53">
        <f t="shared" ca="1" si="23"/>
        <v>0</v>
      </c>
      <c r="V42" s="53">
        <f t="shared" ca="1" si="23"/>
        <v>0</v>
      </c>
      <c r="W42" s="53">
        <f t="shared" ca="1" si="23"/>
        <v>0</v>
      </c>
      <c r="X42" s="53">
        <f t="shared" ca="1" si="23"/>
        <v>0</v>
      </c>
      <c r="Y42" s="53">
        <f t="shared" ca="1" si="23"/>
        <v>0</v>
      </c>
      <c r="Z42" s="53">
        <f t="shared" ca="1" si="23"/>
        <v>0</v>
      </c>
      <c r="AA42" s="53">
        <f t="shared" ca="1" si="23"/>
        <v>0</v>
      </c>
      <c r="AB42" s="53">
        <f t="shared" ca="1" si="23"/>
        <v>0</v>
      </c>
      <c r="AC42" s="53">
        <f t="shared" ca="1" si="23"/>
        <v>0</v>
      </c>
      <c r="AD42" s="53">
        <f t="shared" ca="1" si="23"/>
        <v>0</v>
      </c>
      <c r="AE42" s="53">
        <f t="shared" ca="1" si="23"/>
        <v>0</v>
      </c>
      <c r="AF42" s="53">
        <f t="shared" ca="1" si="23"/>
        <v>0</v>
      </c>
      <c r="AG42" s="53">
        <f t="shared" ca="1" si="23"/>
        <v>0</v>
      </c>
      <c r="AH42" s="53">
        <f t="shared" ca="1" si="23"/>
        <v>1803.5694175099472</v>
      </c>
      <c r="AI42" s="53">
        <f t="shared" ca="1" si="23"/>
        <v>0</v>
      </c>
      <c r="AJ42" s="53">
        <f t="shared" ca="1" si="23"/>
        <v>0</v>
      </c>
      <c r="AK42" s="53">
        <f t="shared" ca="1" si="23"/>
        <v>0</v>
      </c>
      <c r="AL42" s="53">
        <f t="shared" ca="1" si="23"/>
        <v>0</v>
      </c>
      <c r="AM42" s="53">
        <f t="shared" ca="1" si="23"/>
        <v>0</v>
      </c>
      <c r="AN42" s="53">
        <f t="shared" ca="1" si="23"/>
        <v>0</v>
      </c>
      <c r="AO42" s="420">
        <f ca="1">SUM(E42:AN42)</f>
        <v>1803.5694175099472</v>
      </c>
      <c r="AP42" s="20">
        <f t="shared" si="4"/>
        <v>36</v>
      </c>
    </row>
    <row r="43" spans="1:43">
      <c r="A43" s="139" t="s">
        <v>197</v>
      </c>
      <c r="B43" s="8"/>
      <c r="C43" s="8"/>
      <c r="D43" s="8"/>
      <c r="E43" s="53">
        <f ca="1">IF(E$7&lt;Fin_Close,0,E17*Subdebt_Perc/SUM(Debt_Perc,Subdebt_Perc))</f>
        <v>0</v>
      </c>
      <c r="F43" s="53">
        <f t="shared" ref="F43:AN45" ca="1" si="24">IF(F$7&lt;Fin_Close,0,F17*Subdebt_Perc/SUM(Debt_Perc,Subdebt_Perc))</f>
        <v>0</v>
      </c>
      <c r="G43" s="53">
        <f t="shared" ca="1" si="24"/>
        <v>0</v>
      </c>
      <c r="H43" s="53">
        <f t="shared" ca="1" si="24"/>
        <v>0</v>
      </c>
      <c r="I43" s="53">
        <f t="shared" ca="1" si="24"/>
        <v>0</v>
      </c>
      <c r="J43" s="53">
        <f t="shared" ca="1" si="24"/>
        <v>0</v>
      </c>
      <c r="K43" s="53">
        <f t="shared" ca="1" si="24"/>
        <v>0</v>
      </c>
      <c r="L43" s="53">
        <f t="shared" ca="1" si="24"/>
        <v>0</v>
      </c>
      <c r="M43" s="53">
        <f t="shared" ca="1" si="24"/>
        <v>0</v>
      </c>
      <c r="N43" s="53">
        <f t="shared" ca="1" si="24"/>
        <v>0</v>
      </c>
      <c r="O43" s="53">
        <f t="shared" ca="1" si="24"/>
        <v>0</v>
      </c>
      <c r="P43" s="53">
        <f t="shared" ca="1" si="24"/>
        <v>0</v>
      </c>
      <c r="Q43" s="53">
        <f t="shared" ca="1" si="24"/>
        <v>0</v>
      </c>
      <c r="R43" s="53">
        <f t="shared" ca="1" si="24"/>
        <v>0</v>
      </c>
      <c r="S43" s="53">
        <f t="shared" ca="1" si="24"/>
        <v>0</v>
      </c>
      <c r="T43" s="53">
        <f t="shared" ca="1" si="24"/>
        <v>0</v>
      </c>
      <c r="U43" s="53">
        <f t="shared" ca="1" si="24"/>
        <v>0</v>
      </c>
      <c r="V43" s="53">
        <f t="shared" ca="1" si="24"/>
        <v>0</v>
      </c>
      <c r="W43" s="53">
        <f t="shared" ca="1" si="24"/>
        <v>0</v>
      </c>
      <c r="X43" s="53">
        <f t="shared" ca="1" si="24"/>
        <v>0</v>
      </c>
      <c r="Y43" s="53">
        <f t="shared" ca="1" si="24"/>
        <v>0</v>
      </c>
      <c r="Z43" s="53">
        <f t="shared" ca="1" si="24"/>
        <v>0</v>
      </c>
      <c r="AA43" s="53">
        <f t="shared" ca="1" si="24"/>
        <v>0</v>
      </c>
      <c r="AB43" s="53">
        <f t="shared" ca="1" si="24"/>
        <v>0</v>
      </c>
      <c r="AC43" s="53">
        <f t="shared" ca="1" si="24"/>
        <v>0</v>
      </c>
      <c r="AD43" s="53">
        <f t="shared" ca="1" si="24"/>
        <v>0</v>
      </c>
      <c r="AE43" s="53">
        <f t="shared" ca="1" si="24"/>
        <v>0</v>
      </c>
      <c r="AF43" s="53">
        <f t="shared" ca="1" si="24"/>
        <v>0</v>
      </c>
      <c r="AG43" s="53">
        <f t="shared" ca="1" si="24"/>
        <v>0</v>
      </c>
      <c r="AH43" s="53">
        <f t="shared" ca="1" si="24"/>
        <v>155.61064683833439</v>
      </c>
      <c r="AI43" s="53">
        <f t="shared" ca="1" si="24"/>
        <v>119.40421050551603</v>
      </c>
      <c r="AJ43" s="53">
        <f t="shared" ca="1" si="24"/>
        <v>119.34758739697159</v>
      </c>
      <c r="AK43" s="53">
        <f t="shared" ca="1" si="24"/>
        <v>152.52437706894946</v>
      </c>
      <c r="AL43" s="53">
        <f t="shared" ca="1" si="24"/>
        <v>9.2128343928775391E-3</v>
      </c>
      <c r="AM43" s="53">
        <f t="shared" ca="1" si="24"/>
        <v>2.7653971939108473E-16</v>
      </c>
      <c r="AN43" s="53">
        <f t="shared" ca="1" si="24"/>
        <v>2.7642750338519975E-16</v>
      </c>
      <c r="AO43" s="420">
        <f ca="1">SUM(E43:AN43)</f>
        <v>546.89603464416427</v>
      </c>
      <c r="AP43" s="20">
        <f t="shared" si="4"/>
        <v>37</v>
      </c>
    </row>
    <row r="44" spans="1:43">
      <c r="A44" s="139" t="s">
        <v>720</v>
      </c>
      <c r="B44" s="8"/>
      <c r="C44" s="8"/>
      <c r="D44" s="8"/>
      <c r="E44" s="53">
        <f t="shared" ref="E44:T45" ca="1" si="25">IF(E$7&lt;Fin_Close,0,E18*Subdebt_Perc/SUM(Debt_Perc,Subdebt_Perc))</f>
        <v>0</v>
      </c>
      <c r="F44" s="53">
        <f t="shared" ca="1" si="25"/>
        <v>0</v>
      </c>
      <c r="G44" s="53">
        <f t="shared" ca="1" si="25"/>
        <v>0</v>
      </c>
      <c r="H44" s="53">
        <f t="shared" ca="1" si="25"/>
        <v>0</v>
      </c>
      <c r="I44" s="53">
        <f t="shared" ca="1" si="25"/>
        <v>0</v>
      </c>
      <c r="J44" s="53">
        <f t="shared" ca="1" si="25"/>
        <v>0</v>
      </c>
      <c r="K44" s="53">
        <f t="shared" ca="1" si="25"/>
        <v>0</v>
      </c>
      <c r="L44" s="53">
        <f t="shared" ca="1" si="25"/>
        <v>0</v>
      </c>
      <c r="M44" s="53">
        <f t="shared" ca="1" si="25"/>
        <v>0</v>
      </c>
      <c r="N44" s="53">
        <f t="shared" ca="1" si="25"/>
        <v>0</v>
      </c>
      <c r="O44" s="53">
        <f t="shared" ca="1" si="25"/>
        <v>0</v>
      </c>
      <c r="P44" s="53">
        <f t="shared" ca="1" si="25"/>
        <v>0</v>
      </c>
      <c r="Q44" s="53">
        <f t="shared" ca="1" si="25"/>
        <v>0</v>
      </c>
      <c r="R44" s="53">
        <f t="shared" ca="1" si="25"/>
        <v>0</v>
      </c>
      <c r="S44" s="53">
        <f t="shared" ca="1" si="25"/>
        <v>0</v>
      </c>
      <c r="T44" s="53">
        <f t="shared" ca="1" si="25"/>
        <v>0</v>
      </c>
      <c r="U44" s="53">
        <f t="shared" ca="1" si="24"/>
        <v>0</v>
      </c>
      <c r="V44" s="53">
        <f t="shared" ca="1" si="24"/>
        <v>0</v>
      </c>
      <c r="W44" s="53">
        <f t="shared" ca="1" si="24"/>
        <v>0</v>
      </c>
      <c r="X44" s="53">
        <f t="shared" ca="1" si="24"/>
        <v>0</v>
      </c>
      <c r="Y44" s="53">
        <f t="shared" ca="1" si="24"/>
        <v>0</v>
      </c>
      <c r="Z44" s="53">
        <f t="shared" ca="1" si="24"/>
        <v>0</v>
      </c>
      <c r="AA44" s="53">
        <f t="shared" ca="1" si="24"/>
        <v>0</v>
      </c>
      <c r="AB44" s="53">
        <f t="shared" ca="1" si="24"/>
        <v>0</v>
      </c>
      <c r="AC44" s="53">
        <f t="shared" ca="1" si="24"/>
        <v>0</v>
      </c>
      <c r="AD44" s="53">
        <f t="shared" ca="1" si="24"/>
        <v>0</v>
      </c>
      <c r="AE44" s="53">
        <f t="shared" ca="1" si="24"/>
        <v>0</v>
      </c>
      <c r="AF44" s="53">
        <f t="shared" ca="1" si="24"/>
        <v>0</v>
      </c>
      <c r="AG44" s="53">
        <f t="shared" ca="1" si="24"/>
        <v>0</v>
      </c>
      <c r="AH44" s="53">
        <f t="shared" ca="1" si="24"/>
        <v>17.345669932981945</v>
      </c>
      <c r="AI44" s="53">
        <f t="shared" ca="1" si="24"/>
        <v>18.774056070262432</v>
      </c>
      <c r="AJ44" s="53">
        <f t="shared" ca="1" si="24"/>
        <v>20.048501448136701</v>
      </c>
      <c r="AK44" s="53">
        <f t="shared" ca="1" si="24"/>
        <v>21.487426167979368</v>
      </c>
      <c r="AL44" s="53">
        <f t="shared" ca="1" si="24"/>
        <v>22.389543868839731</v>
      </c>
      <c r="AM44" s="53">
        <f t="shared" ca="1" si="24"/>
        <v>22.596901862968785</v>
      </c>
      <c r="AN44" s="53">
        <f t="shared" ca="1" si="24"/>
        <v>0</v>
      </c>
      <c r="AO44" s="420">
        <f ca="1">SUM(E44:AN44)</f>
        <v>122.64209935116898</v>
      </c>
      <c r="AP44" s="20">
        <f t="shared" si="4"/>
        <v>38</v>
      </c>
    </row>
    <row r="45" spans="1:43">
      <c r="A45" s="139" t="s">
        <v>721</v>
      </c>
      <c r="B45" s="8"/>
      <c r="C45" s="8"/>
      <c r="D45" s="8"/>
      <c r="E45" s="226">
        <f t="shared" ca="1" si="25"/>
        <v>0</v>
      </c>
      <c r="F45" s="226">
        <f t="shared" ca="1" si="24"/>
        <v>0</v>
      </c>
      <c r="G45" s="226">
        <f t="shared" ca="1" si="24"/>
        <v>0</v>
      </c>
      <c r="H45" s="226">
        <f t="shared" ca="1" si="24"/>
        <v>0</v>
      </c>
      <c r="I45" s="226">
        <f t="shared" ca="1" si="24"/>
        <v>0</v>
      </c>
      <c r="J45" s="226">
        <f t="shared" ca="1" si="24"/>
        <v>0</v>
      </c>
      <c r="K45" s="226">
        <f t="shared" ca="1" si="24"/>
        <v>0</v>
      </c>
      <c r="L45" s="226">
        <f t="shared" ca="1" si="24"/>
        <v>0</v>
      </c>
      <c r="M45" s="226">
        <f t="shared" ca="1" si="24"/>
        <v>0</v>
      </c>
      <c r="N45" s="226">
        <f t="shared" ca="1" si="24"/>
        <v>0</v>
      </c>
      <c r="O45" s="226">
        <f t="shared" ca="1" si="24"/>
        <v>0</v>
      </c>
      <c r="P45" s="226">
        <f t="shared" ca="1" si="24"/>
        <v>0</v>
      </c>
      <c r="Q45" s="226">
        <f t="shared" ca="1" si="24"/>
        <v>0</v>
      </c>
      <c r="R45" s="226">
        <f t="shared" ca="1" si="24"/>
        <v>0</v>
      </c>
      <c r="S45" s="226">
        <f t="shared" ca="1" si="24"/>
        <v>0</v>
      </c>
      <c r="T45" s="226">
        <f t="shared" ca="1" si="24"/>
        <v>0</v>
      </c>
      <c r="U45" s="226">
        <f t="shared" ca="1" si="24"/>
        <v>0</v>
      </c>
      <c r="V45" s="226">
        <f t="shared" ca="1" si="24"/>
        <v>0</v>
      </c>
      <c r="W45" s="226">
        <f t="shared" ca="1" si="24"/>
        <v>0</v>
      </c>
      <c r="X45" s="226">
        <f t="shared" ca="1" si="24"/>
        <v>0</v>
      </c>
      <c r="Y45" s="226">
        <f t="shared" ca="1" si="24"/>
        <v>0</v>
      </c>
      <c r="Z45" s="226">
        <f t="shared" ca="1" si="24"/>
        <v>0</v>
      </c>
      <c r="AA45" s="226">
        <f t="shared" ca="1" si="24"/>
        <v>0</v>
      </c>
      <c r="AB45" s="226">
        <f t="shared" ca="1" si="24"/>
        <v>0</v>
      </c>
      <c r="AC45" s="226">
        <f t="shared" ca="1" si="24"/>
        <v>0</v>
      </c>
      <c r="AD45" s="226">
        <f t="shared" ca="1" si="24"/>
        <v>0</v>
      </c>
      <c r="AE45" s="226">
        <f t="shared" ca="1" si="24"/>
        <v>0</v>
      </c>
      <c r="AF45" s="226">
        <f t="shared" ca="1" si="24"/>
        <v>0</v>
      </c>
      <c r="AG45" s="226">
        <f t="shared" ca="1" si="24"/>
        <v>0</v>
      </c>
      <c r="AH45" s="226">
        <f t="shared" ca="1" si="24"/>
        <v>7.4881078541716994E-2</v>
      </c>
      <c r="AI45" s="226">
        <f t="shared" ca="1" si="24"/>
        <v>8.1047406792332619E-2</v>
      </c>
      <c r="AJ45" s="226">
        <f t="shared" ca="1" si="24"/>
        <v>8.654917436928114E-2</v>
      </c>
      <c r="AK45" s="226">
        <f t="shared" ca="1" si="24"/>
        <v>9.2760997572331888E-2</v>
      </c>
      <c r="AL45" s="226">
        <f t="shared" ca="1" si="24"/>
        <v>9.6655430400409192E-2</v>
      </c>
      <c r="AM45" s="226">
        <f t="shared" ca="1" si="24"/>
        <v>9.7550592726489554E-2</v>
      </c>
      <c r="AN45" s="226">
        <f t="shared" ca="1" si="24"/>
        <v>0</v>
      </c>
      <c r="AO45" s="421">
        <f ca="1">SUM(E45:AN45)</f>
        <v>0.52944468040256143</v>
      </c>
      <c r="AP45" s="20">
        <f t="shared" si="4"/>
        <v>39</v>
      </c>
    </row>
    <row r="46" spans="1:43">
      <c r="A46" s="139" t="s">
        <v>172</v>
      </c>
      <c r="B46" s="8"/>
      <c r="C46" s="8"/>
      <c r="D46" s="8"/>
      <c r="E46" s="53">
        <f t="shared" ref="E46:AO46" ca="1" si="26">SUM(E41:E45)</f>
        <v>0</v>
      </c>
      <c r="F46" s="53">
        <f t="shared" ca="1" si="26"/>
        <v>0</v>
      </c>
      <c r="G46" s="53">
        <f t="shared" ca="1" si="26"/>
        <v>0</v>
      </c>
      <c r="H46" s="53">
        <f t="shared" ca="1" si="26"/>
        <v>0</v>
      </c>
      <c r="I46" s="53">
        <f t="shared" ca="1" si="26"/>
        <v>0</v>
      </c>
      <c r="J46" s="53">
        <f t="shared" ca="1" si="26"/>
        <v>0</v>
      </c>
      <c r="K46" s="53">
        <f t="shared" ca="1" si="26"/>
        <v>0</v>
      </c>
      <c r="L46" s="53">
        <f t="shared" ca="1" si="26"/>
        <v>0</v>
      </c>
      <c r="M46" s="53">
        <f t="shared" ca="1" si="26"/>
        <v>0</v>
      </c>
      <c r="N46" s="53">
        <f t="shared" ca="1" si="26"/>
        <v>0</v>
      </c>
      <c r="O46" s="53">
        <f t="shared" ca="1" si="26"/>
        <v>0</v>
      </c>
      <c r="P46" s="53">
        <f t="shared" ca="1" si="26"/>
        <v>0</v>
      </c>
      <c r="Q46" s="53">
        <f t="shared" ca="1" si="26"/>
        <v>0</v>
      </c>
      <c r="R46" s="53">
        <f t="shared" ca="1" si="26"/>
        <v>0</v>
      </c>
      <c r="S46" s="53">
        <f t="shared" ca="1" si="26"/>
        <v>0</v>
      </c>
      <c r="T46" s="53">
        <f t="shared" ca="1" si="26"/>
        <v>0</v>
      </c>
      <c r="U46" s="53">
        <f t="shared" ca="1" si="26"/>
        <v>0</v>
      </c>
      <c r="V46" s="53">
        <f t="shared" ca="1" si="26"/>
        <v>0</v>
      </c>
      <c r="W46" s="53">
        <f t="shared" ca="1" si="26"/>
        <v>0</v>
      </c>
      <c r="X46" s="53">
        <f t="shared" ca="1" si="26"/>
        <v>0</v>
      </c>
      <c r="Y46" s="53">
        <f t="shared" ca="1" si="26"/>
        <v>0</v>
      </c>
      <c r="Z46" s="53">
        <f t="shared" ca="1" si="26"/>
        <v>0</v>
      </c>
      <c r="AA46" s="53">
        <f t="shared" ca="1" si="26"/>
        <v>0</v>
      </c>
      <c r="AB46" s="53">
        <f t="shared" ca="1" si="26"/>
        <v>0</v>
      </c>
      <c r="AC46" s="53">
        <f t="shared" ca="1" si="26"/>
        <v>0</v>
      </c>
      <c r="AD46" s="53">
        <f t="shared" ca="1" si="26"/>
        <v>0</v>
      </c>
      <c r="AE46" s="53">
        <f t="shared" ca="1" si="26"/>
        <v>0</v>
      </c>
      <c r="AF46" s="53">
        <f t="shared" ca="1" si="26"/>
        <v>0</v>
      </c>
      <c r="AG46" s="53">
        <f t="shared" ca="1" si="26"/>
        <v>0</v>
      </c>
      <c r="AH46" s="53">
        <f t="shared" ca="1" si="26"/>
        <v>1976.6006153598053</v>
      </c>
      <c r="AI46" s="53">
        <f t="shared" ca="1" si="26"/>
        <v>2114.8599293423763</v>
      </c>
      <c r="AJ46" s="53">
        <f t="shared" ca="1" si="26"/>
        <v>2254.342567361854</v>
      </c>
      <c r="AK46" s="53">
        <f t="shared" ca="1" si="26"/>
        <v>2428.4471315963551</v>
      </c>
      <c r="AL46" s="53">
        <f t="shared" ca="1" si="26"/>
        <v>2450.9425437299878</v>
      </c>
      <c r="AM46" s="53">
        <f t="shared" ca="1" si="26"/>
        <v>2473.6369961856831</v>
      </c>
      <c r="AN46" s="53">
        <f t="shared" ca="1" si="26"/>
        <v>2473.6369961856831</v>
      </c>
      <c r="AO46" s="420">
        <f t="shared" ca="1" si="26"/>
        <v>2473.6369961856831</v>
      </c>
      <c r="AP46" s="20">
        <f t="shared" si="4"/>
        <v>40</v>
      </c>
    </row>
    <row r="47" spans="1:43">
      <c r="A47" s="139"/>
      <c r="B47" s="8"/>
      <c r="C47" s="8"/>
      <c r="D47" s="8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416"/>
      <c r="AP47" s="20">
        <f t="shared" si="4"/>
        <v>41</v>
      </c>
    </row>
    <row r="48" spans="1:43">
      <c r="A48" s="405" t="s">
        <v>838</v>
      </c>
      <c r="B48" s="19"/>
      <c r="C48" s="19"/>
      <c r="D48" s="19"/>
      <c r="E48" s="280">
        <f ca="1">IF(E$7&lt;Startops1,(SUM(E25:E26)+E27/2)*$D$11/12,0)</f>
        <v>0</v>
      </c>
      <c r="F48" s="280">
        <f t="shared" ref="F48:AN48" ca="1" si="27">IF(F$7&lt;Startops1,(SUM(F25:F26)+F27/2)*$D$11/12,0)</f>
        <v>0</v>
      </c>
      <c r="G48" s="280">
        <f t="shared" ca="1" si="27"/>
        <v>0</v>
      </c>
      <c r="H48" s="280">
        <f t="shared" ca="1" si="27"/>
        <v>0</v>
      </c>
      <c r="I48" s="280">
        <f t="shared" ca="1" si="27"/>
        <v>0</v>
      </c>
      <c r="J48" s="280">
        <f t="shared" ca="1" si="27"/>
        <v>0</v>
      </c>
      <c r="K48" s="280">
        <f t="shared" ca="1" si="27"/>
        <v>0</v>
      </c>
      <c r="L48" s="280">
        <f t="shared" ca="1" si="27"/>
        <v>0</v>
      </c>
      <c r="M48" s="280">
        <f t="shared" ca="1" si="27"/>
        <v>0</v>
      </c>
      <c r="N48" s="280">
        <f t="shared" ca="1" si="27"/>
        <v>0</v>
      </c>
      <c r="O48" s="280">
        <f t="shared" ca="1" si="27"/>
        <v>0</v>
      </c>
      <c r="P48" s="280">
        <f t="shared" ca="1" si="27"/>
        <v>0</v>
      </c>
      <c r="Q48" s="280">
        <f t="shared" ca="1" si="27"/>
        <v>0</v>
      </c>
      <c r="R48" s="280">
        <f t="shared" ca="1" si="27"/>
        <v>0</v>
      </c>
      <c r="S48" s="280">
        <f t="shared" ca="1" si="27"/>
        <v>0</v>
      </c>
      <c r="T48" s="280">
        <f t="shared" ca="1" si="27"/>
        <v>49.858450900000001</v>
      </c>
      <c r="U48" s="280">
        <f t="shared" ca="1" si="27"/>
        <v>113.61606723371426</v>
      </c>
      <c r="V48" s="280">
        <f t="shared" ca="1" si="27"/>
        <v>127.87956190362119</v>
      </c>
      <c r="W48" s="280">
        <f t="shared" ca="1" si="27"/>
        <v>141.43030225735617</v>
      </c>
      <c r="X48" s="280">
        <f t="shared" ca="1" si="27"/>
        <v>176.55847541311252</v>
      </c>
      <c r="Y48" s="280">
        <f t="shared" ca="1" si="27"/>
        <v>210.66040861064175</v>
      </c>
      <c r="Z48" s="280">
        <f t="shared" ca="1" si="27"/>
        <v>235.05023762161122</v>
      </c>
      <c r="AA48" s="280">
        <f t="shared" ca="1" si="27"/>
        <v>259.57943708407197</v>
      </c>
      <c r="AB48" s="280">
        <f t="shared" ca="1" si="27"/>
        <v>284.24880340060389</v>
      </c>
      <c r="AC48" s="280">
        <f t="shared" ca="1" si="27"/>
        <v>309.05913752465887</v>
      </c>
      <c r="AD48" s="280">
        <f t="shared" ca="1" si="27"/>
        <v>334.01124498656566</v>
      </c>
      <c r="AE48" s="280">
        <f t="shared" ca="1" si="27"/>
        <v>309.1059359196833</v>
      </c>
      <c r="AF48" s="280">
        <f t="shared" ca="1" si="27"/>
        <v>298.14805025965683</v>
      </c>
      <c r="AG48" s="280">
        <f t="shared" ca="1" si="27"/>
        <v>337.12754811014446</v>
      </c>
      <c r="AH48" s="280">
        <f t="shared" ca="1" si="27"/>
        <v>0</v>
      </c>
      <c r="AI48" s="280">
        <f t="shared" ca="1" si="27"/>
        <v>0</v>
      </c>
      <c r="AJ48" s="280">
        <f t="shared" ca="1" si="27"/>
        <v>0</v>
      </c>
      <c r="AK48" s="280">
        <f t="shared" ca="1" si="27"/>
        <v>0</v>
      </c>
      <c r="AL48" s="280">
        <f t="shared" ca="1" si="27"/>
        <v>0</v>
      </c>
      <c r="AM48" s="280">
        <f t="shared" ca="1" si="27"/>
        <v>0</v>
      </c>
      <c r="AN48" s="280">
        <f t="shared" ca="1" si="27"/>
        <v>0</v>
      </c>
      <c r="AO48" s="537">
        <f ca="1">SUM(E48:AN48)</f>
        <v>3186.333661225442</v>
      </c>
      <c r="AP48" s="20">
        <f t="shared" si="4"/>
        <v>42</v>
      </c>
    </row>
    <row r="49" spans="1:42">
      <c r="A49" s="405" t="s">
        <v>839</v>
      </c>
      <c r="B49" s="19"/>
      <c r="C49" s="19"/>
      <c r="D49" s="19"/>
      <c r="E49" s="280">
        <f ca="1">IF(E$7&lt;Startops1,(SUM(E33:E34)+E35/2)*$D$12/12,0)</f>
        <v>0</v>
      </c>
      <c r="F49" s="280">
        <f t="shared" ref="F49:AN49" ca="1" si="28">IF(F$7&lt;Startops1,(SUM(F33:F34)+F35/2)*$D$12/12,0)</f>
        <v>0</v>
      </c>
      <c r="G49" s="280">
        <f t="shared" ca="1" si="28"/>
        <v>0</v>
      </c>
      <c r="H49" s="280">
        <f t="shared" ca="1" si="28"/>
        <v>0</v>
      </c>
      <c r="I49" s="280">
        <f t="shared" ca="1" si="28"/>
        <v>0</v>
      </c>
      <c r="J49" s="280">
        <f t="shared" ca="1" si="28"/>
        <v>0</v>
      </c>
      <c r="K49" s="280">
        <f t="shared" ca="1" si="28"/>
        <v>0</v>
      </c>
      <c r="L49" s="280">
        <f t="shared" ca="1" si="28"/>
        <v>0</v>
      </c>
      <c r="M49" s="280">
        <f t="shared" ca="1" si="28"/>
        <v>0</v>
      </c>
      <c r="N49" s="280">
        <f t="shared" ca="1" si="28"/>
        <v>0</v>
      </c>
      <c r="O49" s="280">
        <f t="shared" ca="1" si="28"/>
        <v>0</v>
      </c>
      <c r="P49" s="280">
        <f t="shared" ca="1" si="28"/>
        <v>0</v>
      </c>
      <c r="Q49" s="280">
        <f t="shared" ca="1" si="28"/>
        <v>0</v>
      </c>
      <c r="R49" s="280">
        <f t="shared" ca="1" si="28"/>
        <v>0</v>
      </c>
      <c r="S49" s="280">
        <f t="shared" ca="1" si="28"/>
        <v>0</v>
      </c>
      <c r="T49" s="280">
        <f t="shared" ca="1" si="28"/>
        <v>0</v>
      </c>
      <c r="U49" s="280">
        <f t="shared" ca="1" si="28"/>
        <v>0</v>
      </c>
      <c r="V49" s="280">
        <f t="shared" ca="1" si="28"/>
        <v>0</v>
      </c>
      <c r="W49" s="280">
        <f t="shared" ca="1" si="28"/>
        <v>0</v>
      </c>
      <c r="X49" s="280">
        <f t="shared" ca="1" si="28"/>
        <v>0</v>
      </c>
      <c r="Y49" s="280">
        <f t="shared" ca="1" si="28"/>
        <v>0</v>
      </c>
      <c r="Z49" s="280">
        <f t="shared" ca="1" si="28"/>
        <v>0</v>
      </c>
      <c r="AA49" s="280">
        <f t="shared" ca="1" si="28"/>
        <v>0</v>
      </c>
      <c r="AB49" s="280">
        <f t="shared" ca="1" si="28"/>
        <v>0</v>
      </c>
      <c r="AC49" s="280">
        <f t="shared" ca="1" si="28"/>
        <v>0</v>
      </c>
      <c r="AD49" s="280">
        <f t="shared" ca="1" si="28"/>
        <v>0</v>
      </c>
      <c r="AE49" s="280">
        <f t="shared" ca="1" si="28"/>
        <v>0</v>
      </c>
      <c r="AF49" s="280">
        <f t="shared" ca="1" si="28"/>
        <v>0</v>
      </c>
      <c r="AG49" s="280">
        <f t="shared" ca="1" si="28"/>
        <v>0</v>
      </c>
      <c r="AH49" s="280">
        <f t="shared" ca="1" si="28"/>
        <v>654.08180092733949</v>
      </c>
      <c r="AI49" s="280">
        <f t="shared" ca="1" si="28"/>
        <v>707.94431420597505</v>
      </c>
      <c r="AJ49" s="280">
        <f t="shared" ca="1" si="28"/>
        <v>756.00192922829763</v>
      </c>
      <c r="AK49" s="280">
        <f t="shared" ca="1" si="28"/>
        <v>810.26183823094516</v>
      </c>
      <c r="AL49" s="280">
        <f t="shared" ca="1" si="28"/>
        <v>844.27947910079763</v>
      </c>
      <c r="AM49" s="280">
        <f t="shared" ca="1" si="28"/>
        <v>852.09866917881936</v>
      </c>
      <c r="AN49" s="280">
        <f t="shared" ca="1" si="28"/>
        <v>0</v>
      </c>
      <c r="AO49" s="537">
        <f ca="1">SUM(E49:AN49)</f>
        <v>4624.6680308721743</v>
      </c>
      <c r="AP49" s="20">
        <f t="shared" si="4"/>
        <v>43</v>
      </c>
    </row>
    <row r="50" spans="1:42">
      <c r="A50" s="405" t="s">
        <v>1127</v>
      </c>
      <c r="B50" s="19"/>
      <c r="C50" s="19"/>
      <c r="D50" s="19"/>
      <c r="E50" s="759">
        <f ca="1">IF(E$7&lt;Startops1,(SUM(E41:E42)+E43/2)*$D$13/12,0)</f>
        <v>0</v>
      </c>
      <c r="F50" s="759">
        <f t="shared" ref="F50:AN50" ca="1" si="29">IF(F$7&lt;Startops1,(SUM(F41:F42)+F43/2)*$D$13/12,0)</f>
        <v>0</v>
      </c>
      <c r="G50" s="759">
        <f t="shared" ca="1" si="29"/>
        <v>0</v>
      </c>
      <c r="H50" s="759">
        <f t="shared" ca="1" si="29"/>
        <v>0</v>
      </c>
      <c r="I50" s="759">
        <f t="shared" ca="1" si="29"/>
        <v>0</v>
      </c>
      <c r="J50" s="759">
        <f t="shared" ca="1" si="29"/>
        <v>0</v>
      </c>
      <c r="K50" s="759">
        <f t="shared" ca="1" si="29"/>
        <v>0</v>
      </c>
      <c r="L50" s="759">
        <f t="shared" ca="1" si="29"/>
        <v>0</v>
      </c>
      <c r="M50" s="759">
        <f t="shared" ca="1" si="29"/>
        <v>0</v>
      </c>
      <c r="N50" s="759">
        <f t="shared" ca="1" si="29"/>
        <v>0</v>
      </c>
      <c r="O50" s="759">
        <f t="shared" ca="1" si="29"/>
        <v>0</v>
      </c>
      <c r="P50" s="759">
        <f t="shared" ca="1" si="29"/>
        <v>0</v>
      </c>
      <c r="Q50" s="759">
        <f t="shared" ca="1" si="29"/>
        <v>0</v>
      </c>
      <c r="R50" s="759">
        <f t="shared" ca="1" si="29"/>
        <v>0</v>
      </c>
      <c r="S50" s="759">
        <f t="shared" ca="1" si="29"/>
        <v>0</v>
      </c>
      <c r="T50" s="759">
        <f t="shared" ca="1" si="29"/>
        <v>0</v>
      </c>
      <c r="U50" s="759">
        <f t="shared" ca="1" si="29"/>
        <v>0</v>
      </c>
      <c r="V50" s="759">
        <f t="shared" ca="1" si="29"/>
        <v>0</v>
      </c>
      <c r="W50" s="759">
        <f t="shared" ca="1" si="29"/>
        <v>0</v>
      </c>
      <c r="X50" s="759">
        <f t="shared" ca="1" si="29"/>
        <v>0</v>
      </c>
      <c r="Y50" s="759">
        <f t="shared" ca="1" si="29"/>
        <v>0</v>
      </c>
      <c r="Z50" s="759">
        <f t="shared" ca="1" si="29"/>
        <v>0</v>
      </c>
      <c r="AA50" s="759">
        <f t="shared" ca="1" si="29"/>
        <v>0</v>
      </c>
      <c r="AB50" s="759">
        <f t="shared" ca="1" si="29"/>
        <v>0</v>
      </c>
      <c r="AC50" s="759">
        <f t="shared" ca="1" si="29"/>
        <v>0</v>
      </c>
      <c r="AD50" s="759">
        <f t="shared" ca="1" si="29"/>
        <v>0</v>
      </c>
      <c r="AE50" s="759">
        <f t="shared" ca="1" si="29"/>
        <v>0</v>
      </c>
      <c r="AF50" s="759">
        <f t="shared" ca="1" si="29"/>
        <v>0</v>
      </c>
      <c r="AG50" s="759">
        <f t="shared" ca="1" si="29"/>
        <v>0</v>
      </c>
      <c r="AH50" s="759">
        <f t="shared" ca="1" si="29"/>
        <v>20.381559693398742</v>
      </c>
      <c r="AI50" s="759">
        <f t="shared" ca="1" si="29"/>
        <v>22.059946139969437</v>
      </c>
      <c r="AJ50" s="759">
        <f t="shared" ca="1" si="29"/>
        <v>23.557448666276006</v>
      </c>
      <c r="AK50" s="759">
        <f t="shared" ca="1" si="29"/>
        <v>25.248218188876894</v>
      </c>
      <c r="AL50" s="759">
        <f t="shared" ca="1" si="29"/>
        <v>26.308227161813477</v>
      </c>
      <c r="AM50" s="759">
        <f t="shared" ca="1" si="29"/>
        <v>26.551877557074871</v>
      </c>
      <c r="AN50" s="759">
        <f t="shared" ca="1" si="29"/>
        <v>0</v>
      </c>
      <c r="AO50" s="760">
        <f ca="1">SUM(E50:AN50)</f>
        <v>144.10727740740941</v>
      </c>
      <c r="AP50" s="20">
        <f t="shared" si="4"/>
        <v>44</v>
      </c>
    </row>
    <row r="51" spans="1:42">
      <c r="A51" s="74" t="s">
        <v>723</v>
      </c>
      <c r="B51" s="32"/>
      <c r="C51" s="32"/>
      <c r="D51" s="32"/>
      <c r="E51" s="232">
        <f ca="1">SUM(E48:E50)</f>
        <v>0</v>
      </c>
      <c r="F51" s="232">
        <f t="shared" ref="F51:AN51" ca="1" si="30">SUM(F48:F50)</f>
        <v>0</v>
      </c>
      <c r="G51" s="232">
        <f t="shared" ca="1" si="30"/>
        <v>0</v>
      </c>
      <c r="H51" s="232">
        <f t="shared" ca="1" si="30"/>
        <v>0</v>
      </c>
      <c r="I51" s="232">
        <f t="shared" ca="1" si="30"/>
        <v>0</v>
      </c>
      <c r="J51" s="232">
        <f t="shared" ca="1" si="30"/>
        <v>0</v>
      </c>
      <c r="K51" s="232">
        <f t="shared" ca="1" si="30"/>
        <v>0</v>
      </c>
      <c r="L51" s="232">
        <f t="shared" ca="1" si="30"/>
        <v>0</v>
      </c>
      <c r="M51" s="232">
        <f t="shared" ca="1" si="30"/>
        <v>0</v>
      </c>
      <c r="N51" s="232">
        <f t="shared" ca="1" si="30"/>
        <v>0</v>
      </c>
      <c r="O51" s="232">
        <f t="shared" ca="1" si="30"/>
        <v>0</v>
      </c>
      <c r="P51" s="232">
        <f t="shared" ca="1" si="30"/>
        <v>0</v>
      </c>
      <c r="Q51" s="232">
        <f t="shared" ca="1" si="30"/>
        <v>0</v>
      </c>
      <c r="R51" s="232">
        <f t="shared" ca="1" si="30"/>
        <v>0</v>
      </c>
      <c r="S51" s="232">
        <f t="shared" ca="1" si="30"/>
        <v>0</v>
      </c>
      <c r="T51" s="232">
        <f t="shared" ca="1" si="30"/>
        <v>49.858450900000001</v>
      </c>
      <c r="U51" s="232">
        <f t="shared" ca="1" si="30"/>
        <v>113.61606723371426</v>
      </c>
      <c r="V51" s="232">
        <f t="shared" ca="1" si="30"/>
        <v>127.87956190362119</v>
      </c>
      <c r="W51" s="232">
        <f t="shared" ca="1" si="30"/>
        <v>141.43030225735617</v>
      </c>
      <c r="X51" s="232">
        <f t="shared" ca="1" si="30"/>
        <v>176.55847541311252</v>
      </c>
      <c r="Y51" s="232">
        <f t="shared" ca="1" si="30"/>
        <v>210.66040861064175</v>
      </c>
      <c r="Z51" s="232">
        <f t="shared" ca="1" si="30"/>
        <v>235.05023762161122</v>
      </c>
      <c r="AA51" s="232">
        <f t="shared" ca="1" si="30"/>
        <v>259.57943708407197</v>
      </c>
      <c r="AB51" s="232">
        <f t="shared" ca="1" si="30"/>
        <v>284.24880340060389</v>
      </c>
      <c r="AC51" s="232">
        <f t="shared" ca="1" si="30"/>
        <v>309.05913752465887</v>
      </c>
      <c r="AD51" s="232">
        <f t="shared" ca="1" si="30"/>
        <v>334.01124498656566</v>
      </c>
      <c r="AE51" s="232">
        <f t="shared" ca="1" si="30"/>
        <v>309.1059359196833</v>
      </c>
      <c r="AF51" s="232">
        <f t="shared" ca="1" si="30"/>
        <v>298.14805025965683</v>
      </c>
      <c r="AG51" s="232">
        <f t="shared" ca="1" si="30"/>
        <v>337.12754811014446</v>
      </c>
      <c r="AH51" s="232">
        <f t="shared" ca="1" si="30"/>
        <v>674.46336062073829</v>
      </c>
      <c r="AI51" s="232">
        <f t="shared" ca="1" si="30"/>
        <v>730.00426034594443</v>
      </c>
      <c r="AJ51" s="232">
        <f t="shared" ca="1" si="30"/>
        <v>779.55937789457369</v>
      </c>
      <c r="AK51" s="232">
        <f t="shared" ca="1" si="30"/>
        <v>835.51005641982204</v>
      </c>
      <c r="AL51" s="232">
        <f t="shared" ca="1" si="30"/>
        <v>870.58770626261116</v>
      </c>
      <c r="AM51" s="232">
        <f t="shared" ca="1" si="30"/>
        <v>878.65054673589418</v>
      </c>
      <c r="AN51" s="232">
        <f t="shared" ca="1" si="30"/>
        <v>0</v>
      </c>
      <c r="AO51" s="422">
        <f ca="1">SUM(E51:AN51)</f>
        <v>7955.1089695050259</v>
      </c>
      <c r="AP51" s="20">
        <f t="shared" si="4"/>
        <v>45</v>
      </c>
    </row>
    <row r="52" spans="1:42">
      <c r="A52" s="405" t="s">
        <v>364</v>
      </c>
      <c r="B52" s="19"/>
      <c r="C52" s="19"/>
      <c r="D52" s="19"/>
      <c r="E52" s="280">
        <f ca="1">SUM($E51:E51)</f>
        <v>0</v>
      </c>
      <c r="F52" s="280">
        <f ca="1">SUM($E51:F51)</f>
        <v>0</v>
      </c>
      <c r="G52" s="280">
        <f ca="1">SUM($E51:G51)</f>
        <v>0</v>
      </c>
      <c r="H52" s="280">
        <f ca="1">SUM($E51:H51)</f>
        <v>0</v>
      </c>
      <c r="I52" s="280">
        <f ca="1">SUM($E51:I51)</f>
        <v>0</v>
      </c>
      <c r="J52" s="280">
        <f ca="1">SUM($E51:J51)</f>
        <v>0</v>
      </c>
      <c r="K52" s="280">
        <f ca="1">SUM($E51:K51)</f>
        <v>0</v>
      </c>
      <c r="L52" s="280">
        <f ca="1">SUM($E51:L51)</f>
        <v>0</v>
      </c>
      <c r="M52" s="280">
        <f ca="1">SUM($E51:M51)</f>
        <v>0</v>
      </c>
      <c r="N52" s="280">
        <f ca="1">SUM($E51:N51)</f>
        <v>0</v>
      </c>
      <c r="O52" s="280">
        <f ca="1">SUM($E51:O51)</f>
        <v>0</v>
      </c>
      <c r="P52" s="280">
        <f ca="1">SUM($E51:P51)</f>
        <v>0</v>
      </c>
      <c r="Q52" s="280">
        <f ca="1">SUM($E51:Q51)</f>
        <v>0</v>
      </c>
      <c r="R52" s="280">
        <f ca="1">SUM($E51:R51)</f>
        <v>0</v>
      </c>
      <c r="S52" s="280">
        <f ca="1">SUM($E51:S51)</f>
        <v>0</v>
      </c>
      <c r="T52" s="280">
        <f ca="1">SUM($E51:T51)</f>
        <v>49.858450900000001</v>
      </c>
      <c r="U52" s="280">
        <f ca="1">SUM($E51:U51)</f>
        <v>163.47451813371427</v>
      </c>
      <c r="V52" s="280">
        <f ca="1">SUM($E51:V51)</f>
        <v>291.35408003733545</v>
      </c>
      <c r="W52" s="280">
        <f ca="1">SUM($E51:W51)</f>
        <v>432.78438229469162</v>
      </c>
      <c r="X52" s="280">
        <f ca="1">SUM($E51:X51)</f>
        <v>609.34285770780411</v>
      </c>
      <c r="Y52" s="280">
        <f ca="1">SUM($E51:Y51)</f>
        <v>820.00326631844587</v>
      </c>
      <c r="Z52" s="280">
        <f ca="1">SUM($E51:Z51)</f>
        <v>1055.053503940057</v>
      </c>
      <c r="AA52" s="280">
        <f ca="1">SUM($E51:AA51)</f>
        <v>1314.632941024129</v>
      </c>
      <c r="AB52" s="280">
        <f ca="1">SUM($E51:AB51)</f>
        <v>1598.8817444247329</v>
      </c>
      <c r="AC52" s="280">
        <f ca="1">SUM($E51:AC51)</f>
        <v>1907.9408819493917</v>
      </c>
      <c r="AD52" s="280">
        <f ca="1">SUM($E51:AD51)</f>
        <v>2241.9521269359575</v>
      </c>
      <c r="AE52" s="280">
        <f ca="1">SUM($E51:AE51)</f>
        <v>2551.0580628556409</v>
      </c>
      <c r="AF52" s="280">
        <f ca="1">SUM($E51:AF51)</f>
        <v>2849.2061131152977</v>
      </c>
      <c r="AG52" s="280">
        <f ca="1">SUM($E51:AG51)</f>
        <v>3186.333661225442</v>
      </c>
      <c r="AH52" s="280">
        <f ca="1">SUM($E51:AH51)</f>
        <v>3860.7970218461805</v>
      </c>
      <c r="AI52" s="280">
        <f ca="1">SUM($E51:AI51)</f>
        <v>4590.8012821921247</v>
      </c>
      <c r="AJ52" s="280">
        <f ca="1">SUM($E51:AJ51)</f>
        <v>5370.3606600866988</v>
      </c>
      <c r="AK52" s="280">
        <f ca="1">SUM($E51:AK51)</f>
        <v>6205.8707165065207</v>
      </c>
      <c r="AL52" s="280">
        <f ca="1">SUM($E51:AL51)</f>
        <v>7076.4584227691321</v>
      </c>
      <c r="AM52" s="280">
        <f ca="1">SUM($E51:AM51)</f>
        <v>7955.1089695050259</v>
      </c>
      <c r="AN52" s="280">
        <f ca="1">SUM($E51:AN51)</f>
        <v>7955.1089695050259</v>
      </c>
      <c r="AO52" s="420"/>
      <c r="AP52" s="20">
        <f t="shared" si="4"/>
        <v>46</v>
      </c>
    </row>
    <row r="53" spans="1:42">
      <c r="A53" s="74" t="s">
        <v>719</v>
      </c>
      <c r="B53" s="17">
        <f>(Wh_Int/(1-Wh_Int))</f>
        <v>0.14285714285714285</v>
      </c>
      <c r="C53" s="8"/>
      <c r="D53" s="8"/>
      <c r="E53" s="232">
        <f ca="1">SUM(E48,E50)*$B53</f>
        <v>0</v>
      </c>
      <c r="F53" s="232">
        <f t="shared" ref="F53:AN53" ca="1" si="31">SUM(F48,F50)*$B53</f>
        <v>0</v>
      </c>
      <c r="G53" s="232">
        <f t="shared" ca="1" si="31"/>
        <v>0</v>
      </c>
      <c r="H53" s="232">
        <f t="shared" ca="1" si="31"/>
        <v>0</v>
      </c>
      <c r="I53" s="232">
        <f t="shared" ca="1" si="31"/>
        <v>0</v>
      </c>
      <c r="J53" s="232">
        <f t="shared" ca="1" si="31"/>
        <v>0</v>
      </c>
      <c r="K53" s="232">
        <f t="shared" ca="1" si="31"/>
        <v>0</v>
      </c>
      <c r="L53" s="232">
        <f t="shared" ca="1" si="31"/>
        <v>0</v>
      </c>
      <c r="M53" s="232">
        <f t="shared" ca="1" si="31"/>
        <v>0</v>
      </c>
      <c r="N53" s="232">
        <f t="shared" ca="1" si="31"/>
        <v>0</v>
      </c>
      <c r="O53" s="232">
        <f t="shared" ca="1" si="31"/>
        <v>0</v>
      </c>
      <c r="P53" s="232">
        <f t="shared" ca="1" si="31"/>
        <v>0</v>
      </c>
      <c r="Q53" s="232">
        <f t="shared" ca="1" si="31"/>
        <v>0</v>
      </c>
      <c r="R53" s="232">
        <f t="shared" ca="1" si="31"/>
        <v>0</v>
      </c>
      <c r="S53" s="232">
        <f t="shared" ca="1" si="31"/>
        <v>0</v>
      </c>
      <c r="T53" s="232">
        <f t="shared" ca="1" si="31"/>
        <v>7.122635842857143</v>
      </c>
      <c r="U53" s="232">
        <f t="shared" ca="1" si="31"/>
        <v>16.230866747673463</v>
      </c>
      <c r="V53" s="232">
        <f t="shared" ca="1" si="31"/>
        <v>18.268508843374455</v>
      </c>
      <c r="W53" s="232">
        <f t="shared" ca="1" si="31"/>
        <v>20.204328893908023</v>
      </c>
      <c r="X53" s="232">
        <f t="shared" ca="1" si="31"/>
        <v>25.222639344730357</v>
      </c>
      <c r="Y53" s="232">
        <f t="shared" ca="1" si="31"/>
        <v>30.094344087234536</v>
      </c>
      <c r="Z53" s="232">
        <f t="shared" ca="1" si="31"/>
        <v>33.578605374515888</v>
      </c>
      <c r="AA53" s="232">
        <f t="shared" ca="1" si="31"/>
        <v>37.082776726295997</v>
      </c>
      <c r="AB53" s="232">
        <f t="shared" ca="1" si="31"/>
        <v>40.606971914371982</v>
      </c>
      <c r="AC53" s="232">
        <f t="shared" ca="1" si="31"/>
        <v>44.151305360665553</v>
      </c>
      <c r="AD53" s="232">
        <f t="shared" ca="1" si="31"/>
        <v>47.715892140937946</v>
      </c>
      <c r="AE53" s="232">
        <f t="shared" ca="1" si="31"/>
        <v>44.15799084566904</v>
      </c>
      <c r="AF53" s="232">
        <f t="shared" ca="1" si="31"/>
        <v>42.592578608522402</v>
      </c>
      <c r="AG53" s="232">
        <f t="shared" ca="1" si="31"/>
        <v>48.161078301449209</v>
      </c>
      <c r="AH53" s="232">
        <f t="shared" ca="1" si="31"/>
        <v>2.9116513847712486</v>
      </c>
      <c r="AI53" s="232">
        <f t="shared" ca="1" si="31"/>
        <v>3.1514208771384906</v>
      </c>
      <c r="AJ53" s="232">
        <f t="shared" ca="1" si="31"/>
        <v>3.3653498094680008</v>
      </c>
      <c r="AK53" s="232">
        <f t="shared" ca="1" si="31"/>
        <v>3.6068883126966989</v>
      </c>
      <c r="AL53" s="232">
        <f t="shared" ca="1" si="31"/>
        <v>3.7583181659733538</v>
      </c>
      <c r="AM53" s="232">
        <f t="shared" ca="1" si="31"/>
        <v>3.7931253652964099</v>
      </c>
      <c r="AN53" s="232">
        <f t="shared" ca="1" si="31"/>
        <v>0</v>
      </c>
      <c r="AO53" s="422">
        <f ca="1">SUM(E53:AN53)</f>
        <v>475.77727694755021</v>
      </c>
      <c r="AP53" s="20">
        <f t="shared" si="4"/>
        <v>47</v>
      </c>
    </row>
    <row r="54" spans="1:42">
      <c r="A54" s="405" t="s">
        <v>500</v>
      </c>
      <c r="B54" s="19"/>
      <c r="C54" s="19"/>
      <c r="D54" s="19"/>
      <c r="E54" s="280">
        <f ca="1">SUM($E53:E53)</f>
        <v>0</v>
      </c>
      <c r="F54" s="280">
        <f ca="1">SUM($E53:F53)</f>
        <v>0</v>
      </c>
      <c r="G54" s="280">
        <f ca="1">SUM($E53:G53)</f>
        <v>0</v>
      </c>
      <c r="H54" s="280">
        <f ca="1">SUM($E53:H53)</f>
        <v>0</v>
      </c>
      <c r="I54" s="280">
        <f ca="1">SUM($E53:I53)</f>
        <v>0</v>
      </c>
      <c r="J54" s="280">
        <f ca="1">SUM($E53:J53)</f>
        <v>0</v>
      </c>
      <c r="K54" s="280">
        <f ca="1">SUM($E53:K53)</f>
        <v>0</v>
      </c>
      <c r="L54" s="280">
        <f ca="1">SUM($E53:L53)</f>
        <v>0</v>
      </c>
      <c r="M54" s="280">
        <f ca="1">SUM($E53:M53)</f>
        <v>0</v>
      </c>
      <c r="N54" s="280">
        <f ca="1">SUM($E53:N53)</f>
        <v>0</v>
      </c>
      <c r="O54" s="280">
        <f ca="1">SUM($E53:O53)</f>
        <v>0</v>
      </c>
      <c r="P54" s="280">
        <f ca="1">SUM($E53:P53)</f>
        <v>0</v>
      </c>
      <c r="Q54" s="280">
        <f ca="1">SUM($E53:Q53)</f>
        <v>0</v>
      </c>
      <c r="R54" s="280">
        <f ca="1">SUM($E53:R53)</f>
        <v>0</v>
      </c>
      <c r="S54" s="280">
        <f ca="1">SUM($E53:S53)</f>
        <v>0</v>
      </c>
      <c r="T54" s="280">
        <f ca="1">SUM($E53:T53)</f>
        <v>7.122635842857143</v>
      </c>
      <c r="U54" s="280">
        <f ca="1">SUM($E53:U53)</f>
        <v>23.353502590530606</v>
      </c>
      <c r="V54" s="280">
        <f ca="1">SUM($E53:V53)</f>
        <v>41.622011433905058</v>
      </c>
      <c r="W54" s="280">
        <f ca="1">SUM($E53:W53)</f>
        <v>61.826340327813085</v>
      </c>
      <c r="X54" s="280">
        <f ca="1">SUM($E53:X53)</f>
        <v>87.048979672543439</v>
      </c>
      <c r="Y54" s="280">
        <f ca="1">SUM($E53:Y53)</f>
        <v>117.14332375977797</v>
      </c>
      <c r="Z54" s="280">
        <f ca="1">SUM($E53:Z53)</f>
        <v>150.72192913429387</v>
      </c>
      <c r="AA54" s="280">
        <f ca="1">SUM($E53:AA53)</f>
        <v>187.80470586058988</v>
      </c>
      <c r="AB54" s="280">
        <f ca="1">SUM($E53:AB53)</f>
        <v>228.41167777496184</v>
      </c>
      <c r="AC54" s="280">
        <f ca="1">SUM($E53:AC53)</f>
        <v>272.56298313562741</v>
      </c>
      <c r="AD54" s="280">
        <f ca="1">SUM($E53:AD53)</f>
        <v>320.27887527656537</v>
      </c>
      <c r="AE54" s="280">
        <f ca="1">SUM($E53:AE53)</f>
        <v>364.43686612223439</v>
      </c>
      <c r="AF54" s="280">
        <f ca="1">SUM($E53:AF53)</f>
        <v>407.02944473075678</v>
      </c>
      <c r="AG54" s="280">
        <f ca="1">SUM($E53:AG53)</f>
        <v>455.19052303220599</v>
      </c>
      <c r="AH54" s="280">
        <f ca="1">SUM($E53:AH53)</f>
        <v>458.10217441697722</v>
      </c>
      <c r="AI54" s="280">
        <f ca="1">SUM($E53:AI53)</f>
        <v>461.25359529411571</v>
      </c>
      <c r="AJ54" s="280">
        <f ca="1">SUM($E53:AJ53)</f>
        <v>464.61894510358371</v>
      </c>
      <c r="AK54" s="280">
        <f ca="1">SUM($E53:AK53)</f>
        <v>468.22583341628041</v>
      </c>
      <c r="AL54" s="280">
        <f ca="1">SUM($E53:AL53)</f>
        <v>471.98415158225379</v>
      </c>
      <c r="AM54" s="280">
        <f ca="1">SUM($E53:AM53)</f>
        <v>475.77727694755021</v>
      </c>
      <c r="AN54" s="280">
        <f ca="1">SUM($E53:AN53)</f>
        <v>475.77727694755021</v>
      </c>
      <c r="AO54" s="420"/>
      <c r="AP54" s="20">
        <f t="shared" si="4"/>
        <v>48</v>
      </c>
    </row>
    <row r="55" spans="1:42">
      <c r="A55" s="405"/>
      <c r="B55" s="19"/>
      <c r="C55" s="19"/>
      <c r="D55" s="19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416"/>
      <c r="AP55" s="20">
        <f t="shared" si="4"/>
        <v>49</v>
      </c>
    </row>
    <row r="56" spans="1:42">
      <c r="A56" s="405" t="s">
        <v>496</v>
      </c>
      <c r="B56" s="19"/>
      <c r="C56" s="19"/>
      <c r="D56" s="19"/>
      <c r="E56" s="280">
        <f>IF(E$7&lt;Startops1,0,E51)</f>
        <v>0</v>
      </c>
      <c r="F56" s="280">
        <f t="shared" ref="F56:AN56" si="32">IF(F$7&lt;Startops1,0,F51)</f>
        <v>0</v>
      </c>
      <c r="G56" s="280">
        <f t="shared" si="32"/>
        <v>0</v>
      </c>
      <c r="H56" s="280">
        <f t="shared" si="32"/>
        <v>0</v>
      </c>
      <c r="I56" s="280">
        <f t="shared" si="32"/>
        <v>0</v>
      </c>
      <c r="J56" s="280">
        <f t="shared" si="32"/>
        <v>0</v>
      </c>
      <c r="K56" s="280">
        <f t="shared" si="32"/>
        <v>0</v>
      </c>
      <c r="L56" s="280">
        <f t="shared" si="32"/>
        <v>0</v>
      </c>
      <c r="M56" s="280">
        <f t="shared" si="32"/>
        <v>0</v>
      </c>
      <c r="N56" s="280">
        <f t="shared" si="32"/>
        <v>0</v>
      </c>
      <c r="O56" s="280">
        <f t="shared" si="32"/>
        <v>0</v>
      </c>
      <c r="P56" s="280">
        <f t="shared" si="32"/>
        <v>0</v>
      </c>
      <c r="Q56" s="280">
        <f t="shared" si="32"/>
        <v>0</v>
      </c>
      <c r="R56" s="280">
        <f t="shared" si="32"/>
        <v>0</v>
      </c>
      <c r="S56" s="280">
        <f t="shared" si="32"/>
        <v>0</v>
      </c>
      <c r="T56" s="280">
        <f t="shared" si="32"/>
        <v>0</v>
      </c>
      <c r="U56" s="280">
        <f t="shared" si="32"/>
        <v>0</v>
      </c>
      <c r="V56" s="280">
        <f t="shared" si="32"/>
        <v>0</v>
      </c>
      <c r="W56" s="280">
        <f t="shared" si="32"/>
        <v>0</v>
      </c>
      <c r="X56" s="280">
        <f t="shared" si="32"/>
        <v>0</v>
      </c>
      <c r="Y56" s="280">
        <f t="shared" si="32"/>
        <v>0</v>
      </c>
      <c r="Z56" s="280">
        <f t="shared" si="32"/>
        <v>0</v>
      </c>
      <c r="AA56" s="280">
        <f t="shared" si="32"/>
        <v>0</v>
      </c>
      <c r="AB56" s="280">
        <f t="shared" si="32"/>
        <v>0</v>
      </c>
      <c r="AC56" s="280">
        <f t="shared" si="32"/>
        <v>0</v>
      </c>
      <c r="AD56" s="280">
        <f t="shared" si="32"/>
        <v>0</v>
      </c>
      <c r="AE56" s="280">
        <f t="shared" si="32"/>
        <v>0</v>
      </c>
      <c r="AF56" s="280">
        <f t="shared" si="32"/>
        <v>0</v>
      </c>
      <c r="AG56" s="280">
        <f t="shared" si="32"/>
        <v>0</v>
      </c>
      <c r="AH56" s="280">
        <f t="shared" si="32"/>
        <v>0</v>
      </c>
      <c r="AI56" s="280">
        <f t="shared" si="32"/>
        <v>0</v>
      </c>
      <c r="AJ56" s="280">
        <f t="shared" si="32"/>
        <v>0</v>
      </c>
      <c r="AK56" s="280">
        <f t="shared" si="32"/>
        <v>0</v>
      </c>
      <c r="AL56" s="280">
        <f t="shared" si="32"/>
        <v>0</v>
      </c>
      <c r="AM56" s="280">
        <f t="shared" si="32"/>
        <v>0</v>
      </c>
      <c r="AN56" s="280">
        <f t="shared" ca="1" si="32"/>
        <v>0</v>
      </c>
      <c r="AO56" s="537">
        <f ca="1">SUM(E56:AN56)</f>
        <v>0</v>
      </c>
      <c r="AP56" s="20">
        <f t="shared" si="4"/>
        <v>50</v>
      </c>
    </row>
    <row r="57" spans="1:42">
      <c r="A57" s="405" t="s">
        <v>497</v>
      </c>
      <c r="B57" s="19"/>
      <c r="C57" s="19"/>
      <c r="D57" s="19"/>
      <c r="E57" s="280">
        <f>SUM($E56:E56)</f>
        <v>0</v>
      </c>
      <c r="F57" s="280">
        <f>SUM($E56:F56)</f>
        <v>0</v>
      </c>
      <c r="G57" s="280">
        <f>SUM($E56:G56)</f>
        <v>0</v>
      </c>
      <c r="H57" s="280">
        <f>SUM($E56:H56)</f>
        <v>0</v>
      </c>
      <c r="I57" s="280">
        <f>SUM($E56:I56)</f>
        <v>0</v>
      </c>
      <c r="J57" s="280">
        <f>SUM($E56:J56)</f>
        <v>0</v>
      </c>
      <c r="K57" s="280">
        <f>SUM($E56:K56)</f>
        <v>0</v>
      </c>
      <c r="L57" s="280">
        <f>SUM($E56:L56)</f>
        <v>0</v>
      </c>
      <c r="M57" s="280">
        <f>SUM($E56:M56)</f>
        <v>0</v>
      </c>
      <c r="N57" s="280">
        <f>SUM($E56:N56)</f>
        <v>0</v>
      </c>
      <c r="O57" s="280">
        <f>SUM($E56:O56)</f>
        <v>0</v>
      </c>
      <c r="P57" s="280">
        <f>SUM($E56:P56)</f>
        <v>0</v>
      </c>
      <c r="Q57" s="280">
        <f>SUM($E56:Q56)</f>
        <v>0</v>
      </c>
      <c r="R57" s="280">
        <f>SUM($E56:R56)</f>
        <v>0</v>
      </c>
      <c r="S57" s="280">
        <f>SUM($E56:S56)</f>
        <v>0</v>
      </c>
      <c r="T57" s="280">
        <f>SUM($E56:T56)</f>
        <v>0</v>
      </c>
      <c r="U57" s="280">
        <f>SUM($E56:U56)</f>
        <v>0</v>
      </c>
      <c r="V57" s="280">
        <f>SUM($E56:V56)</f>
        <v>0</v>
      </c>
      <c r="W57" s="280">
        <f>SUM($E56:W56)</f>
        <v>0</v>
      </c>
      <c r="X57" s="280">
        <f>SUM($E56:X56)</f>
        <v>0</v>
      </c>
      <c r="Y57" s="280">
        <f>SUM($E56:Y56)</f>
        <v>0</v>
      </c>
      <c r="Z57" s="280">
        <f>SUM($E56:Z56)</f>
        <v>0</v>
      </c>
      <c r="AA57" s="280">
        <f>SUM($E56:AA56)</f>
        <v>0</v>
      </c>
      <c r="AB57" s="280">
        <f>SUM($E56:AB56)</f>
        <v>0</v>
      </c>
      <c r="AC57" s="280">
        <f>SUM($E56:AC56)</f>
        <v>0</v>
      </c>
      <c r="AD57" s="280">
        <f>SUM($E56:AD56)</f>
        <v>0</v>
      </c>
      <c r="AE57" s="280">
        <f>SUM($E56:AE56)</f>
        <v>0</v>
      </c>
      <c r="AF57" s="280">
        <f>SUM($E56:AF56)</f>
        <v>0</v>
      </c>
      <c r="AG57" s="280">
        <f>SUM($E56:AG56)</f>
        <v>0</v>
      </c>
      <c r="AH57" s="280">
        <f>SUM($E56:AH56)</f>
        <v>0</v>
      </c>
      <c r="AI57" s="280">
        <f>SUM($E56:AI56)</f>
        <v>0</v>
      </c>
      <c r="AJ57" s="280">
        <f>SUM($E56:AJ56)</f>
        <v>0</v>
      </c>
      <c r="AK57" s="280">
        <f>SUM($E56:AK56)</f>
        <v>0</v>
      </c>
      <c r="AL57" s="280">
        <f>SUM($E56:AL56)</f>
        <v>0</v>
      </c>
      <c r="AM57" s="280">
        <f>SUM($E56:AM56)</f>
        <v>0</v>
      </c>
      <c r="AN57" s="280">
        <f ca="1">SUM($E56:AN56)</f>
        <v>0</v>
      </c>
      <c r="AO57" s="420"/>
      <c r="AP57" s="20">
        <f t="shared" si="4"/>
        <v>51</v>
      </c>
    </row>
    <row r="58" spans="1:42">
      <c r="A58" s="405"/>
      <c r="B58" s="19"/>
      <c r="C58" s="19"/>
      <c r="D58" s="19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416"/>
      <c r="AP58" s="20">
        <f t="shared" si="4"/>
        <v>52</v>
      </c>
    </row>
    <row r="59" spans="1:42">
      <c r="A59" s="146" t="s">
        <v>198</v>
      </c>
      <c r="B59" s="8"/>
      <c r="C59" s="8"/>
      <c r="D59" s="8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416"/>
      <c r="AP59" s="20">
        <f t="shared" si="4"/>
        <v>53</v>
      </c>
    </row>
    <row r="60" spans="1:42">
      <c r="A60" s="491" t="s">
        <v>1002</v>
      </c>
      <c r="B60" s="491"/>
      <c r="C60" s="1116"/>
      <c r="D60" s="1116"/>
      <c r="E60" s="1118">
        <f>Drawdown!E76</f>
        <v>0</v>
      </c>
      <c r="F60" s="1118">
        <f>Drawdown!F76</f>
        <v>0</v>
      </c>
      <c r="G60" s="1118">
        <f>Drawdown!G76</f>
        <v>0</v>
      </c>
      <c r="H60" s="1118">
        <f>Drawdown!H76</f>
        <v>0</v>
      </c>
      <c r="I60" s="1118">
        <f>Drawdown!I76</f>
        <v>0</v>
      </c>
      <c r="J60" s="1118">
        <f>Drawdown!J76</f>
        <v>4072.33637</v>
      </c>
      <c r="K60" s="1118">
        <f>Drawdown!K76</f>
        <v>0</v>
      </c>
      <c r="L60" s="1118">
        <f>Drawdown!L76</f>
        <v>0</v>
      </c>
      <c r="M60" s="1118">
        <f>Drawdown!M76</f>
        <v>6300</v>
      </c>
      <c r="N60" s="1118">
        <f>Drawdown!N76</f>
        <v>4327</v>
      </c>
      <c r="O60" s="1118">
        <f>Drawdown!O76</f>
        <v>2178</v>
      </c>
      <c r="P60" s="1118">
        <f>Drawdown!P76</f>
        <v>7899.509</v>
      </c>
      <c r="Q60" s="1118">
        <f>Drawdown!Q76</f>
        <v>5560</v>
      </c>
      <c r="R60" s="1118">
        <f>Drawdown!R76</f>
        <v>4625</v>
      </c>
      <c r="S60" s="1118">
        <f>Drawdown!S76</f>
        <v>4996.1589999999997</v>
      </c>
      <c r="T60" s="1118">
        <f>Drawdown!T76</f>
        <v>41.995640000000598</v>
      </c>
      <c r="U60" s="1118">
        <f>Drawdown!U76</f>
        <v>0</v>
      </c>
      <c r="V60" s="1118">
        <f>Drawdown!V76</f>
        <v>0</v>
      </c>
      <c r="W60" s="1118">
        <f>Drawdown!W76</f>
        <v>0</v>
      </c>
      <c r="X60" s="1118">
        <f>Drawdown!X76</f>
        <v>0</v>
      </c>
      <c r="Y60" s="1117">
        <v>0</v>
      </c>
      <c r="Z60" s="1117">
        <v>0</v>
      </c>
      <c r="AA60" s="1117">
        <v>0</v>
      </c>
      <c r="AB60" s="1117">
        <v>0</v>
      </c>
      <c r="AC60" s="1117">
        <v>0</v>
      </c>
      <c r="AD60" s="1117">
        <v>0</v>
      </c>
      <c r="AE60" s="831">
        <v>20000</v>
      </c>
      <c r="AF60" s="1117">
        <v>0</v>
      </c>
      <c r="AG60" s="1117">
        <v>0</v>
      </c>
      <c r="AH60" s="1117">
        <v>0</v>
      </c>
      <c r="AI60" s="1117">
        <v>0</v>
      </c>
      <c r="AJ60" s="1117">
        <v>0</v>
      </c>
      <c r="AK60" s="1117">
        <v>0</v>
      </c>
      <c r="AL60" s="1117">
        <v>0</v>
      </c>
      <c r="AM60" s="1117">
        <v>0</v>
      </c>
      <c r="AN60" s="1117">
        <v>0</v>
      </c>
      <c r="AO60" s="420">
        <f>SUM(E60:AN60)</f>
        <v>60000.000010000003</v>
      </c>
      <c r="AP60" s="20">
        <f t="shared" si="4"/>
        <v>54</v>
      </c>
    </row>
    <row r="61" spans="1:42">
      <c r="A61" s="491" t="s">
        <v>1003</v>
      </c>
      <c r="B61" s="491"/>
      <c r="C61" s="1116"/>
      <c r="D61" s="1116"/>
      <c r="E61" s="1118">
        <f>SUM($E60:E60)</f>
        <v>0</v>
      </c>
      <c r="F61" s="1118">
        <f>SUM($E60:F60)</f>
        <v>0</v>
      </c>
      <c r="G61" s="1118">
        <f>SUM($E60:G60)</f>
        <v>0</v>
      </c>
      <c r="H61" s="1118">
        <f>SUM($E60:H60)</f>
        <v>0</v>
      </c>
      <c r="I61" s="1118">
        <f>SUM($E60:I60)</f>
        <v>0</v>
      </c>
      <c r="J61" s="1118">
        <f>SUM($E60:J60)</f>
        <v>4072.33637</v>
      </c>
      <c r="K61" s="1118">
        <f>SUM($E60:K60)</f>
        <v>4072.33637</v>
      </c>
      <c r="L61" s="1118">
        <f>SUM($E60:L60)</f>
        <v>4072.33637</v>
      </c>
      <c r="M61" s="1118">
        <f>SUM($E60:M60)</f>
        <v>10372.336370000001</v>
      </c>
      <c r="N61" s="1118">
        <f>SUM($E60:N60)</f>
        <v>14699.336370000001</v>
      </c>
      <c r="O61" s="1118">
        <f>SUM($E60:O60)</f>
        <v>16877.336370000001</v>
      </c>
      <c r="P61" s="1118">
        <f>SUM($E60:P60)</f>
        <v>24776.845370000003</v>
      </c>
      <c r="Q61" s="1118">
        <f>SUM($E60:Q60)</f>
        <v>30336.845370000003</v>
      </c>
      <c r="R61" s="1118">
        <f>SUM($E60:R60)</f>
        <v>34961.845370000003</v>
      </c>
      <c r="S61" s="1118">
        <f>SUM($E60:S60)</f>
        <v>39958.004370000002</v>
      </c>
      <c r="T61" s="1118">
        <f>SUM($E60:T60)</f>
        <v>40000.000010000003</v>
      </c>
      <c r="U61" s="1118">
        <f>SUM($E60:U60)</f>
        <v>40000.000010000003</v>
      </c>
      <c r="V61" s="1118">
        <f>SUM($E60:V60)</f>
        <v>40000.000010000003</v>
      </c>
      <c r="W61" s="1118">
        <f>SUM($E60:W60)</f>
        <v>40000.000010000003</v>
      </c>
      <c r="X61" s="1118">
        <f>SUM($E60:X60)</f>
        <v>40000.000010000003</v>
      </c>
      <c r="Y61" s="1118">
        <f>SUM($E60:Y60)</f>
        <v>40000.000010000003</v>
      </c>
      <c r="Z61" s="1118">
        <f>SUM($E60:Z60)</f>
        <v>40000.000010000003</v>
      </c>
      <c r="AA61" s="1118">
        <f>SUM($E60:AA60)</f>
        <v>40000.000010000003</v>
      </c>
      <c r="AB61" s="1118">
        <f>SUM($E60:AB60)</f>
        <v>40000.000010000003</v>
      </c>
      <c r="AC61" s="1118">
        <f>SUM($E60:AC60)</f>
        <v>40000.000010000003</v>
      </c>
      <c r="AD61" s="1118">
        <f>SUM($E60:AD60)</f>
        <v>40000.000010000003</v>
      </c>
      <c r="AE61" s="1118">
        <f>SUM($E60:AE60)</f>
        <v>60000.000010000003</v>
      </c>
      <c r="AF61" s="1118">
        <f>SUM($E60:AF60)</f>
        <v>60000.000010000003</v>
      </c>
      <c r="AG61" s="1118">
        <f>SUM($E60:AG60)</f>
        <v>60000.000010000003</v>
      </c>
      <c r="AH61" s="1118">
        <f>SUM($E60:AH60)</f>
        <v>60000.000010000003</v>
      </c>
      <c r="AI61" s="1118">
        <f>SUM($E60:AI60)</f>
        <v>60000.000010000003</v>
      </c>
      <c r="AJ61" s="1118">
        <f>SUM($E60:AJ60)</f>
        <v>60000.000010000003</v>
      </c>
      <c r="AK61" s="1118">
        <f>SUM($E60:AK60)</f>
        <v>60000.000010000003</v>
      </c>
      <c r="AL61" s="1118">
        <f>SUM($E60:AL60)</f>
        <v>60000.000010000003</v>
      </c>
      <c r="AM61" s="1118">
        <f>SUM($E60:AM60)</f>
        <v>60000.000010000003</v>
      </c>
      <c r="AN61" s="1118">
        <f>SUM($E60:AN60)</f>
        <v>60000.000010000003</v>
      </c>
      <c r="AO61" s="416"/>
      <c r="AP61" s="20">
        <f t="shared" si="4"/>
        <v>55</v>
      </c>
    </row>
    <row r="62" spans="1:42">
      <c r="A62" s="146"/>
      <c r="B62" s="8"/>
      <c r="C62" s="8"/>
      <c r="D62" s="8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416"/>
      <c r="AP62" s="20">
        <f t="shared" si="4"/>
        <v>56</v>
      </c>
    </row>
    <row r="63" spans="1:42">
      <c r="A63" s="139" t="s">
        <v>164</v>
      </c>
      <c r="B63" s="8"/>
      <c r="C63" s="8"/>
      <c r="D63" s="8"/>
      <c r="E63" s="831">
        <v>0</v>
      </c>
      <c r="F63" s="53">
        <f t="shared" ref="F63:AN63" ca="1" si="33">E67</f>
        <v>0</v>
      </c>
      <c r="G63" s="53">
        <f t="shared" ca="1" si="33"/>
        <v>0</v>
      </c>
      <c r="H63" s="53">
        <f t="shared" ca="1" si="33"/>
        <v>0</v>
      </c>
      <c r="I63" s="53">
        <f t="shared" ca="1" si="33"/>
        <v>0</v>
      </c>
      <c r="J63" s="53">
        <f t="shared" ca="1" si="33"/>
        <v>0</v>
      </c>
      <c r="K63" s="53">
        <f t="shared" ca="1" si="33"/>
        <v>4072.33637</v>
      </c>
      <c r="L63" s="53">
        <f t="shared" ca="1" si="33"/>
        <v>4072.33637</v>
      </c>
      <c r="M63" s="53">
        <f t="shared" ca="1" si="33"/>
        <v>4072.33637</v>
      </c>
      <c r="N63" s="53">
        <f t="shared" ca="1" si="33"/>
        <v>10372.336370000001</v>
      </c>
      <c r="O63" s="53">
        <f t="shared" ca="1" si="33"/>
        <v>14699.336370000001</v>
      </c>
      <c r="P63" s="53">
        <f t="shared" ca="1" si="33"/>
        <v>16877.336370000001</v>
      </c>
      <c r="Q63" s="53">
        <f t="shared" ca="1" si="33"/>
        <v>24776.845370000003</v>
      </c>
      <c r="R63" s="53">
        <f t="shared" ca="1" si="33"/>
        <v>30336.845370000003</v>
      </c>
      <c r="S63" s="53">
        <f t="shared" ca="1" si="33"/>
        <v>34961.845370000003</v>
      </c>
      <c r="T63" s="53">
        <f t="shared" ca="1" si="33"/>
        <v>39958.004370000002</v>
      </c>
      <c r="U63" s="53">
        <f t="shared" ca="1" si="33"/>
        <v>40000.000010000003</v>
      </c>
      <c r="V63" s="53">
        <f t="shared" ca="1" si="33"/>
        <v>40000.000010000003</v>
      </c>
      <c r="W63" s="53">
        <f t="shared" ca="1" si="33"/>
        <v>40000.000010000003</v>
      </c>
      <c r="X63" s="53">
        <f t="shared" ca="1" si="33"/>
        <v>40000.000010000003</v>
      </c>
      <c r="Y63" s="53">
        <f t="shared" ca="1" si="33"/>
        <v>40000.000010000003</v>
      </c>
      <c r="Z63" s="53">
        <f t="shared" ca="1" si="33"/>
        <v>40000.000010000003</v>
      </c>
      <c r="AA63" s="53">
        <f t="shared" ca="1" si="33"/>
        <v>40000.000010000003</v>
      </c>
      <c r="AB63" s="53">
        <f t="shared" ca="1" si="33"/>
        <v>40000.000010000003</v>
      </c>
      <c r="AC63" s="53">
        <f t="shared" ca="1" si="33"/>
        <v>40000.000010000003</v>
      </c>
      <c r="AD63" s="53">
        <f t="shared" ca="1" si="33"/>
        <v>40000.000010000003</v>
      </c>
      <c r="AE63" s="53">
        <f t="shared" ca="1" si="33"/>
        <v>40000.000010000003</v>
      </c>
      <c r="AF63" s="53">
        <f t="shared" ca="1" si="33"/>
        <v>60000.000010000003</v>
      </c>
      <c r="AG63" s="53">
        <f t="shared" ca="1" si="33"/>
        <v>60000.000010000003</v>
      </c>
      <c r="AH63" s="53">
        <f t="shared" ca="1" si="33"/>
        <v>60000.000010000003</v>
      </c>
      <c r="AI63" s="53">
        <f t="shared" ca="1" si="33"/>
        <v>60000.000010000003</v>
      </c>
      <c r="AJ63" s="53">
        <f t="shared" ca="1" si="33"/>
        <v>60000.000010000003</v>
      </c>
      <c r="AK63" s="53">
        <f t="shared" ca="1" si="33"/>
        <v>60000.000010000003</v>
      </c>
      <c r="AL63" s="53">
        <f t="shared" ca="1" si="33"/>
        <v>60000.000010000003</v>
      </c>
      <c r="AM63" s="53">
        <f t="shared" ca="1" si="33"/>
        <v>60000.000010000003</v>
      </c>
      <c r="AN63" s="53">
        <f t="shared" ca="1" si="33"/>
        <v>60000.000010000003</v>
      </c>
      <c r="AO63" s="420">
        <f>E63</f>
        <v>0</v>
      </c>
      <c r="AP63" s="20">
        <f t="shared" si="4"/>
        <v>57</v>
      </c>
    </row>
    <row r="64" spans="1:42">
      <c r="A64" s="139" t="s">
        <v>197</v>
      </c>
      <c r="B64" s="8"/>
      <c r="C64" s="8"/>
      <c r="D64" s="8"/>
      <c r="E64" s="53">
        <f ca="1">IF(SUM(E63,E17)&gt;Est_Cost*Equity_Perc,Est_Cost*Equity_Perc-E63,E17)*0+E60</f>
        <v>0</v>
      </c>
      <c r="F64" s="53">
        <f ca="1">IF(SUM(F63,F17)&gt;Est_Cost*Equity_Perc,Est_Cost*Equity_Perc-F63,F17)*0+F60</f>
        <v>0</v>
      </c>
      <c r="G64" s="53">
        <f t="shared" ref="G64:AN64" ca="1" si="34">IF(SUM(G63,G17)&gt;Est_Cost*Equity_Perc,Est_Cost*Equity_Perc-G63,G17)*0+G60</f>
        <v>0</v>
      </c>
      <c r="H64" s="53">
        <f t="shared" ca="1" si="34"/>
        <v>0</v>
      </c>
      <c r="I64" s="53">
        <f t="shared" ca="1" si="34"/>
        <v>0</v>
      </c>
      <c r="J64" s="53">
        <f t="shared" ca="1" si="34"/>
        <v>4072.33637</v>
      </c>
      <c r="K64" s="53">
        <f t="shared" ca="1" si="34"/>
        <v>0</v>
      </c>
      <c r="L64" s="53">
        <f t="shared" ca="1" si="34"/>
        <v>0</v>
      </c>
      <c r="M64" s="53">
        <f t="shared" ca="1" si="34"/>
        <v>6300</v>
      </c>
      <c r="N64" s="53">
        <f t="shared" ca="1" si="34"/>
        <v>4327</v>
      </c>
      <c r="O64" s="53">
        <f t="shared" ca="1" si="34"/>
        <v>2178</v>
      </c>
      <c r="P64" s="53">
        <f t="shared" ca="1" si="34"/>
        <v>7899.509</v>
      </c>
      <c r="Q64" s="53">
        <f t="shared" ca="1" si="34"/>
        <v>5560</v>
      </c>
      <c r="R64" s="53">
        <f t="shared" ca="1" si="34"/>
        <v>4625</v>
      </c>
      <c r="S64" s="53">
        <f t="shared" ca="1" si="34"/>
        <v>4996.1589999999997</v>
      </c>
      <c r="T64" s="53">
        <f t="shared" ca="1" si="34"/>
        <v>41.995640000000598</v>
      </c>
      <c r="U64" s="53">
        <f t="shared" ca="1" si="34"/>
        <v>0</v>
      </c>
      <c r="V64" s="53">
        <f t="shared" ca="1" si="34"/>
        <v>0</v>
      </c>
      <c r="W64" s="53">
        <f t="shared" ca="1" si="34"/>
        <v>0</v>
      </c>
      <c r="X64" s="53">
        <f t="shared" ca="1" si="34"/>
        <v>0</v>
      </c>
      <c r="Y64" s="53">
        <f t="shared" ca="1" si="34"/>
        <v>0</v>
      </c>
      <c r="Z64" s="53">
        <f t="shared" ca="1" si="34"/>
        <v>0</v>
      </c>
      <c r="AA64" s="53">
        <f t="shared" ca="1" si="34"/>
        <v>0</v>
      </c>
      <c r="AB64" s="53">
        <f t="shared" ca="1" si="34"/>
        <v>0</v>
      </c>
      <c r="AC64" s="53">
        <f t="shared" ca="1" si="34"/>
        <v>0</v>
      </c>
      <c r="AD64" s="53">
        <f t="shared" ca="1" si="34"/>
        <v>0</v>
      </c>
      <c r="AE64" s="53">
        <f t="shared" ca="1" si="34"/>
        <v>20000</v>
      </c>
      <c r="AF64" s="53">
        <f t="shared" ca="1" si="34"/>
        <v>0</v>
      </c>
      <c r="AG64" s="53">
        <f t="shared" ca="1" si="34"/>
        <v>0</v>
      </c>
      <c r="AH64" s="53">
        <f t="shared" ca="1" si="34"/>
        <v>0</v>
      </c>
      <c r="AI64" s="53">
        <f t="shared" ca="1" si="34"/>
        <v>0</v>
      </c>
      <c r="AJ64" s="53">
        <f t="shared" ca="1" si="34"/>
        <v>0</v>
      </c>
      <c r="AK64" s="53">
        <f t="shared" ca="1" si="34"/>
        <v>0</v>
      </c>
      <c r="AL64" s="53">
        <f t="shared" ca="1" si="34"/>
        <v>0</v>
      </c>
      <c r="AM64" s="53">
        <f t="shared" ca="1" si="34"/>
        <v>0</v>
      </c>
      <c r="AN64" s="53">
        <f t="shared" ca="1" si="34"/>
        <v>0</v>
      </c>
      <c r="AO64" s="420">
        <f ca="1">SUM(E64:AN64)</f>
        <v>60000.000010000003</v>
      </c>
      <c r="AP64" s="20">
        <f t="shared" si="4"/>
        <v>58</v>
      </c>
    </row>
    <row r="65" spans="1:42">
      <c r="A65" s="139" t="s">
        <v>720</v>
      </c>
      <c r="B65" s="8"/>
      <c r="C65" s="8"/>
      <c r="D65" s="8"/>
      <c r="E65" s="831">
        <v>0</v>
      </c>
      <c r="F65" s="831">
        <v>0</v>
      </c>
      <c r="G65" s="831">
        <v>0</v>
      </c>
      <c r="H65" s="831">
        <v>0</v>
      </c>
      <c r="I65" s="831">
        <v>0</v>
      </c>
      <c r="J65" s="831">
        <v>0</v>
      </c>
      <c r="K65" s="831">
        <v>0</v>
      </c>
      <c r="L65" s="831">
        <v>0</v>
      </c>
      <c r="M65" s="831">
        <v>0</v>
      </c>
      <c r="N65" s="831">
        <v>0</v>
      </c>
      <c r="O65" s="831">
        <v>0</v>
      </c>
      <c r="P65" s="831">
        <v>0</v>
      </c>
      <c r="Q65" s="831">
        <v>0</v>
      </c>
      <c r="R65" s="831">
        <v>0</v>
      </c>
      <c r="S65" s="831">
        <v>0</v>
      </c>
      <c r="T65" s="831">
        <v>0</v>
      </c>
      <c r="U65" s="831">
        <v>0</v>
      </c>
      <c r="V65" s="831">
        <v>0</v>
      </c>
      <c r="W65" s="831">
        <v>0</v>
      </c>
      <c r="X65" s="831">
        <v>0</v>
      </c>
      <c r="Y65" s="831">
        <v>0</v>
      </c>
      <c r="Z65" s="831">
        <v>0</v>
      </c>
      <c r="AA65" s="831">
        <v>0</v>
      </c>
      <c r="AB65" s="831">
        <v>0</v>
      </c>
      <c r="AC65" s="831">
        <v>0</v>
      </c>
      <c r="AD65" s="831">
        <v>0</v>
      </c>
      <c r="AE65" s="831">
        <v>0</v>
      </c>
      <c r="AF65" s="831">
        <v>0</v>
      </c>
      <c r="AG65" s="831">
        <v>0</v>
      </c>
      <c r="AH65" s="831">
        <v>0</v>
      </c>
      <c r="AI65" s="831">
        <v>0</v>
      </c>
      <c r="AJ65" s="831">
        <v>0</v>
      </c>
      <c r="AK65" s="831">
        <v>0</v>
      </c>
      <c r="AL65" s="831">
        <v>0</v>
      </c>
      <c r="AM65" s="831">
        <v>0</v>
      </c>
      <c r="AN65" s="831">
        <v>0</v>
      </c>
      <c r="AO65" s="420">
        <f>SUM(E65:AN65)</f>
        <v>0</v>
      </c>
      <c r="AP65" s="20">
        <f t="shared" si="4"/>
        <v>59</v>
      </c>
    </row>
    <row r="66" spans="1:42">
      <c r="A66" s="139" t="s">
        <v>721</v>
      </c>
      <c r="B66" s="8"/>
      <c r="C66" s="8"/>
      <c r="D66" s="8"/>
      <c r="E66" s="883">
        <v>0</v>
      </c>
      <c r="F66" s="883">
        <v>0</v>
      </c>
      <c r="G66" s="883">
        <v>0</v>
      </c>
      <c r="H66" s="883">
        <v>0</v>
      </c>
      <c r="I66" s="883">
        <v>0</v>
      </c>
      <c r="J66" s="883">
        <v>0</v>
      </c>
      <c r="K66" s="883">
        <v>0</v>
      </c>
      <c r="L66" s="883">
        <v>0</v>
      </c>
      <c r="M66" s="883">
        <v>0</v>
      </c>
      <c r="N66" s="883">
        <v>0</v>
      </c>
      <c r="O66" s="883">
        <v>0</v>
      </c>
      <c r="P66" s="883">
        <v>0</v>
      </c>
      <c r="Q66" s="883">
        <v>0</v>
      </c>
      <c r="R66" s="883">
        <v>0</v>
      </c>
      <c r="S66" s="883">
        <v>0</v>
      </c>
      <c r="T66" s="883">
        <v>0</v>
      </c>
      <c r="U66" s="883">
        <v>0</v>
      </c>
      <c r="V66" s="883">
        <v>0</v>
      </c>
      <c r="W66" s="883">
        <v>0</v>
      </c>
      <c r="X66" s="883">
        <v>0</v>
      </c>
      <c r="Y66" s="883">
        <v>0</v>
      </c>
      <c r="Z66" s="883">
        <v>0</v>
      </c>
      <c r="AA66" s="883">
        <v>0</v>
      </c>
      <c r="AB66" s="883">
        <v>0</v>
      </c>
      <c r="AC66" s="883">
        <v>0</v>
      </c>
      <c r="AD66" s="883">
        <v>0</v>
      </c>
      <c r="AE66" s="883">
        <v>0</v>
      </c>
      <c r="AF66" s="883">
        <v>0</v>
      </c>
      <c r="AG66" s="883">
        <v>0</v>
      </c>
      <c r="AH66" s="883">
        <v>0</v>
      </c>
      <c r="AI66" s="883">
        <v>0</v>
      </c>
      <c r="AJ66" s="883">
        <v>0</v>
      </c>
      <c r="AK66" s="883">
        <v>0</v>
      </c>
      <c r="AL66" s="883">
        <v>0</v>
      </c>
      <c r="AM66" s="883">
        <v>0</v>
      </c>
      <c r="AN66" s="883">
        <v>0</v>
      </c>
      <c r="AO66" s="421">
        <f>SUM(E66:AN66)</f>
        <v>0</v>
      </c>
      <c r="AP66" s="20">
        <f t="shared" si="4"/>
        <v>60</v>
      </c>
    </row>
    <row r="67" spans="1:42" s="8" customFormat="1">
      <c r="A67" s="139" t="s">
        <v>172</v>
      </c>
      <c r="E67" s="53">
        <f ca="1">SUM(E63:E66)</f>
        <v>0</v>
      </c>
      <c r="F67" s="53">
        <f t="shared" ref="F67:AN67" ca="1" si="35">SUM(F63:F66)</f>
        <v>0</v>
      </c>
      <c r="G67" s="53">
        <f t="shared" ca="1" si="35"/>
        <v>0</v>
      </c>
      <c r="H67" s="53">
        <f t="shared" ca="1" si="35"/>
        <v>0</v>
      </c>
      <c r="I67" s="53">
        <f t="shared" ca="1" si="35"/>
        <v>0</v>
      </c>
      <c r="J67" s="53">
        <f t="shared" ca="1" si="35"/>
        <v>4072.33637</v>
      </c>
      <c r="K67" s="53">
        <f t="shared" ca="1" si="35"/>
        <v>4072.33637</v>
      </c>
      <c r="L67" s="53">
        <f t="shared" ca="1" si="35"/>
        <v>4072.33637</v>
      </c>
      <c r="M67" s="53">
        <f t="shared" ca="1" si="35"/>
        <v>10372.336370000001</v>
      </c>
      <c r="N67" s="53">
        <f t="shared" ca="1" si="35"/>
        <v>14699.336370000001</v>
      </c>
      <c r="O67" s="53">
        <f t="shared" ca="1" si="35"/>
        <v>16877.336370000001</v>
      </c>
      <c r="P67" s="53">
        <f t="shared" ca="1" si="35"/>
        <v>24776.845370000003</v>
      </c>
      <c r="Q67" s="53">
        <f t="shared" ca="1" si="35"/>
        <v>30336.845370000003</v>
      </c>
      <c r="R67" s="53">
        <f t="shared" ca="1" si="35"/>
        <v>34961.845370000003</v>
      </c>
      <c r="S67" s="53">
        <f t="shared" ca="1" si="35"/>
        <v>39958.004370000002</v>
      </c>
      <c r="T67" s="53">
        <f t="shared" ca="1" si="35"/>
        <v>40000.000010000003</v>
      </c>
      <c r="U67" s="53">
        <f t="shared" ca="1" si="35"/>
        <v>40000.000010000003</v>
      </c>
      <c r="V67" s="53">
        <f t="shared" ca="1" si="35"/>
        <v>40000.000010000003</v>
      </c>
      <c r="W67" s="53">
        <f t="shared" ca="1" si="35"/>
        <v>40000.000010000003</v>
      </c>
      <c r="X67" s="53">
        <f t="shared" ca="1" si="35"/>
        <v>40000.000010000003</v>
      </c>
      <c r="Y67" s="53">
        <f t="shared" ca="1" si="35"/>
        <v>40000.000010000003</v>
      </c>
      <c r="Z67" s="53">
        <f t="shared" ca="1" si="35"/>
        <v>40000.000010000003</v>
      </c>
      <c r="AA67" s="53">
        <f t="shared" ca="1" si="35"/>
        <v>40000.000010000003</v>
      </c>
      <c r="AB67" s="53">
        <f t="shared" ca="1" si="35"/>
        <v>40000.000010000003</v>
      </c>
      <c r="AC67" s="53">
        <f t="shared" ca="1" si="35"/>
        <v>40000.000010000003</v>
      </c>
      <c r="AD67" s="53">
        <f t="shared" ca="1" si="35"/>
        <v>40000.000010000003</v>
      </c>
      <c r="AE67" s="53">
        <f t="shared" ca="1" si="35"/>
        <v>60000.000010000003</v>
      </c>
      <c r="AF67" s="53">
        <f t="shared" ca="1" si="35"/>
        <v>60000.000010000003</v>
      </c>
      <c r="AG67" s="53">
        <f t="shared" ca="1" si="35"/>
        <v>60000.000010000003</v>
      </c>
      <c r="AH67" s="53">
        <f t="shared" ca="1" si="35"/>
        <v>60000.000010000003</v>
      </c>
      <c r="AI67" s="53">
        <f t="shared" ca="1" si="35"/>
        <v>60000.000010000003</v>
      </c>
      <c r="AJ67" s="53">
        <f t="shared" ca="1" si="35"/>
        <v>60000.000010000003</v>
      </c>
      <c r="AK67" s="53">
        <f t="shared" ca="1" si="35"/>
        <v>60000.000010000003</v>
      </c>
      <c r="AL67" s="53">
        <f t="shared" ca="1" si="35"/>
        <v>60000.000010000003</v>
      </c>
      <c r="AM67" s="53">
        <f t="shared" ca="1" si="35"/>
        <v>60000.000010000003</v>
      </c>
      <c r="AN67" s="53">
        <f t="shared" ca="1" si="35"/>
        <v>60000.000010000003</v>
      </c>
      <c r="AO67" s="420">
        <f ca="1">SUM(AO63:AO66)</f>
        <v>60000.000010000003</v>
      </c>
      <c r="AP67" s="20">
        <f t="shared" si="4"/>
        <v>61</v>
      </c>
    </row>
    <row r="68" spans="1:42">
      <c r="A68" s="13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416"/>
      <c r="AP68" s="20">
        <f t="shared" si="4"/>
        <v>62</v>
      </c>
    </row>
    <row r="69" spans="1:42">
      <c r="A69" s="535" t="s">
        <v>199</v>
      </c>
      <c r="B69" s="272"/>
      <c r="C69" s="272"/>
      <c r="D69" s="441">
        <f ca="1">AO51</f>
        <v>7955.1089695050259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416"/>
      <c r="AP69" s="20">
        <f t="shared" si="4"/>
        <v>63</v>
      </c>
    </row>
    <row r="70" spans="1:42">
      <c r="A70" s="538" t="s">
        <v>594</v>
      </c>
      <c r="B70" s="444"/>
      <c r="C70" s="444"/>
      <c r="D70" s="539">
        <f ca="1">AO53</f>
        <v>475.77727694755021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416"/>
      <c r="AP70" s="20">
        <f t="shared" si="4"/>
        <v>64</v>
      </c>
    </row>
    <row r="71" spans="1:42" s="8" customFormat="1">
      <c r="A71" s="139"/>
      <c r="AO71" s="416"/>
      <c r="AP71" s="20">
        <f t="shared" si="4"/>
        <v>65</v>
      </c>
    </row>
    <row r="72" spans="1:42" s="8" customFormat="1">
      <c r="A72" s="405" t="s">
        <v>728</v>
      </c>
      <c r="B72" s="19"/>
      <c r="C72" s="19"/>
      <c r="D72" s="19"/>
      <c r="E72" s="280">
        <f ca="1">IF(E$7&lt;Fin_Close,SUM($E27:E27),D72)</f>
        <v>0</v>
      </c>
      <c r="F72" s="280">
        <f ca="1">IF(F$7&lt;Fin_Close,SUM($E27:F27),E72)</f>
        <v>0</v>
      </c>
      <c r="G72" s="280">
        <f ca="1">IF(G$7&lt;Fin_Close,SUM($E27:G27),F72)</f>
        <v>0</v>
      </c>
      <c r="H72" s="280">
        <f ca="1">IF(H$7&lt;Fin_Close,SUM($E27:H27),G72)</f>
        <v>0</v>
      </c>
      <c r="I72" s="280">
        <f ca="1">IF(I$7&lt;Fin_Close,SUM($E27:I27),H72)</f>
        <v>0</v>
      </c>
      <c r="J72" s="280">
        <f ca="1">IF(J$7&lt;Fin_Close,SUM($E27:J27),I72)</f>
        <v>0</v>
      </c>
      <c r="K72" s="280">
        <f ca="1">IF(K$7&lt;Fin_Close,SUM($E27:K27),J72)</f>
        <v>0</v>
      </c>
      <c r="L72" s="280">
        <f ca="1">IF(L$7&lt;Fin_Close,SUM($E27:L27),K72)</f>
        <v>0</v>
      </c>
      <c r="M72" s="280">
        <f ca="1">IF(M$7&lt;Fin_Close,SUM($E27:M27),L72)</f>
        <v>0</v>
      </c>
      <c r="N72" s="280">
        <f ca="1">IF(N$7&lt;Fin_Close,SUM($E27:N27),M72)</f>
        <v>0</v>
      </c>
      <c r="O72" s="280">
        <f ca="1">IF(O$7&lt;Fin_Close,SUM($E27:O27),N72)</f>
        <v>0</v>
      </c>
      <c r="P72" s="280">
        <f ca="1">IF(P$7&lt;Fin_Close,SUM($E27:P27),O72)</f>
        <v>0</v>
      </c>
      <c r="Q72" s="280">
        <f ca="1">IF(Q$7&lt;Fin_Close,SUM($E27:Q27),P72)</f>
        <v>0</v>
      </c>
      <c r="R72" s="280">
        <f ca="1">IF(R$7&lt;Fin_Close,SUM($E27:R27),Q72)</f>
        <v>0</v>
      </c>
      <c r="S72" s="280">
        <f ca="1">IF(S$7&lt;Fin_Close,SUM($E27:S27),R72)</f>
        <v>0</v>
      </c>
      <c r="T72" s="280">
        <f ca="1">IF(T$7&lt;Fin_Close,SUM($E27:T27),S72)</f>
        <v>19943.380359999999</v>
      </c>
      <c r="U72" s="280">
        <f ca="1">IF(U$7&lt;Fin_Close,SUM($E27:U27),T72)</f>
        <v>25389.084360000001</v>
      </c>
      <c r="V72" s="280">
        <f ca="1">IF(V$7&lt;Fin_Close,SUM($E27:V27),U72)</f>
        <v>25389.084360000001</v>
      </c>
      <c r="W72" s="280">
        <f ca="1">IF(W$7&lt;Fin_Close,SUM($E27:W27),V72)</f>
        <v>30517.084360000001</v>
      </c>
      <c r="X72" s="280">
        <f ca="1">IF(X$7&lt;Fin_Close,SUM($E27:X27),W72)</f>
        <v>39117.084360000001</v>
      </c>
      <c r="Y72" s="280">
        <f ca="1">IF(Y$7&lt;Fin_Close,SUM($E27:Y27),X72)</f>
        <v>43754.295409496022</v>
      </c>
      <c r="Z72" s="280">
        <f ca="1">IF(Z$7&lt;Fin_Close,SUM($E27:Z27),Y72)</f>
        <v>48391.506458992044</v>
      </c>
      <c r="AA72" s="280">
        <f ca="1">IF(AA$7&lt;Fin_Close,SUM($E27:AA27),Z72)</f>
        <v>53028.717508488066</v>
      </c>
      <c r="AB72" s="280">
        <f ca="1">IF(AB$7&lt;Fin_Close,SUM($E27:AB27),AA72)</f>
        <v>57665.928557984087</v>
      </c>
      <c r="AC72" s="280">
        <f ca="1">IF(AC$7&lt;Fin_Close,SUM($E27:AC27),AB72)</f>
        <v>62303.139607480109</v>
      </c>
      <c r="AD72" s="280">
        <f ca="1">IF(AD$7&lt;Fin_Close,SUM($E27:AD27),AC72)</f>
        <v>66940.350656976138</v>
      </c>
      <c r="AE72" s="280">
        <f ca="1">IF(AE$7&lt;Fin_Close,SUM($E27:AE27),AD72)</f>
        <v>51577.561706472159</v>
      </c>
      <c r="AF72" s="280">
        <f ca="1">IF(AF$7&lt;Fin_Close,SUM($E27:AF27),AE72)</f>
        <v>61850.668539434846</v>
      </c>
      <c r="AG72" s="280">
        <f ca="1">IF(AG$7&lt;Fin_Close,SUM($E27:AG27),AF72)</f>
        <v>66487.879588930868</v>
      </c>
      <c r="AH72" s="280">
        <f ca="1">IF(AH$7&lt;Fin_Close,SUM($E27:AH27),AG72)</f>
        <v>66487.879588930868</v>
      </c>
      <c r="AI72" s="280">
        <f ca="1">IF(AI$7&lt;Fin_Close,SUM($E27:AI27),AH72)</f>
        <v>66487.879588930868</v>
      </c>
      <c r="AJ72" s="280">
        <f ca="1">IF(AJ$7&lt;Fin_Close,SUM($E27:AJ27),AI72)</f>
        <v>66487.879588930868</v>
      </c>
      <c r="AK72" s="280">
        <f ca="1">IF(AK$7&lt;Fin_Close,SUM($E27:AK27),AJ72)</f>
        <v>66487.879588930868</v>
      </c>
      <c r="AL72" s="280">
        <f ca="1">IF(AL$7&lt;Fin_Close,SUM($E27:AL27),AK72)</f>
        <v>66487.879588930868</v>
      </c>
      <c r="AM72" s="280">
        <f ca="1">IF(AM$7&lt;Fin_Close,SUM($E27:AM27),AL72)</f>
        <v>66487.879588930868</v>
      </c>
      <c r="AN72" s="280">
        <f ca="1">IF(AN$7&lt;Fin_Close,SUM($E27:AN27),AM72)</f>
        <v>66487.879588930868</v>
      </c>
      <c r="AO72" s="416"/>
      <c r="AP72" s="20">
        <f t="shared" si="4"/>
        <v>66</v>
      </c>
    </row>
    <row r="73" spans="1:42">
      <c r="A73" s="405" t="s">
        <v>729</v>
      </c>
      <c r="B73" s="19"/>
      <c r="C73" s="19"/>
      <c r="D73" s="19"/>
      <c r="E73" s="280">
        <f ca="1">IF(E$7&lt;Fin_Close,SUM($E28:E28),D73)</f>
        <v>0</v>
      </c>
      <c r="F73" s="280">
        <f ca="1">IF(F$7&lt;Fin_Close,SUM($E28:F28),E73)</f>
        <v>0</v>
      </c>
      <c r="G73" s="280">
        <f ca="1">IF(G$7&lt;Fin_Close,SUM($E28:G28),F73)</f>
        <v>0</v>
      </c>
      <c r="H73" s="280">
        <f ca="1">IF(H$7&lt;Fin_Close,SUM($E28:H28),G73)</f>
        <v>0</v>
      </c>
      <c r="I73" s="280">
        <f ca="1">IF(I$7&lt;Fin_Close,SUM($E28:I28),H73)</f>
        <v>0</v>
      </c>
      <c r="J73" s="280">
        <f ca="1">IF(J$7&lt;Fin_Close,SUM($E28:J28),I73)</f>
        <v>0</v>
      </c>
      <c r="K73" s="280">
        <f ca="1">IF(K$7&lt;Fin_Close,SUM($E28:K28),J73)</f>
        <v>0</v>
      </c>
      <c r="L73" s="280">
        <f ca="1">IF(L$7&lt;Fin_Close,SUM($E28:L28),K73)</f>
        <v>0</v>
      </c>
      <c r="M73" s="280">
        <f ca="1">IF(M$7&lt;Fin_Close,SUM($E28:M28),L73)</f>
        <v>0</v>
      </c>
      <c r="N73" s="280">
        <f ca="1">IF(N$7&lt;Fin_Close,SUM($E28:N28),M73)</f>
        <v>0</v>
      </c>
      <c r="O73" s="280">
        <f ca="1">IF(O$7&lt;Fin_Close,SUM($E28:O28),N73)</f>
        <v>0</v>
      </c>
      <c r="P73" s="280">
        <f ca="1">IF(P$7&lt;Fin_Close,SUM($E28:P28),O73)</f>
        <v>0</v>
      </c>
      <c r="Q73" s="280">
        <f ca="1">IF(Q$7&lt;Fin_Close,SUM($E28:Q28),P73)</f>
        <v>0</v>
      </c>
      <c r="R73" s="280">
        <f ca="1">IF(R$7&lt;Fin_Close,SUM($E28:R28),Q73)</f>
        <v>0</v>
      </c>
      <c r="S73" s="280">
        <f ca="1">IF(S$7&lt;Fin_Close,SUM($E28:S28),R73)</f>
        <v>0</v>
      </c>
      <c r="T73" s="280">
        <f ca="1">IF(T$7&lt;Fin_Close,SUM($E28:T28),S73)</f>
        <v>49.858450900000001</v>
      </c>
      <c r="U73" s="280">
        <f ca="1">IF(U$7&lt;Fin_Close,SUM($E28:U28),T73)</f>
        <v>163.47451813371427</v>
      </c>
      <c r="V73" s="280">
        <f ca="1">IF(V$7&lt;Fin_Close,SUM($E28:V28),U73)</f>
        <v>291.35408003733545</v>
      </c>
      <c r="W73" s="280">
        <f ca="1">IF(W$7&lt;Fin_Close,SUM($E28:W28),V73)</f>
        <v>432.78438229469162</v>
      </c>
      <c r="X73" s="280">
        <f ca="1">IF(X$7&lt;Fin_Close,SUM($E28:X28),W73)</f>
        <v>609.34285770780411</v>
      </c>
      <c r="Y73" s="280">
        <f ca="1">IF(Y$7&lt;Fin_Close,SUM($E28:Y28),X73)</f>
        <v>820.00326631844587</v>
      </c>
      <c r="Z73" s="280">
        <f ca="1">IF(Z$7&lt;Fin_Close,SUM($E28:Z28),Y73)</f>
        <v>1055.053503940057</v>
      </c>
      <c r="AA73" s="280">
        <f ca="1">IF(AA$7&lt;Fin_Close,SUM($E28:AA28),Z73)</f>
        <v>1314.632941024129</v>
      </c>
      <c r="AB73" s="280">
        <f ca="1">IF(AB$7&lt;Fin_Close,SUM($E28:AB28),AA73)</f>
        <v>1598.8817444247329</v>
      </c>
      <c r="AC73" s="280">
        <f ca="1">IF(AC$7&lt;Fin_Close,SUM($E28:AC28),AB73)</f>
        <v>1907.9408819493917</v>
      </c>
      <c r="AD73" s="280">
        <f ca="1">IF(AD$7&lt;Fin_Close,SUM($E28:AD28),AC73)</f>
        <v>2241.9521269359575</v>
      </c>
      <c r="AE73" s="280">
        <f ca="1">IF(AE$7&lt;Fin_Close,SUM($E28:AE28),AD73)</f>
        <v>2551.0580628556409</v>
      </c>
      <c r="AF73" s="280">
        <f ca="1">IF(AF$7&lt;Fin_Close,SUM($E28:AF28),AE73)</f>
        <v>2849.2061131152977</v>
      </c>
      <c r="AG73" s="280">
        <f ca="1">IF(AG$7&lt;Fin_Close,SUM($E28:AG28),AF73)</f>
        <v>3186.333661225442</v>
      </c>
      <c r="AH73" s="280">
        <f ca="1">IF(AH$7&lt;Fin_Close,SUM($E28:AH28),AG73)</f>
        <v>3186.333661225442</v>
      </c>
      <c r="AI73" s="280">
        <f ca="1">IF(AI$7&lt;Fin_Close,SUM($E28:AI28),AH73)</f>
        <v>3186.333661225442</v>
      </c>
      <c r="AJ73" s="280">
        <f ca="1">IF(AJ$7&lt;Fin_Close,SUM($E28:AJ28),AI73)</f>
        <v>3186.333661225442</v>
      </c>
      <c r="AK73" s="280">
        <f ca="1">IF(AK$7&lt;Fin_Close,SUM($E28:AK28),AJ73)</f>
        <v>3186.333661225442</v>
      </c>
      <c r="AL73" s="280">
        <f ca="1">IF(AL$7&lt;Fin_Close,SUM($E28:AL28),AK73)</f>
        <v>3186.333661225442</v>
      </c>
      <c r="AM73" s="280">
        <f ca="1">IF(AM$7&lt;Fin_Close,SUM($E28:AM28),AL73)</f>
        <v>3186.333661225442</v>
      </c>
      <c r="AN73" s="280">
        <f ca="1">IF(AN$7&lt;Fin_Close,SUM($E28:AN28),AM73)</f>
        <v>3186.333661225442</v>
      </c>
      <c r="AO73" s="416"/>
      <c r="AP73" s="20">
        <f t="shared" si="4"/>
        <v>67</v>
      </c>
    </row>
    <row r="74" spans="1:42">
      <c r="A74" s="405" t="s">
        <v>730</v>
      </c>
      <c r="B74" s="19"/>
      <c r="C74" s="19"/>
      <c r="D74" s="19"/>
      <c r="E74" s="759">
        <f ca="1">IF(E$7&lt;Fin_Close,SUM($E29:E29),D74)</f>
        <v>0</v>
      </c>
      <c r="F74" s="759">
        <f ca="1">IF(F$7&lt;Fin_Close,SUM($E29:F29),E74)</f>
        <v>0</v>
      </c>
      <c r="G74" s="759">
        <f ca="1">IF(G$7&lt;Fin_Close,SUM($E29:G29),F74)</f>
        <v>0</v>
      </c>
      <c r="H74" s="759">
        <f ca="1">IF(H$7&lt;Fin_Close,SUM($E29:H29),G74)</f>
        <v>0</v>
      </c>
      <c r="I74" s="759">
        <f ca="1">IF(I$7&lt;Fin_Close,SUM($E29:I29),H74)</f>
        <v>0</v>
      </c>
      <c r="J74" s="759">
        <f ca="1">IF(J$7&lt;Fin_Close,SUM($E29:J29),I74)</f>
        <v>0</v>
      </c>
      <c r="K74" s="759">
        <f ca="1">IF(K$7&lt;Fin_Close,SUM($E29:K29),J74)</f>
        <v>0</v>
      </c>
      <c r="L74" s="759">
        <f ca="1">IF(L$7&lt;Fin_Close,SUM($E29:L29),K74)</f>
        <v>0</v>
      </c>
      <c r="M74" s="759">
        <f ca="1">IF(M$7&lt;Fin_Close,SUM($E29:M29),L74)</f>
        <v>0</v>
      </c>
      <c r="N74" s="759">
        <f ca="1">IF(N$7&lt;Fin_Close,SUM($E29:N29),M74)</f>
        <v>0</v>
      </c>
      <c r="O74" s="759">
        <f ca="1">IF(O$7&lt;Fin_Close,SUM($E29:O29),N74)</f>
        <v>0</v>
      </c>
      <c r="P74" s="759">
        <f ca="1">IF(P$7&lt;Fin_Close,SUM($E29:P29),O74)</f>
        <v>0</v>
      </c>
      <c r="Q74" s="759">
        <f ca="1">IF(Q$7&lt;Fin_Close,SUM($E29:Q29),P74)</f>
        <v>0</v>
      </c>
      <c r="R74" s="759">
        <f ca="1">IF(R$7&lt;Fin_Close,SUM($E29:R29),Q74)</f>
        <v>0</v>
      </c>
      <c r="S74" s="759">
        <f ca="1">IF(S$7&lt;Fin_Close,SUM($E29:S29),R74)</f>
        <v>0</v>
      </c>
      <c r="T74" s="759">
        <f ca="1">IF(T$7&lt;Fin_Close,SUM($E29:T29),S74)</f>
        <v>7.122635842857143</v>
      </c>
      <c r="U74" s="759">
        <f ca="1">IF(U$7&lt;Fin_Close,SUM($E29:U29),T74)</f>
        <v>23.353502590530606</v>
      </c>
      <c r="V74" s="759">
        <f ca="1">IF(V$7&lt;Fin_Close,SUM($E29:V29),U74)</f>
        <v>41.622011433905058</v>
      </c>
      <c r="W74" s="759">
        <f ca="1">IF(W$7&lt;Fin_Close,SUM($E29:W29),V74)</f>
        <v>61.826340327813085</v>
      </c>
      <c r="X74" s="759">
        <f ca="1">IF(X$7&lt;Fin_Close,SUM($E29:X29),W74)</f>
        <v>87.048979672543439</v>
      </c>
      <c r="Y74" s="759">
        <f ca="1">IF(Y$7&lt;Fin_Close,SUM($E29:Y29),X74)</f>
        <v>117.14332375977797</v>
      </c>
      <c r="Z74" s="759">
        <f ca="1">IF(Z$7&lt;Fin_Close,SUM($E29:Z29),Y74)</f>
        <v>150.72192913429387</v>
      </c>
      <c r="AA74" s="759">
        <f ca="1">IF(AA$7&lt;Fin_Close,SUM($E29:AA29),Z74)</f>
        <v>187.80470586058988</v>
      </c>
      <c r="AB74" s="759">
        <f ca="1">IF(AB$7&lt;Fin_Close,SUM($E29:AB29),AA74)</f>
        <v>228.41167777496184</v>
      </c>
      <c r="AC74" s="759">
        <f ca="1">IF(AC$7&lt;Fin_Close,SUM($E29:AC29),AB74)</f>
        <v>272.56298313562741</v>
      </c>
      <c r="AD74" s="759">
        <f ca="1">IF(AD$7&lt;Fin_Close,SUM($E29:AD29),AC74)</f>
        <v>320.27887527656537</v>
      </c>
      <c r="AE74" s="759">
        <f ca="1">IF(AE$7&lt;Fin_Close,SUM($E29:AE29),AD74)</f>
        <v>364.43686612223439</v>
      </c>
      <c r="AF74" s="759">
        <f ca="1">IF(AF$7&lt;Fin_Close,SUM($E29:AF29),AE74)</f>
        <v>407.02944473075678</v>
      </c>
      <c r="AG74" s="759">
        <f ca="1">IF(AG$7&lt;Fin_Close,SUM($E29:AG29),AF74)</f>
        <v>455.19052303220599</v>
      </c>
      <c r="AH74" s="759">
        <f ca="1">IF(AH$7&lt;Fin_Close,SUM($E29:AH29),AG74)</f>
        <v>455.19052303220599</v>
      </c>
      <c r="AI74" s="759">
        <f ca="1">IF(AI$7&lt;Fin_Close,SUM($E29:AI29),AH74)</f>
        <v>455.19052303220599</v>
      </c>
      <c r="AJ74" s="759">
        <f ca="1">IF(AJ$7&lt;Fin_Close,SUM($E29:AJ29),AI74)</f>
        <v>455.19052303220599</v>
      </c>
      <c r="AK74" s="759">
        <f ca="1">IF(AK$7&lt;Fin_Close,SUM($E29:AK29),AJ74)</f>
        <v>455.19052303220599</v>
      </c>
      <c r="AL74" s="759">
        <f ca="1">IF(AL$7&lt;Fin_Close,SUM($E29:AL29),AK74)</f>
        <v>455.19052303220599</v>
      </c>
      <c r="AM74" s="759">
        <f ca="1">IF(AM$7&lt;Fin_Close,SUM($E29:AM29),AL74)</f>
        <v>455.19052303220599</v>
      </c>
      <c r="AN74" s="759">
        <f ca="1">IF(AN$7&lt;Fin_Close,SUM($E29:AN29),AM74)</f>
        <v>455.19052303220599</v>
      </c>
      <c r="AO74" s="416"/>
      <c r="AP74" s="20">
        <f t="shared" si="4"/>
        <v>68</v>
      </c>
    </row>
    <row r="75" spans="1:42">
      <c r="A75" s="405" t="s">
        <v>731</v>
      </c>
      <c r="B75" s="19"/>
      <c r="C75" s="19"/>
      <c r="D75" s="19"/>
      <c r="E75" s="280">
        <f ca="1">SUM(E72:E74)</f>
        <v>0</v>
      </c>
      <c r="F75" s="280">
        <f t="shared" ref="F75:AN75" ca="1" si="36">SUM(F72:F74)</f>
        <v>0</v>
      </c>
      <c r="G75" s="280">
        <f t="shared" ca="1" si="36"/>
        <v>0</v>
      </c>
      <c r="H75" s="280">
        <f t="shared" ca="1" si="36"/>
        <v>0</v>
      </c>
      <c r="I75" s="280">
        <f t="shared" ca="1" si="36"/>
        <v>0</v>
      </c>
      <c r="J75" s="280">
        <f t="shared" ca="1" si="36"/>
        <v>0</v>
      </c>
      <c r="K75" s="280">
        <f t="shared" ca="1" si="36"/>
        <v>0</v>
      </c>
      <c r="L75" s="280">
        <f t="shared" ca="1" si="36"/>
        <v>0</v>
      </c>
      <c r="M75" s="280">
        <f t="shared" ca="1" si="36"/>
        <v>0</v>
      </c>
      <c r="N75" s="280">
        <f t="shared" ca="1" si="36"/>
        <v>0</v>
      </c>
      <c r="O75" s="280">
        <f t="shared" ca="1" si="36"/>
        <v>0</v>
      </c>
      <c r="P75" s="280">
        <f t="shared" ca="1" si="36"/>
        <v>0</v>
      </c>
      <c r="Q75" s="280">
        <f t="shared" ca="1" si="36"/>
        <v>0</v>
      </c>
      <c r="R75" s="280">
        <f t="shared" ca="1" si="36"/>
        <v>0</v>
      </c>
      <c r="S75" s="280">
        <f t="shared" ca="1" si="36"/>
        <v>0</v>
      </c>
      <c r="T75" s="280">
        <f t="shared" ca="1" si="36"/>
        <v>20000.361446742856</v>
      </c>
      <c r="U75" s="280">
        <f t="shared" ca="1" si="36"/>
        <v>25575.912380724243</v>
      </c>
      <c r="V75" s="280">
        <f t="shared" ca="1" si="36"/>
        <v>25722.06045147124</v>
      </c>
      <c r="W75" s="280">
        <f t="shared" ca="1" si="36"/>
        <v>31011.695082622507</v>
      </c>
      <c r="X75" s="280">
        <f t="shared" ca="1" si="36"/>
        <v>39813.476197380347</v>
      </c>
      <c r="Y75" s="280">
        <f t="shared" ca="1" si="36"/>
        <v>44691.44199957425</v>
      </c>
      <c r="Z75" s="280">
        <f t="shared" ca="1" si="36"/>
        <v>49597.281892066392</v>
      </c>
      <c r="AA75" s="280">
        <f t="shared" ca="1" si="36"/>
        <v>54531.155155372784</v>
      </c>
      <c r="AB75" s="280">
        <f t="shared" ca="1" si="36"/>
        <v>59493.221980183778</v>
      </c>
      <c r="AC75" s="280">
        <f t="shared" ca="1" si="36"/>
        <v>64483.643472565127</v>
      </c>
      <c r="AD75" s="280">
        <f t="shared" ca="1" si="36"/>
        <v>69502.581659188654</v>
      </c>
      <c r="AE75" s="280">
        <f t="shared" ca="1" si="36"/>
        <v>54493.056635450033</v>
      </c>
      <c r="AF75" s="280">
        <f t="shared" ca="1" si="36"/>
        <v>65106.904097280894</v>
      </c>
      <c r="AG75" s="280">
        <f t="shared" ca="1" si="36"/>
        <v>70129.403773188504</v>
      </c>
      <c r="AH75" s="280">
        <f t="shared" ca="1" si="36"/>
        <v>70129.403773188504</v>
      </c>
      <c r="AI75" s="280">
        <f t="shared" ca="1" si="36"/>
        <v>70129.403773188504</v>
      </c>
      <c r="AJ75" s="280">
        <f t="shared" ca="1" si="36"/>
        <v>70129.403773188504</v>
      </c>
      <c r="AK75" s="280">
        <f t="shared" ca="1" si="36"/>
        <v>70129.403773188504</v>
      </c>
      <c r="AL75" s="280">
        <f t="shared" ca="1" si="36"/>
        <v>70129.403773188504</v>
      </c>
      <c r="AM75" s="280">
        <f t="shared" ca="1" si="36"/>
        <v>70129.403773188504</v>
      </c>
      <c r="AN75" s="280">
        <f t="shared" ca="1" si="36"/>
        <v>70129.403773188504</v>
      </c>
      <c r="AO75" s="416"/>
      <c r="AP75" s="20">
        <f t="shared" si="4"/>
        <v>69</v>
      </c>
    </row>
    <row r="76" spans="1:42">
      <c r="A76" s="139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416"/>
    </row>
    <row r="77" spans="1:42">
      <c r="A77" s="647" t="s">
        <v>374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417"/>
    </row>
    <row r="78" spans="1:42">
      <c r="A78" s="139" t="s">
        <v>375</v>
      </c>
      <c r="B78" s="8"/>
      <c r="C78" s="8"/>
      <c r="D78" s="8"/>
      <c r="E78" s="831">
        <v>0</v>
      </c>
      <c r="F78" s="53">
        <f t="shared" ref="F78:AN78" ca="1" si="37">E81</f>
        <v>0</v>
      </c>
      <c r="G78" s="53">
        <f t="shared" ca="1" si="37"/>
        <v>0</v>
      </c>
      <c r="H78" s="53">
        <f t="shared" ca="1" si="37"/>
        <v>0</v>
      </c>
      <c r="I78" s="53">
        <f t="shared" ca="1" si="37"/>
        <v>0</v>
      </c>
      <c r="J78" s="53">
        <f t="shared" ca="1" si="37"/>
        <v>0</v>
      </c>
      <c r="K78" s="53">
        <f t="shared" ca="1" si="37"/>
        <v>0</v>
      </c>
      <c r="L78" s="53">
        <f t="shared" ca="1" si="37"/>
        <v>0</v>
      </c>
      <c r="M78" s="53">
        <f t="shared" ca="1" si="37"/>
        <v>0</v>
      </c>
      <c r="N78" s="53">
        <f t="shared" ca="1" si="37"/>
        <v>0</v>
      </c>
      <c r="O78" s="53">
        <f t="shared" ca="1" si="37"/>
        <v>0</v>
      </c>
      <c r="P78" s="53">
        <f t="shared" ca="1" si="37"/>
        <v>0</v>
      </c>
      <c r="Q78" s="53">
        <f t="shared" ca="1" si="37"/>
        <v>0</v>
      </c>
      <c r="R78" s="53">
        <f t="shared" ca="1" si="37"/>
        <v>0</v>
      </c>
      <c r="S78" s="53">
        <f t="shared" ca="1" si="37"/>
        <v>0</v>
      </c>
      <c r="T78" s="53">
        <f t="shared" ca="1" si="37"/>
        <v>0</v>
      </c>
      <c r="U78" s="53">
        <f t="shared" ca="1" si="37"/>
        <v>0</v>
      </c>
      <c r="V78" s="53">
        <f t="shared" ca="1" si="37"/>
        <v>0</v>
      </c>
      <c r="W78" s="53">
        <f t="shared" ca="1" si="37"/>
        <v>0</v>
      </c>
      <c r="X78" s="53">
        <f t="shared" ca="1" si="37"/>
        <v>0</v>
      </c>
      <c r="Y78" s="53">
        <f t="shared" ca="1" si="37"/>
        <v>0</v>
      </c>
      <c r="Z78" s="53">
        <f t="shared" ca="1" si="37"/>
        <v>0</v>
      </c>
      <c r="AA78" s="53">
        <f t="shared" ca="1" si="37"/>
        <v>0</v>
      </c>
      <c r="AB78" s="53">
        <f t="shared" ca="1" si="37"/>
        <v>0</v>
      </c>
      <c r="AC78" s="53">
        <f t="shared" ca="1" si="37"/>
        <v>0</v>
      </c>
      <c r="AD78" s="53">
        <f t="shared" ca="1" si="37"/>
        <v>0</v>
      </c>
      <c r="AE78" s="53">
        <f t="shared" ca="1" si="37"/>
        <v>0</v>
      </c>
      <c r="AF78" s="53">
        <f t="shared" ca="1" si="37"/>
        <v>0</v>
      </c>
      <c r="AG78" s="53">
        <f t="shared" ca="1" si="37"/>
        <v>0</v>
      </c>
      <c r="AH78" s="53">
        <f t="shared" ca="1" si="37"/>
        <v>0</v>
      </c>
      <c r="AI78" s="53">
        <f t="shared" ca="1" si="37"/>
        <v>18829.563805723403</v>
      </c>
      <c r="AJ78" s="53">
        <f t="shared" ca="1" si="37"/>
        <v>13591.793141844431</v>
      </c>
      <c r="AK78" s="53">
        <f t="shared" ca="1" si="37"/>
        <v>8307.6784699680247</v>
      </c>
      <c r="AL78" s="53">
        <f t="shared" ca="1" si="37"/>
        <v>1711.9580607819917</v>
      </c>
      <c r="AM78" s="53">
        <f t="shared" ca="1" si="37"/>
        <v>859.74921964552118</v>
      </c>
      <c r="AN78" s="53">
        <f t="shared" ca="1" si="37"/>
        <v>2.5806912162806839E-11</v>
      </c>
      <c r="AO78" s="420">
        <f>E78</f>
        <v>0</v>
      </c>
    </row>
    <row r="79" spans="1:42">
      <c r="A79" s="139" t="s">
        <v>376</v>
      </c>
      <c r="B79" s="8"/>
      <c r="C79" s="8"/>
      <c r="D79" s="8"/>
      <c r="E79" s="53">
        <f t="shared" ref="E79:AN79" ca="1" si="38">IF(E$7=Fin_Close,Debt,0)</f>
        <v>0</v>
      </c>
      <c r="F79" s="53">
        <f t="shared" ca="1" si="38"/>
        <v>0</v>
      </c>
      <c r="G79" s="53">
        <f t="shared" ca="1" si="38"/>
        <v>0</v>
      </c>
      <c r="H79" s="53">
        <f t="shared" ca="1" si="38"/>
        <v>0</v>
      </c>
      <c r="I79" s="53">
        <f t="shared" ca="1" si="38"/>
        <v>0</v>
      </c>
      <c r="J79" s="53">
        <f t="shared" ca="1" si="38"/>
        <v>0</v>
      </c>
      <c r="K79" s="53">
        <f t="shared" ca="1" si="38"/>
        <v>0</v>
      </c>
      <c r="L79" s="53">
        <f t="shared" ca="1" si="38"/>
        <v>0</v>
      </c>
      <c r="M79" s="53">
        <f t="shared" ca="1" si="38"/>
        <v>0</v>
      </c>
      <c r="N79" s="53">
        <f t="shared" ca="1" si="38"/>
        <v>0</v>
      </c>
      <c r="O79" s="53">
        <f t="shared" ca="1" si="38"/>
        <v>0</v>
      </c>
      <c r="P79" s="53">
        <f t="shared" ca="1" si="38"/>
        <v>0</v>
      </c>
      <c r="Q79" s="53">
        <f t="shared" ca="1" si="38"/>
        <v>0</v>
      </c>
      <c r="R79" s="53">
        <f t="shared" ca="1" si="38"/>
        <v>0</v>
      </c>
      <c r="S79" s="53">
        <f t="shared" ca="1" si="38"/>
        <v>0</v>
      </c>
      <c r="T79" s="53">
        <f t="shared" ca="1" si="38"/>
        <v>0</v>
      </c>
      <c r="U79" s="53">
        <f t="shared" ca="1" si="38"/>
        <v>0</v>
      </c>
      <c r="V79" s="53">
        <f t="shared" ca="1" si="38"/>
        <v>0</v>
      </c>
      <c r="W79" s="53">
        <f t="shared" ca="1" si="38"/>
        <v>0</v>
      </c>
      <c r="X79" s="53">
        <f t="shared" ca="1" si="38"/>
        <v>0</v>
      </c>
      <c r="Y79" s="53">
        <f t="shared" ca="1" si="38"/>
        <v>0</v>
      </c>
      <c r="Z79" s="53">
        <f t="shared" ca="1" si="38"/>
        <v>0</v>
      </c>
      <c r="AA79" s="53">
        <f t="shared" ca="1" si="38"/>
        <v>0</v>
      </c>
      <c r="AB79" s="53">
        <f t="shared" ca="1" si="38"/>
        <v>0</v>
      </c>
      <c r="AC79" s="53">
        <f t="shared" ca="1" si="38"/>
        <v>0</v>
      </c>
      <c r="AD79" s="53">
        <f t="shared" ca="1" si="38"/>
        <v>0</v>
      </c>
      <c r="AE79" s="53">
        <f t="shared" ca="1" si="38"/>
        <v>0</v>
      </c>
      <c r="AF79" s="53">
        <f t="shared" ca="1" si="38"/>
        <v>0</v>
      </c>
      <c r="AG79" s="53">
        <f t="shared" ca="1" si="38"/>
        <v>0</v>
      </c>
      <c r="AH79" s="53">
        <f t="shared" ca="1" si="38"/>
        <v>93710.455509278516</v>
      </c>
      <c r="AI79" s="53">
        <f t="shared" ca="1" si="38"/>
        <v>0</v>
      </c>
      <c r="AJ79" s="53">
        <f t="shared" ca="1" si="38"/>
        <v>0</v>
      </c>
      <c r="AK79" s="53">
        <f t="shared" ca="1" si="38"/>
        <v>0</v>
      </c>
      <c r="AL79" s="53">
        <f t="shared" ca="1" si="38"/>
        <v>0</v>
      </c>
      <c r="AM79" s="53">
        <f t="shared" ca="1" si="38"/>
        <v>0</v>
      </c>
      <c r="AN79" s="53">
        <f t="shared" ca="1" si="38"/>
        <v>0</v>
      </c>
      <c r="AO79" s="420">
        <f ca="1">SUM(E79:AN79)</f>
        <v>93710.455509278516</v>
      </c>
    </row>
    <row r="80" spans="1:42">
      <c r="A80" s="139" t="s">
        <v>377</v>
      </c>
      <c r="B80" s="8"/>
      <c r="C80" s="8"/>
      <c r="D80" s="8"/>
      <c r="E80" s="226">
        <f t="shared" ref="E80:AN80" ca="1" si="39">-SUM(E34:E37)</f>
        <v>0</v>
      </c>
      <c r="F80" s="226">
        <f t="shared" ca="1" si="39"/>
        <v>0</v>
      </c>
      <c r="G80" s="226">
        <f t="shared" ca="1" si="39"/>
        <v>0</v>
      </c>
      <c r="H80" s="226">
        <f t="shared" ca="1" si="39"/>
        <v>0</v>
      </c>
      <c r="I80" s="226">
        <f t="shared" ca="1" si="39"/>
        <v>0</v>
      </c>
      <c r="J80" s="226">
        <f t="shared" ca="1" si="39"/>
        <v>0</v>
      </c>
      <c r="K80" s="226">
        <f t="shared" ca="1" si="39"/>
        <v>0</v>
      </c>
      <c r="L80" s="226">
        <f t="shared" ca="1" si="39"/>
        <v>0</v>
      </c>
      <c r="M80" s="226">
        <f t="shared" ca="1" si="39"/>
        <v>0</v>
      </c>
      <c r="N80" s="226">
        <f t="shared" ca="1" si="39"/>
        <v>0</v>
      </c>
      <c r="O80" s="226">
        <f t="shared" ca="1" si="39"/>
        <v>0</v>
      </c>
      <c r="P80" s="226">
        <f t="shared" ca="1" si="39"/>
        <v>0</v>
      </c>
      <c r="Q80" s="226">
        <f t="shared" ca="1" si="39"/>
        <v>0</v>
      </c>
      <c r="R80" s="226">
        <f t="shared" ca="1" si="39"/>
        <v>0</v>
      </c>
      <c r="S80" s="226">
        <f t="shared" ca="1" si="39"/>
        <v>0</v>
      </c>
      <c r="T80" s="226">
        <f t="shared" ca="1" si="39"/>
        <v>0</v>
      </c>
      <c r="U80" s="226">
        <f t="shared" ca="1" si="39"/>
        <v>0</v>
      </c>
      <c r="V80" s="226">
        <f t="shared" ca="1" si="39"/>
        <v>0</v>
      </c>
      <c r="W80" s="226">
        <f t="shared" ca="1" si="39"/>
        <v>0</v>
      </c>
      <c r="X80" s="226">
        <f t="shared" ca="1" si="39"/>
        <v>0</v>
      </c>
      <c r="Y80" s="226">
        <f t="shared" ca="1" si="39"/>
        <v>0</v>
      </c>
      <c r="Z80" s="226">
        <f t="shared" ca="1" si="39"/>
        <v>0</v>
      </c>
      <c r="AA80" s="226">
        <f t="shared" ca="1" si="39"/>
        <v>0</v>
      </c>
      <c r="AB80" s="226">
        <f t="shared" ca="1" si="39"/>
        <v>0</v>
      </c>
      <c r="AC80" s="226">
        <f t="shared" ca="1" si="39"/>
        <v>0</v>
      </c>
      <c r="AD80" s="226">
        <f t="shared" ca="1" si="39"/>
        <v>0</v>
      </c>
      <c r="AE80" s="226">
        <f t="shared" ca="1" si="39"/>
        <v>0</v>
      </c>
      <c r="AF80" s="226">
        <f t="shared" ca="1" si="39"/>
        <v>0</v>
      </c>
      <c r="AG80" s="226">
        <f t="shared" ca="1" si="39"/>
        <v>0</v>
      </c>
      <c r="AH80" s="226">
        <f t="shared" ca="1" si="39"/>
        <v>-74880.891703555113</v>
      </c>
      <c r="AI80" s="226">
        <f t="shared" ca="1" si="39"/>
        <v>-5237.7706638789705</v>
      </c>
      <c r="AJ80" s="226">
        <f t="shared" ca="1" si="39"/>
        <v>-5284.1146718764057</v>
      </c>
      <c r="AK80" s="226">
        <f t="shared" ca="1" si="39"/>
        <v>-6595.7204091860331</v>
      </c>
      <c r="AL80" s="226">
        <f t="shared" ca="1" si="39"/>
        <v>-852.20884113647048</v>
      </c>
      <c r="AM80" s="226">
        <f t="shared" ca="1" si="39"/>
        <v>-859.74921964549537</v>
      </c>
      <c r="AN80" s="226">
        <f t="shared" ca="1" si="39"/>
        <v>-1.0472089193953502E-14</v>
      </c>
      <c r="AO80" s="421">
        <f ca="1">SUM(E80:AN80)</f>
        <v>-93710.455509278487</v>
      </c>
    </row>
    <row r="81" spans="1:41">
      <c r="A81" s="139" t="s">
        <v>378</v>
      </c>
      <c r="B81" s="8"/>
      <c r="C81" s="8"/>
      <c r="D81" s="8"/>
      <c r="E81" s="53">
        <f ca="1">SUM(E78:E80)</f>
        <v>0</v>
      </c>
      <c r="F81" s="53">
        <f t="shared" ref="F81:AN81" ca="1" si="40">SUM(F78:F80)</f>
        <v>0</v>
      </c>
      <c r="G81" s="53">
        <f t="shared" ca="1" si="40"/>
        <v>0</v>
      </c>
      <c r="H81" s="53">
        <f t="shared" ca="1" si="40"/>
        <v>0</v>
      </c>
      <c r="I81" s="53">
        <f t="shared" ca="1" si="40"/>
        <v>0</v>
      </c>
      <c r="J81" s="53">
        <f t="shared" ca="1" si="40"/>
        <v>0</v>
      </c>
      <c r="K81" s="53">
        <f t="shared" ca="1" si="40"/>
        <v>0</v>
      </c>
      <c r="L81" s="53">
        <f t="shared" ca="1" si="40"/>
        <v>0</v>
      </c>
      <c r="M81" s="53">
        <f t="shared" ca="1" si="40"/>
        <v>0</v>
      </c>
      <c r="N81" s="53">
        <f t="shared" ca="1" si="40"/>
        <v>0</v>
      </c>
      <c r="O81" s="53">
        <f t="shared" ca="1" si="40"/>
        <v>0</v>
      </c>
      <c r="P81" s="53">
        <f t="shared" ca="1" si="40"/>
        <v>0</v>
      </c>
      <c r="Q81" s="53">
        <f t="shared" ca="1" si="40"/>
        <v>0</v>
      </c>
      <c r="R81" s="53">
        <f t="shared" ca="1" si="40"/>
        <v>0</v>
      </c>
      <c r="S81" s="53">
        <f t="shared" ca="1" si="40"/>
        <v>0</v>
      </c>
      <c r="T81" s="53">
        <f t="shared" ca="1" si="40"/>
        <v>0</v>
      </c>
      <c r="U81" s="53">
        <f t="shared" ca="1" si="40"/>
        <v>0</v>
      </c>
      <c r="V81" s="53">
        <f t="shared" ca="1" si="40"/>
        <v>0</v>
      </c>
      <c r="W81" s="53">
        <f t="shared" ca="1" si="40"/>
        <v>0</v>
      </c>
      <c r="X81" s="53">
        <f t="shared" ca="1" si="40"/>
        <v>0</v>
      </c>
      <c r="Y81" s="53">
        <f t="shared" ca="1" si="40"/>
        <v>0</v>
      </c>
      <c r="Z81" s="53">
        <f t="shared" ca="1" si="40"/>
        <v>0</v>
      </c>
      <c r="AA81" s="53">
        <f t="shared" ca="1" si="40"/>
        <v>0</v>
      </c>
      <c r="AB81" s="53">
        <f t="shared" ca="1" si="40"/>
        <v>0</v>
      </c>
      <c r="AC81" s="53">
        <f t="shared" ca="1" si="40"/>
        <v>0</v>
      </c>
      <c r="AD81" s="53">
        <f t="shared" ca="1" si="40"/>
        <v>0</v>
      </c>
      <c r="AE81" s="53">
        <f t="shared" ca="1" si="40"/>
        <v>0</v>
      </c>
      <c r="AF81" s="53">
        <f t="shared" ca="1" si="40"/>
        <v>0</v>
      </c>
      <c r="AG81" s="53">
        <f t="shared" ca="1" si="40"/>
        <v>0</v>
      </c>
      <c r="AH81" s="53">
        <f t="shared" ca="1" si="40"/>
        <v>18829.563805723403</v>
      </c>
      <c r="AI81" s="53">
        <f t="shared" ca="1" si="40"/>
        <v>13591.793141844431</v>
      </c>
      <c r="AJ81" s="53">
        <f t="shared" ca="1" si="40"/>
        <v>8307.6784699680247</v>
      </c>
      <c r="AK81" s="53">
        <f t="shared" ca="1" si="40"/>
        <v>1711.9580607819917</v>
      </c>
      <c r="AL81" s="53">
        <f t="shared" ca="1" si="40"/>
        <v>859.74921964552118</v>
      </c>
      <c r="AM81" s="53">
        <f t="shared" ca="1" si="40"/>
        <v>2.5806912162806839E-11</v>
      </c>
      <c r="AN81" s="53">
        <f t="shared" ca="1" si="40"/>
        <v>2.5796440073612884E-11</v>
      </c>
      <c r="AO81" s="420">
        <f ca="1">SUM(AO78:AO80)</f>
        <v>0</v>
      </c>
    </row>
    <row r="82" spans="1:41">
      <c r="A82" s="139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416"/>
    </row>
    <row r="83" spans="1:41">
      <c r="A83" s="139" t="s">
        <v>73</v>
      </c>
      <c r="B83" s="8"/>
      <c r="C83" s="8"/>
      <c r="D83" s="15">
        <f ca="1">Assm!$X$75</f>
        <v>5.0000000000000001E-3</v>
      </c>
      <c r="E83" s="226">
        <f ca="1">E81*$D83/12</f>
        <v>0</v>
      </c>
      <c r="F83" s="226">
        <f t="shared" ref="F83:AN83" ca="1" si="41">F81*$D83/12</f>
        <v>0</v>
      </c>
      <c r="G83" s="226">
        <f t="shared" ca="1" si="41"/>
        <v>0</v>
      </c>
      <c r="H83" s="226">
        <f t="shared" ca="1" si="41"/>
        <v>0</v>
      </c>
      <c r="I83" s="226">
        <f t="shared" ca="1" si="41"/>
        <v>0</v>
      </c>
      <c r="J83" s="226">
        <f t="shared" ca="1" si="41"/>
        <v>0</v>
      </c>
      <c r="K83" s="226">
        <f t="shared" ca="1" si="41"/>
        <v>0</v>
      </c>
      <c r="L83" s="226">
        <f t="shared" ca="1" si="41"/>
        <v>0</v>
      </c>
      <c r="M83" s="226">
        <f t="shared" ca="1" si="41"/>
        <v>0</v>
      </c>
      <c r="N83" s="226">
        <f t="shared" ca="1" si="41"/>
        <v>0</v>
      </c>
      <c r="O83" s="226">
        <f t="shared" ca="1" si="41"/>
        <v>0</v>
      </c>
      <c r="P83" s="226">
        <f t="shared" ca="1" si="41"/>
        <v>0</v>
      </c>
      <c r="Q83" s="226">
        <f t="shared" ca="1" si="41"/>
        <v>0</v>
      </c>
      <c r="R83" s="226">
        <f t="shared" ca="1" si="41"/>
        <v>0</v>
      </c>
      <c r="S83" s="226">
        <f t="shared" ca="1" si="41"/>
        <v>0</v>
      </c>
      <c r="T83" s="226">
        <f t="shared" ca="1" si="41"/>
        <v>0</v>
      </c>
      <c r="U83" s="226">
        <f t="shared" ca="1" si="41"/>
        <v>0</v>
      </c>
      <c r="V83" s="226">
        <f t="shared" ca="1" si="41"/>
        <v>0</v>
      </c>
      <c r="W83" s="226">
        <f t="shared" ca="1" si="41"/>
        <v>0</v>
      </c>
      <c r="X83" s="226">
        <f t="shared" ca="1" si="41"/>
        <v>0</v>
      </c>
      <c r="Y83" s="226">
        <f t="shared" ca="1" si="41"/>
        <v>0</v>
      </c>
      <c r="Z83" s="226">
        <f t="shared" ca="1" si="41"/>
        <v>0</v>
      </c>
      <c r="AA83" s="226">
        <f t="shared" ca="1" si="41"/>
        <v>0</v>
      </c>
      <c r="AB83" s="226">
        <f t="shared" ca="1" si="41"/>
        <v>0</v>
      </c>
      <c r="AC83" s="226">
        <f t="shared" ca="1" si="41"/>
        <v>0</v>
      </c>
      <c r="AD83" s="226">
        <f t="shared" ca="1" si="41"/>
        <v>0</v>
      </c>
      <c r="AE83" s="226">
        <f t="shared" ca="1" si="41"/>
        <v>0</v>
      </c>
      <c r="AF83" s="226">
        <f t="shared" ca="1" si="41"/>
        <v>0</v>
      </c>
      <c r="AG83" s="226">
        <f t="shared" ca="1" si="41"/>
        <v>0</v>
      </c>
      <c r="AH83" s="226">
        <f t="shared" ca="1" si="41"/>
        <v>7.8456515857180849</v>
      </c>
      <c r="AI83" s="226">
        <f t="shared" ca="1" si="41"/>
        <v>5.6632471424351793</v>
      </c>
      <c r="AJ83" s="226">
        <f t="shared" ca="1" si="41"/>
        <v>3.4615326958200101</v>
      </c>
      <c r="AK83" s="226">
        <f t="shared" ca="1" si="41"/>
        <v>0.71331585865916314</v>
      </c>
      <c r="AL83" s="226">
        <f t="shared" ca="1" si="41"/>
        <v>0.35822884151896717</v>
      </c>
      <c r="AM83" s="226">
        <f t="shared" ca="1" si="41"/>
        <v>1.0752880067836183E-14</v>
      </c>
      <c r="AN83" s="226">
        <f t="shared" ca="1" si="41"/>
        <v>1.0748516697338702E-14</v>
      </c>
      <c r="AO83" s="421">
        <f ca="1">SUM(E83:AN83)</f>
        <v>18.041976124151429</v>
      </c>
    </row>
    <row r="84" spans="1:41">
      <c r="A84" s="139" t="s">
        <v>379</v>
      </c>
      <c r="B84" s="8"/>
      <c r="C84" s="8"/>
      <c r="D84" s="8"/>
      <c r="E84" s="53">
        <f t="shared" ref="E84:AN84" ca="1" si="42">SUM(E83:E83)</f>
        <v>0</v>
      </c>
      <c r="F84" s="53">
        <f t="shared" ca="1" si="42"/>
        <v>0</v>
      </c>
      <c r="G84" s="53">
        <f t="shared" ca="1" si="42"/>
        <v>0</v>
      </c>
      <c r="H84" s="53">
        <f t="shared" ca="1" si="42"/>
        <v>0</v>
      </c>
      <c r="I84" s="53">
        <f t="shared" ca="1" si="42"/>
        <v>0</v>
      </c>
      <c r="J84" s="53">
        <f t="shared" ca="1" si="42"/>
        <v>0</v>
      </c>
      <c r="K84" s="53">
        <f t="shared" ca="1" si="42"/>
        <v>0</v>
      </c>
      <c r="L84" s="53">
        <f t="shared" ca="1" si="42"/>
        <v>0</v>
      </c>
      <c r="M84" s="53">
        <f t="shared" ca="1" si="42"/>
        <v>0</v>
      </c>
      <c r="N84" s="53">
        <f t="shared" ca="1" si="42"/>
        <v>0</v>
      </c>
      <c r="O84" s="53">
        <f t="shared" ca="1" si="42"/>
        <v>0</v>
      </c>
      <c r="P84" s="53">
        <f t="shared" ca="1" si="42"/>
        <v>0</v>
      </c>
      <c r="Q84" s="53">
        <f t="shared" ca="1" si="42"/>
        <v>0</v>
      </c>
      <c r="R84" s="53">
        <f t="shared" ca="1" si="42"/>
        <v>0</v>
      </c>
      <c r="S84" s="53">
        <f t="shared" ca="1" si="42"/>
        <v>0</v>
      </c>
      <c r="T84" s="53">
        <f t="shared" ca="1" si="42"/>
        <v>0</v>
      </c>
      <c r="U84" s="53">
        <f t="shared" ca="1" si="42"/>
        <v>0</v>
      </c>
      <c r="V84" s="53">
        <f t="shared" ca="1" si="42"/>
        <v>0</v>
      </c>
      <c r="W84" s="53">
        <f t="shared" ca="1" si="42"/>
        <v>0</v>
      </c>
      <c r="X84" s="53">
        <f t="shared" ca="1" si="42"/>
        <v>0</v>
      </c>
      <c r="Y84" s="53">
        <f t="shared" ca="1" si="42"/>
        <v>0</v>
      </c>
      <c r="Z84" s="53">
        <f t="shared" ca="1" si="42"/>
        <v>0</v>
      </c>
      <c r="AA84" s="53">
        <f t="shared" ca="1" si="42"/>
        <v>0</v>
      </c>
      <c r="AB84" s="53">
        <f t="shared" ca="1" si="42"/>
        <v>0</v>
      </c>
      <c r="AC84" s="53">
        <f t="shared" ca="1" si="42"/>
        <v>0</v>
      </c>
      <c r="AD84" s="53">
        <f t="shared" ca="1" si="42"/>
        <v>0</v>
      </c>
      <c r="AE84" s="53">
        <f t="shared" ca="1" si="42"/>
        <v>0</v>
      </c>
      <c r="AF84" s="53">
        <f t="shared" ca="1" si="42"/>
        <v>0</v>
      </c>
      <c r="AG84" s="53">
        <f t="shared" ca="1" si="42"/>
        <v>0</v>
      </c>
      <c r="AH84" s="53">
        <f t="shared" ca="1" si="42"/>
        <v>7.8456515857180849</v>
      </c>
      <c r="AI84" s="53">
        <f t="shared" ca="1" si="42"/>
        <v>5.6632471424351793</v>
      </c>
      <c r="AJ84" s="53">
        <f t="shared" ca="1" si="42"/>
        <v>3.4615326958200101</v>
      </c>
      <c r="AK84" s="53">
        <f t="shared" ca="1" si="42"/>
        <v>0.71331585865916314</v>
      </c>
      <c r="AL84" s="53">
        <f t="shared" ca="1" si="42"/>
        <v>0.35822884151896717</v>
      </c>
      <c r="AM84" s="53">
        <f t="shared" ca="1" si="42"/>
        <v>1.0752880067836183E-14</v>
      </c>
      <c r="AN84" s="53">
        <f t="shared" ca="1" si="42"/>
        <v>1.0748516697338702E-14</v>
      </c>
      <c r="AO84" s="420">
        <f ca="1">SUM(E84:AN84)</f>
        <v>18.041976124151429</v>
      </c>
    </row>
    <row r="85" spans="1:41">
      <c r="A85" s="139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416"/>
    </row>
    <row r="86" spans="1:41" s="8" customFormat="1">
      <c r="A86" s="490" t="s">
        <v>221</v>
      </c>
      <c r="B86" s="939"/>
      <c r="C86" s="939"/>
      <c r="D86" s="940">
        <f ca="1">AO84</f>
        <v>18.041976124151429</v>
      </c>
      <c r="AO86" s="416"/>
    </row>
    <row r="87" spans="1:41" ht="13.5" thickBot="1">
      <c r="A87" s="540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429"/>
    </row>
    <row r="88" spans="1:41">
      <c r="B88" s="8"/>
    </row>
  </sheetData>
  <printOptions horizontalCentered="1"/>
  <pageMargins left="0.25" right="0.25" top="0.5" bottom="0.5" header="0.25" footer="0.25"/>
  <pageSetup scale="32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9"/>
  <sheetViews>
    <sheetView showGridLines="0" topLeftCell="A6" zoomScale="80" workbookViewId="0">
      <pane ySplit="2" topLeftCell="A8" activePane="bottomLeft" state="frozen"/>
      <selection activeCell="A6" sqref="A6"/>
      <selection pane="bottomLeft" activeCell="AC84" sqref="AC84"/>
    </sheetView>
  </sheetViews>
  <sheetFormatPr defaultRowHeight="12.75"/>
  <cols>
    <col min="1" max="2" width="7.7109375" style="5" customWidth="1"/>
    <col min="3" max="28" width="10.7109375" style="5" customWidth="1"/>
    <col min="29" max="29" width="12.28515625" style="5" customWidth="1"/>
    <col min="30" max="30" width="10" style="5" bestFit="1" customWidth="1"/>
    <col min="31" max="31" width="17.140625" style="1261" customWidth="1"/>
    <col min="32" max="42" width="10.7109375" style="5" customWidth="1"/>
    <col min="43" max="16384" width="9.140625" style="5"/>
  </cols>
  <sheetData>
    <row r="1" spans="1:40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  <c r="AB1" s="283"/>
      <c r="AC1" s="23"/>
      <c r="AE1" s="1258"/>
      <c r="AN1" s="23"/>
    </row>
    <row r="2" spans="1:40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  <c r="AB2" s="283"/>
      <c r="AC2" s="23"/>
      <c r="AE2" s="1258"/>
      <c r="AN2" s="23"/>
    </row>
    <row r="3" spans="1:40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  <c r="AB3" s="283"/>
      <c r="AC3" s="23"/>
      <c r="AE3" s="1258"/>
      <c r="AN3" s="23"/>
    </row>
    <row r="4" spans="1:40" s="240" customFormat="1" ht="15.75">
      <c r="A4" s="820" t="s">
        <v>906</v>
      </c>
      <c r="B4" s="820"/>
      <c r="C4" s="881"/>
      <c r="D4" s="882"/>
      <c r="E4" s="288"/>
      <c r="F4" s="292"/>
      <c r="G4" s="288"/>
      <c r="H4" s="289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  <c r="AB4" s="283"/>
      <c r="AC4" s="23"/>
      <c r="AE4" s="1258"/>
      <c r="AN4" s="23"/>
    </row>
    <row r="5" spans="1:40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1258"/>
      <c r="AN5" s="23"/>
    </row>
    <row r="6" spans="1:40" s="8" customFormat="1">
      <c r="A6" s="411" t="s">
        <v>150</v>
      </c>
      <c r="B6" s="73"/>
      <c r="C6" s="73"/>
      <c r="D6" s="73"/>
      <c r="E6" s="412">
        <f>CF!E6</f>
        <v>1</v>
      </c>
      <c r="F6" s="412">
        <f>CF!F6</f>
        <v>2</v>
      </c>
      <c r="G6" s="412">
        <f>CF!G6</f>
        <v>3</v>
      </c>
      <c r="H6" s="412">
        <f>CF!H6</f>
        <v>4</v>
      </c>
      <c r="I6" s="412">
        <f>CF!I6</f>
        <v>5</v>
      </c>
      <c r="J6" s="412">
        <f>CF!J6</f>
        <v>6</v>
      </c>
      <c r="K6" s="412">
        <f>CF!K6</f>
        <v>7</v>
      </c>
      <c r="L6" s="412">
        <f>CF!L6</f>
        <v>8</v>
      </c>
      <c r="M6" s="412">
        <f>CF!M6</f>
        <v>9</v>
      </c>
      <c r="N6" s="412">
        <f>CF!N6</f>
        <v>10</v>
      </c>
      <c r="O6" s="412">
        <f>CF!O6</f>
        <v>11</v>
      </c>
      <c r="P6" s="412">
        <f>CF!P6</f>
        <v>12</v>
      </c>
      <c r="Q6" s="412">
        <f>CF!Q6</f>
        <v>13</v>
      </c>
      <c r="R6" s="412">
        <f>CF!R6</f>
        <v>14</v>
      </c>
      <c r="S6" s="412">
        <f>CF!S6</f>
        <v>15</v>
      </c>
      <c r="T6" s="412">
        <f>CF!T6</f>
        <v>16</v>
      </c>
      <c r="U6" s="412">
        <f>CF!U6</f>
        <v>17</v>
      </c>
      <c r="V6" s="412">
        <f>CF!V6</f>
        <v>18</v>
      </c>
      <c r="W6" s="412">
        <f>CF!W6</f>
        <v>19</v>
      </c>
      <c r="X6" s="412">
        <f>CF!X6</f>
        <v>20</v>
      </c>
      <c r="Y6" s="412">
        <f>CF!Y6</f>
        <v>21</v>
      </c>
      <c r="Z6" s="73"/>
      <c r="AA6" s="73"/>
      <c r="AB6" s="73"/>
      <c r="AC6" s="144"/>
      <c r="AD6" s="565"/>
      <c r="AE6" s="1259"/>
    </row>
    <row r="7" spans="1:40" s="8" customFormat="1" ht="13.5" thickBot="1">
      <c r="A7" s="401" t="s">
        <v>151</v>
      </c>
      <c r="B7" s="76"/>
      <c r="C7" s="76"/>
      <c r="D7" s="79"/>
      <c r="E7" s="362">
        <f>CF!E7</f>
        <v>1999</v>
      </c>
      <c r="F7" s="362">
        <f>E7+1</f>
        <v>2000</v>
      </c>
      <c r="G7" s="362">
        <f t="shared" ref="G7:V7" si="0">F7+1</f>
        <v>2001</v>
      </c>
      <c r="H7" s="362">
        <f t="shared" si="0"/>
        <v>2002</v>
      </c>
      <c r="I7" s="362">
        <f t="shared" si="0"/>
        <v>2003</v>
      </c>
      <c r="J7" s="362">
        <f t="shared" si="0"/>
        <v>2004</v>
      </c>
      <c r="K7" s="362">
        <f t="shared" si="0"/>
        <v>2005</v>
      </c>
      <c r="L7" s="362">
        <f t="shared" si="0"/>
        <v>2006</v>
      </c>
      <c r="M7" s="362">
        <f t="shared" si="0"/>
        <v>2007</v>
      </c>
      <c r="N7" s="362">
        <f t="shared" si="0"/>
        <v>2008</v>
      </c>
      <c r="O7" s="362">
        <f t="shared" si="0"/>
        <v>2009</v>
      </c>
      <c r="P7" s="362">
        <f t="shared" si="0"/>
        <v>2010</v>
      </c>
      <c r="Q7" s="362">
        <f t="shared" si="0"/>
        <v>2011</v>
      </c>
      <c r="R7" s="362">
        <f t="shared" si="0"/>
        <v>2012</v>
      </c>
      <c r="S7" s="362">
        <f t="shared" si="0"/>
        <v>2013</v>
      </c>
      <c r="T7" s="362">
        <f t="shared" si="0"/>
        <v>2014</v>
      </c>
      <c r="U7" s="362">
        <f t="shared" si="0"/>
        <v>2015</v>
      </c>
      <c r="V7" s="362">
        <f t="shared" si="0"/>
        <v>2016</v>
      </c>
      <c r="W7" s="362">
        <f>V7+1</f>
        <v>2017</v>
      </c>
      <c r="X7" s="362">
        <f>W7+1</f>
        <v>2018</v>
      </c>
      <c r="Y7" s="362">
        <f>X7+1</f>
        <v>2019</v>
      </c>
      <c r="Z7" s="76"/>
      <c r="AA7" s="76"/>
      <c r="AB7" s="76"/>
      <c r="AC7" s="151"/>
      <c r="AD7" s="524" t="s">
        <v>200</v>
      </c>
      <c r="AE7" s="1260">
        <v>1</v>
      </c>
    </row>
    <row r="8" spans="1:40" s="8" customFormat="1">
      <c r="A8" s="541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AD8" s="624"/>
      <c r="AE8" s="1260">
        <f>AE7+1</f>
        <v>2</v>
      </c>
    </row>
    <row r="9" spans="1:40">
      <c r="A9" s="139" t="s">
        <v>323</v>
      </c>
      <c r="B9" s="8"/>
      <c r="C9" s="8"/>
      <c r="D9" s="8"/>
      <c r="E9" s="8">
        <f>CF!E9</f>
        <v>0</v>
      </c>
      <c r="F9" s="8">
        <f>CF!F9</f>
        <v>0</v>
      </c>
      <c r="G9" s="8">
        <f>CF!G9</f>
        <v>10</v>
      </c>
      <c r="H9" s="8">
        <f>CF!H9</f>
        <v>12</v>
      </c>
      <c r="I9" s="8">
        <f>CF!I9</f>
        <v>12</v>
      </c>
      <c r="J9" s="8">
        <f>CF!J9</f>
        <v>12</v>
      </c>
      <c r="K9" s="8">
        <f>CF!K9</f>
        <v>12</v>
      </c>
      <c r="L9" s="8">
        <f>CF!L9</f>
        <v>12</v>
      </c>
      <c r="M9" s="8">
        <f>CF!M9</f>
        <v>12</v>
      </c>
      <c r="N9" s="8">
        <f>CF!N9</f>
        <v>12</v>
      </c>
      <c r="O9" s="8">
        <f>CF!O9</f>
        <v>12</v>
      </c>
      <c r="P9" s="8">
        <f>CF!P9</f>
        <v>12</v>
      </c>
      <c r="Q9" s="8">
        <f>CF!Q9</f>
        <v>12</v>
      </c>
      <c r="R9" s="8">
        <f>CF!R9</f>
        <v>12</v>
      </c>
      <c r="S9" s="8">
        <f>CF!S9</f>
        <v>12</v>
      </c>
      <c r="T9" s="8">
        <f>CF!T9</f>
        <v>12</v>
      </c>
      <c r="U9" s="8">
        <f>CF!U9</f>
        <v>12</v>
      </c>
      <c r="V9" s="8">
        <f>CF!V9</f>
        <v>12</v>
      </c>
      <c r="W9" s="8">
        <f>CF!W9</f>
        <v>12</v>
      </c>
      <c r="X9" s="8">
        <f>CF!X9</f>
        <v>12</v>
      </c>
      <c r="Y9" s="8">
        <f>CF!Y9</f>
        <v>4</v>
      </c>
      <c r="Z9" s="8"/>
      <c r="AA9" s="8"/>
      <c r="AD9" s="416">
        <f>SUM(E9:AA9)</f>
        <v>218</v>
      </c>
      <c r="AE9" s="1260">
        <f t="shared" ref="AE9:AE22" si="1">AE8+1</f>
        <v>3</v>
      </c>
    </row>
    <row r="10" spans="1:40" s="1256" customFormat="1">
      <c r="A10" s="1266"/>
      <c r="B10" s="1252"/>
      <c r="C10" s="1252"/>
      <c r="D10" s="1252"/>
      <c r="E10" s="1252">
        <f t="shared" ref="E10:Y10" si="2">IF(E$7&lt;$A37,0,IF(E$7=$A37,IF($B37=0,1,2),D10+2))</f>
        <v>0</v>
      </c>
      <c r="F10" s="1252">
        <f t="shared" si="2"/>
        <v>0</v>
      </c>
      <c r="G10" s="1252">
        <f t="shared" si="2"/>
        <v>1</v>
      </c>
      <c r="H10" s="1252">
        <f t="shared" si="2"/>
        <v>3</v>
      </c>
      <c r="I10" s="1252">
        <f t="shared" si="2"/>
        <v>5</v>
      </c>
      <c r="J10" s="1252">
        <f t="shared" si="2"/>
        <v>7</v>
      </c>
      <c r="K10" s="1252">
        <f t="shared" si="2"/>
        <v>9</v>
      </c>
      <c r="L10" s="1252">
        <f t="shared" si="2"/>
        <v>11</v>
      </c>
      <c r="M10" s="1252">
        <f t="shared" si="2"/>
        <v>13</v>
      </c>
      <c r="N10" s="1252">
        <f t="shared" si="2"/>
        <v>15</v>
      </c>
      <c r="O10" s="1252">
        <f t="shared" si="2"/>
        <v>17</v>
      </c>
      <c r="P10" s="1252">
        <f t="shared" si="2"/>
        <v>19</v>
      </c>
      <c r="Q10" s="1252">
        <f t="shared" si="2"/>
        <v>21</v>
      </c>
      <c r="R10" s="1252">
        <f t="shared" si="2"/>
        <v>23</v>
      </c>
      <c r="S10" s="1252">
        <f t="shared" si="2"/>
        <v>25</v>
      </c>
      <c r="T10" s="1252">
        <f t="shared" si="2"/>
        <v>27</v>
      </c>
      <c r="U10" s="1252">
        <f t="shared" si="2"/>
        <v>29</v>
      </c>
      <c r="V10" s="1252">
        <f t="shared" si="2"/>
        <v>31</v>
      </c>
      <c r="W10" s="1252">
        <f t="shared" si="2"/>
        <v>33</v>
      </c>
      <c r="X10" s="1252">
        <f t="shared" si="2"/>
        <v>35</v>
      </c>
      <c r="Y10" s="1252">
        <f t="shared" si="2"/>
        <v>37</v>
      </c>
      <c r="Z10" s="1252"/>
      <c r="AA10" s="1252"/>
      <c r="AD10" s="1267"/>
      <c r="AE10" s="1260">
        <f t="shared" si="1"/>
        <v>4</v>
      </c>
    </row>
    <row r="11" spans="1:40" s="8" customFormat="1">
      <c r="A11" s="74" t="s">
        <v>275</v>
      </c>
      <c r="AD11" s="416"/>
      <c r="AE11" s="1260">
        <f t="shared" si="1"/>
        <v>5</v>
      </c>
    </row>
    <row r="12" spans="1:40" s="8" customFormat="1">
      <c r="A12" s="449" t="s">
        <v>201</v>
      </c>
      <c r="D12" s="27"/>
      <c r="E12" s="53">
        <f t="shared" ref="E12:Y12" ca="1" si="3">IF(E$7&lt;YEAR(Startops2),0,VLOOKUP(E$10,Fin_Table,$AA$79))</f>
        <v>0</v>
      </c>
      <c r="F12" s="53">
        <f t="shared" ca="1" si="3"/>
        <v>0</v>
      </c>
      <c r="G12" s="53">
        <f t="shared" ca="1" si="3"/>
        <v>4298.9671464881521</v>
      </c>
      <c r="H12" s="53">
        <f t="shared" ca="1" si="3"/>
        <v>10278.834132082155</v>
      </c>
      <c r="I12" s="53">
        <f t="shared" ca="1" si="3"/>
        <v>10097.18311772179</v>
      </c>
      <c r="J12" s="53">
        <f t="shared" ca="1" si="3"/>
        <v>9716.1718009101805</v>
      </c>
      <c r="K12" s="53">
        <f t="shared" ca="1" si="3"/>
        <v>8941.2866575846747</v>
      </c>
      <c r="L12" s="53">
        <f t="shared" ca="1" si="3"/>
        <v>7982.2263920456498</v>
      </c>
      <c r="M12" s="53">
        <f t="shared" ca="1" si="3"/>
        <v>6883.6216529316207</v>
      </c>
      <c r="N12" s="53">
        <f t="shared" ca="1" si="3"/>
        <v>5746.3262094991969</v>
      </c>
      <c r="O12" s="53">
        <f t="shared" ca="1" si="3"/>
        <v>5020.6998600144798</v>
      </c>
      <c r="P12" s="53">
        <f t="shared" ca="1" si="3"/>
        <v>4432.2965418456652</v>
      </c>
      <c r="Q12" s="53">
        <f t="shared" ca="1" si="3"/>
        <v>3843.8932236768501</v>
      </c>
      <c r="R12" s="53">
        <f t="shared" ca="1" si="3"/>
        <v>3049.6553585341817</v>
      </c>
      <c r="S12" s="53">
        <f t="shared" ca="1" si="3"/>
        <v>2186.805977733562</v>
      </c>
      <c r="T12" s="53">
        <f t="shared" ca="1" si="3"/>
        <v>1323.9565969329419</v>
      </c>
      <c r="U12" s="53">
        <f t="shared" ca="1" si="3"/>
        <v>403.0711596547298</v>
      </c>
      <c r="V12" s="53">
        <f t="shared" ca="1" si="3"/>
        <v>0</v>
      </c>
      <c r="W12" s="53">
        <f t="shared" ca="1" si="3"/>
        <v>0</v>
      </c>
      <c r="X12" s="53">
        <f t="shared" ca="1" si="3"/>
        <v>0</v>
      </c>
      <c r="Y12" s="53">
        <f t="shared" ca="1" si="3"/>
        <v>0</v>
      </c>
      <c r="AD12" s="420">
        <f ca="1">SUM(E12:AA12)</f>
        <v>84204.995827655803</v>
      </c>
      <c r="AE12" s="1260">
        <f t="shared" si="1"/>
        <v>6</v>
      </c>
    </row>
    <row r="13" spans="1:40" s="8" customFormat="1">
      <c r="A13" s="449" t="s">
        <v>202</v>
      </c>
      <c r="D13" s="22"/>
      <c r="E13" s="226">
        <f t="shared" ref="E13:Y13" ca="1" si="4">IF(E$7&lt;YEAR(Startops2),0,VLOOKUP(E$10,Fin_Table,$AB$79))</f>
        <v>0</v>
      </c>
      <c r="F13" s="226">
        <f t="shared" ca="1" si="4"/>
        <v>0</v>
      </c>
      <c r="G13" s="226">
        <f t="shared" ca="1" si="4"/>
        <v>0</v>
      </c>
      <c r="H13" s="226">
        <f t="shared" ca="1" si="4"/>
        <v>1405.5229605598795</v>
      </c>
      <c r="I13" s="226">
        <f t="shared" ca="1" si="4"/>
        <v>2382.923011521651</v>
      </c>
      <c r="J13" s="226">
        <f t="shared" ca="1" si="4"/>
        <v>6693.6039649484646</v>
      </c>
      <c r="K13" s="226">
        <f t="shared" ca="1" si="4"/>
        <v>8497.6194815549406</v>
      </c>
      <c r="L13" s="226">
        <f t="shared" ca="1" si="4"/>
        <v>9626.8304704417478</v>
      </c>
      <c r="M13" s="226">
        <f t="shared" ca="1" si="4"/>
        <v>10329.658886761337</v>
      </c>
      <c r="N13" s="226">
        <f t="shared" ca="1" si="4"/>
        <v>7836.9607702145286</v>
      </c>
      <c r="O13" s="226">
        <f t="shared" ca="1" si="4"/>
        <v>5344.2626536677199</v>
      </c>
      <c r="P13" s="226">
        <f t="shared" ca="1" si="4"/>
        <v>5344.2626536677199</v>
      </c>
      <c r="Q13" s="226">
        <f t="shared" ca="1" si="4"/>
        <v>6590.6117119411247</v>
      </c>
      <c r="R13" s="226">
        <f t="shared" ca="1" si="4"/>
        <v>7836.9607702145304</v>
      </c>
      <c r="S13" s="226">
        <f t="shared" ca="1" si="4"/>
        <v>7836.9607702145304</v>
      </c>
      <c r="T13" s="226">
        <f t="shared" ca="1" si="4"/>
        <v>8118.0921367423653</v>
      </c>
      <c r="U13" s="226">
        <f t="shared" ca="1" si="4"/>
        <v>5866.185266827998</v>
      </c>
      <c r="V13" s="226">
        <f t="shared" ca="1" si="4"/>
        <v>0</v>
      </c>
      <c r="W13" s="226">
        <f t="shared" ca="1" si="4"/>
        <v>0</v>
      </c>
      <c r="X13" s="226">
        <f t="shared" ca="1" si="4"/>
        <v>0</v>
      </c>
      <c r="Y13" s="226">
        <f t="shared" ca="1" si="4"/>
        <v>0</v>
      </c>
      <c r="AD13" s="421">
        <f ca="1">SUM(E13:AA13)</f>
        <v>93710.45550927853</v>
      </c>
      <c r="AE13" s="1260">
        <f t="shared" si="1"/>
        <v>7</v>
      </c>
      <c r="AF13" s="626" t="str">
        <f ca="1">IF(ROUND(Debt-AD13,2)=0," ","Principal Payments Do Not Tie To Total Debt")</f>
        <v xml:space="preserve"> </v>
      </c>
    </row>
    <row r="14" spans="1:40" s="8" customFormat="1">
      <c r="A14" s="177" t="s">
        <v>1134</v>
      </c>
      <c r="B14" s="24"/>
      <c r="C14" s="24"/>
      <c r="D14" s="48"/>
      <c r="E14" s="264">
        <f t="shared" ref="E14:S14" ca="1" si="5">SUM(E12:E13)</f>
        <v>0</v>
      </c>
      <c r="F14" s="264">
        <f t="shared" ca="1" si="5"/>
        <v>0</v>
      </c>
      <c r="G14" s="264">
        <f t="shared" ca="1" si="5"/>
        <v>4298.9671464881521</v>
      </c>
      <c r="H14" s="264">
        <f t="shared" ca="1" si="5"/>
        <v>11684.357092642034</v>
      </c>
      <c r="I14" s="264">
        <f t="shared" ca="1" si="5"/>
        <v>12480.106129243441</v>
      </c>
      <c r="J14" s="264">
        <f t="shared" ca="1" si="5"/>
        <v>16409.775765858645</v>
      </c>
      <c r="K14" s="264">
        <f t="shared" ca="1" si="5"/>
        <v>17438.906139139617</v>
      </c>
      <c r="L14" s="264">
        <f t="shared" ca="1" si="5"/>
        <v>17609.056862487399</v>
      </c>
      <c r="M14" s="264">
        <f t="shared" ca="1" si="5"/>
        <v>17213.280539692958</v>
      </c>
      <c r="N14" s="264">
        <f t="shared" ca="1" si="5"/>
        <v>13583.286979713725</v>
      </c>
      <c r="O14" s="264">
        <f t="shared" ca="1" si="5"/>
        <v>10364.9625136822</v>
      </c>
      <c r="P14" s="264">
        <f t="shared" ca="1" si="5"/>
        <v>9776.5591955133859</v>
      </c>
      <c r="Q14" s="264">
        <f t="shared" ca="1" si="5"/>
        <v>10434.504935617975</v>
      </c>
      <c r="R14" s="264">
        <f t="shared" ca="1" si="5"/>
        <v>10886.616128748712</v>
      </c>
      <c r="S14" s="264">
        <f t="shared" ca="1" si="5"/>
        <v>10023.766747948092</v>
      </c>
      <c r="T14" s="264">
        <f t="shared" ref="T14:Y14" ca="1" si="6">SUM(T12:T13)</f>
        <v>9442.0487336753067</v>
      </c>
      <c r="U14" s="264">
        <f t="shared" ca="1" si="6"/>
        <v>6269.2564264827279</v>
      </c>
      <c r="V14" s="264">
        <f t="shared" ca="1" si="6"/>
        <v>0</v>
      </c>
      <c r="W14" s="264">
        <f t="shared" ca="1" si="6"/>
        <v>0</v>
      </c>
      <c r="X14" s="264">
        <f t="shared" ca="1" si="6"/>
        <v>0</v>
      </c>
      <c r="Y14" s="264">
        <f t="shared" ca="1" si="6"/>
        <v>0</v>
      </c>
      <c r="AD14" s="506">
        <f ca="1">SUM(E14:AA14)</f>
        <v>177915.45133693438</v>
      </c>
      <c r="AE14" s="1260">
        <f t="shared" si="1"/>
        <v>8</v>
      </c>
    </row>
    <row r="15" spans="1:40" s="8" customFormat="1">
      <c r="A15" s="177"/>
      <c r="B15" s="24"/>
      <c r="C15" s="24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D15" s="625"/>
      <c r="AE15" s="1260">
        <f t="shared" si="1"/>
        <v>9</v>
      </c>
    </row>
    <row r="16" spans="1:40" s="8" customFormat="1">
      <c r="A16" s="542" t="s">
        <v>365</v>
      </c>
      <c r="B16" s="311"/>
      <c r="C16" s="311"/>
      <c r="D16" s="312"/>
      <c r="E16" s="620">
        <f ca="1">SUM($E13:E13)</f>
        <v>0</v>
      </c>
      <c r="F16" s="620">
        <f ca="1">SUM($E13:F13)</f>
        <v>0</v>
      </c>
      <c r="G16" s="620">
        <f ca="1">SUM($E13:G13)</f>
        <v>0</v>
      </c>
      <c r="H16" s="620">
        <f ca="1">SUM($E13:H13)</f>
        <v>1405.5229605598795</v>
      </c>
      <c r="I16" s="620">
        <f ca="1">SUM($E13:I13)</f>
        <v>3788.4459720815303</v>
      </c>
      <c r="J16" s="620">
        <f ca="1">SUM($E13:J13)</f>
        <v>10482.049937029995</v>
      </c>
      <c r="K16" s="620">
        <f ca="1">SUM($E13:K13)</f>
        <v>18979.669418584934</v>
      </c>
      <c r="L16" s="620">
        <f ca="1">SUM($E13:L13)</f>
        <v>28606.49988902668</v>
      </c>
      <c r="M16" s="620">
        <f ca="1">SUM($E13:M13)</f>
        <v>38936.158775788019</v>
      </c>
      <c r="N16" s="620">
        <f ca="1">SUM($E13:N13)</f>
        <v>46773.119546002548</v>
      </c>
      <c r="O16" s="620">
        <f ca="1">SUM($E13:O13)</f>
        <v>52117.382199670268</v>
      </c>
      <c r="P16" s="620">
        <f ca="1">SUM($E13:P13)</f>
        <v>57461.644853337988</v>
      </c>
      <c r="Q16" s="620">
        <f ca="1">SUM($E13:Q13)</f>
        <v>64052.256565279109</v>
      </c>
      <c r="R16" s="620">
        <f ca="1">SUM($E13:R13)</f>
        <v>71889.217335493639</v>
      </c>
      <c r="S16" s="620">
        <f ca="1">SUM($E13:S13)</f>
        <v>79726.178105708168</v>
      </c>
      <c r="T16" s="620">
        <f ca="1">SUM($E13:T13)</f>
        <v>87844.270242450526</v>
      </c>
      <c r="U16" s="620">
        <f ca="1">SUM($E13:U13)</f>
        <v>93710.45550927853</v>
      </c>
      <c r="V16" s="620">
        <f ca="1">SUM($E13:V13)</f>
        <v>93710.45550927853</v>
      </c>
      <c r="W16" s="620">
        <f ca="1">SUM($E13:W13)</f>
        <v>93710.45550927853</v>
      </c>
      <c r="X16" s="620">
        <f ca="1">SUM($E13:X13)</f>
        <v>93710.45550927853</v>
      </c>
      <c r="Y16" s="620">
        <f ca="1">SUM($E13:Y13)</f>
        <v>93710.45550927853</v>
      </c>
      <c r="AD16" s="625"/>
      <c r="AE16" s="1260">
        <f t="shared" si="1"/>
        <v>10</v>
      </c>
    </row>
    <row r="17" spans="1:36" s="8" customFormat="1">
      <c r="A17" s="542" t="s">
        <v>366</v>
      </c>
      <c r="B17" s="270"/>
      <c r="C17" s="270"/>
      <c r="D17" s="49"/>
      <c r="E17" s="620">
        <f ca="1">Assm!$U$82/12*E$14</f>
        <v>0</v>
      </c>
      <c r="F17" s="620">
        <f ca="1">Assm!$U$82/12*F$14</f>
        <v>0</v>
      </c>
      <c r="G17" s="620">
        <f ca="1">Assm!$U$82/12*G$14</f>
        <v>2149.4835732440761</v>
      </c>
      <c r="H17" s="620">
        <f ca="1">Assm!$U$82/12*H$14</f>
        <v>5842.1785463210172</v>
      </c>
      <c r="I17" s="620">
        <f ca="1">Assm!$U$82/12*I$14</f>
        <v>6240.0530646217203</v>
      </c>
      <c r="J17" s="620">
        <f ca="1">Assm!$U$82/12*J$14</f>
        <v>8204.8878829293226</v>
      </c>
      <c r="K17" s="620">
        <f ca="1">Assm!$U$82/12*K$14</f>
        <v>8719.4530695698086</v>
      </c>
      <c r="L17" s="620">
        <f ca="1">Assm!$U$82/12*L$14</f>
        <v>8804.5284312436997</v>
      </c>
      <c r="M17" s="620">
        <f ca="1">Assm!$U$82/12*M$14</f>
        <v>8606.640269846479</v>
      </c>
      <c r="N17" s="620">
        <f ca="1">Assm!$U$82/12*N$14</f>
        <v>6791.6434898568623</v>
      </c>
      <c r="O17" s="620">
        <f ca="1">Assm!$U$82/12*O$14</f>
        <v>5182.4812568410998</v>
      </c>
      <c r="P17" s="620">
        <f ca="1">Assm!$U$82/12*P$14</f>
        <v>4888.279597756693</v>
      </c>
      <c r="Q17" s="620">
        <f ca="1">Assm!$U$82/12*Q$14</f>
        <v>5217.2524678089876</v>
      </c>
      <c r="R17" s="620">
        <f ca="1">Assm!$U$82/12*R$14</f>
        <v>5443.308064374356</v>
      </c>
      <c r="S17" s="620">
        <f ca="1">Assm!$U$82/12*S$14</f>
        <v>5011.8833739740458</v>
      </c>
      <c r="T17" s="620">
        <f ca="1">Assm!$U$82/12*T$14</f>
        <v>4721.0243668376534</v>
      </c>
      <c r="U17" s="620">
        <f ca="1">Assm!$U$82/12*U$14</f>
        <v>3134.6282132413639</v>
      </c>
      <c r="V17" s="620">
        <f ca="1">Assm!$U$82/12*V$14</f>
        <v>0</v>
      </c>
      <c r="W17" s="620">
        <f ca="1">Assm!$U$82/12*W$14</f>
        <v>0</v>
      </c>
      <c r="X17" s="620">
        <f ca="1">Assm!$U$82/12*X$14</f>
        <v>0</v>
      </c>
      <c r="Y17" s="620">
        <f ca="1">Assm!$U$82/12*Y$14</f>
        <v>0</v>
      </c>
      <c r="AD17" s="511"/>
      <c r="AE17" s="1260">
        <f t="shared" si="1"/>
        <v>11</v>
      </c>
    </row>
    <row r="18" spans="1:36" s="8" customFormat="1">
      <c r="A18" s="542"/>
      <c r="B18" s="270"/>
      <c r="C18" s="270"/>
      <c r="D18" s="49"/>
      <c r="E18" s="620"/>
      <c r="F18" s="620"/>
      <c r="G18" s="620"/>
      <c r="H18" s="620"/>
      <c r="I18" s="620"/>
      <c r="J18" s="620"/>
      <c r="K18" s="620"/>
      <c r="L18" s="620"/>
      <c r="M18" s="620"/>
      <c r="N18" s="620"/>
      <c r="O18" s="620"/>
      <c r="P18" s="620"/>
      <c r="Q18" s="620"/>
      <c r="R18" s="620"/>
      <c r="S18" s="620"/>
      <c r="T18" s="620"/>
      <c r="U18" s="620"/>
      <c r="V18" s="620"/>
      <c r="W18" s="620"/>
      <c r="X18" s="620"/>
      <c r="Y18" s="620"/>
      <c r="AD18" s="511"/>
      <c r="AE18" s="1260">
        <f t="shared" si="1"/>
        <v>12</v>
      </c>
    </row>
    <row r="19" spans="1:36" s="8" customFormat="1">
      <c r="A19" s="74" t="s">
        <v>1125</v>
      </c>
      <c r="AD19" s="416"/>
      <c r="AE19" s="1260">
        <f t="shared" si="1"/>
        <v>13</v>
      </c>
    </row>
    <row r="20" spans="1:36" s="8" customFormat="1">
      <c r="A20" s="449" t="s">
        <v>201</v>
      </c>
      <c r="D20" s="27"/>
      <c r="E20" s="53">
        <f t="shared" ref="E20:Y20" ca="1" si="7">IF(E$7&lt;YEAR(Startops2),0,VLOOKUP(E$10,Fin_Table,$AC$79))</f>
        <v>0</v>
      </c>
      <c r="F20" s="53">
        <f t="shared" ca="1" si="7"/>
        <v>0</v>
      </c>
      <c r="G20" s="53">
        <f t="shared" ca="1" si="7"/>
        <v>133.98867062672454</v>
      </c>
      <c r="H20" s="53">
        <f t="shared" ca="1" si="7"/>
        <v>318.08515874682439</v>
      </c>
      <c r="I20" s="53">
        <f t="shared" ca="1" si="7"/>
        <v>303.21303119621513</v>
      </c>
      <c r="J20" s="53">
        <f t="shared" ca="1" si="7"/>
        <v>286.34469232512527</v>
      </c>
      <c r="K20" s="53">
        <f t="shared" ca="1" si="7"/>
        <v>267.21220066906335</v>
      </c>
      <c r="L20" s="53">
        <f t="shared" ca="1" si="7"/>
        <v>245.51165032046663</v>
      </c>
      <c r="M20" s="53">
        <f t="shared" ca="1" si="7"/>
        <v>220.89834360132943</v>
      </c>
      <c r="N20" s="53">
        <f t="shared" ca="1" si="7"/>
        <v>192.9813157878161</v>
      </c>
      <c r="O20" s="53">
        <f t="shared" ca="1" si="7"/>
        <v>161.31712491603395</v>
      </c>
      <c r="P20" s="53">
        <f t="shared" ca="1" si="7"/>
        <v>125.40280802448683</v>
      </c>
      <c r="Q20" s="53">
        <f t="shared" ca="1" si="7"/>
        <v>84.667891948171842</v>
      </c>
      <c r="R20" s="53">
        <f t="shared" ca="1" si="7"/>
        <v>38.465331761513497</v>
      </c>
      <c r="S20" s="53">
        <f t="shared" ca="1" si="7"/>
        <v>0</v>
      </c>
      <c r="T20" s="53">
        <f t="shared" ca="1" si="7"/>
        <v>0</v>
      </c>
      <c r="U20" s="53">
        <f t="shared" ca="1" si="7"/>
        <v>0</v>
      </c>
      <c r="V20" s="53">
        <f t="shared" ca="1" si="7"/>
        <v>0</v>
      </c>
      <c r="W20" s="53">
        <f t="shared" ca="1" si="7"/>
        <v>0</v>
      </c>
      <c r="X20" s="53">
        <f t="shared" ca="1" si="7"/>
        <v>0</v>
      </c>
      <c r="Y20" s="53">
        <f t="shared" ca="1" si="7"/>
        <v>0</v>
      </c>
      <c r="AD20" s="420">
        <f ca="1">SUM(E20:AA20)</f>
        <v>2378.0882199237717</v>
      </c>
      <c r="AE20" s="1260">
        <f t="shared" si="1"/>
        <v>14</v>
      </c>
    </row>
    <row r="21" spans="1:36" s="8" customFormat="1">
      <c r="A21" s="449" t="s">
        <v>202</v>
      </c>
      <c r="D21" s="22"/>
      <c r="E21" s="226">
        <f t="shared" ref="E21:Y21" ca="1" si="8">IF(E$7&lt;YEAR(Startops2),0,VLOOKUP(E$10,Fin_Table,$AD$79))</f>
        <v>0</v>
      </c>
      <c r="F21" s="226">
        <f t="shared" ca="1" si="8"/>
        <v>0</v>
      </c>
      <c r="G21" s="226">
        <f t="shared" ca="1" si="8"/>
        <v>0</v>
      </c>
      <c r="H21" s="226">
        <f t="shared" ca="1" si="8"/>
        <v>110.799981751606</v>
      </c>
      <c r="I21" s="226">
        <f t="shared" ca="1" si="8"/>
        <v>125.67210930221523</v>
      </c>
      <c r="J21" s="226">
        <f t="shared" ca="1" si="8"/>
        <v>142.54044817330512</v>
      </c>
      <c r="K21" s="226">
        <f t="shared" ca="1" si="8"/>
        <v>161.67293982936695</v>
      </c>
      <c r="L21" s="226">
        <f t="shared" ca="1" si="8"/>
        <v>183.37349017796362</v>
      </c>
      <c r="M21" s="226">
        <f t="shared" ca="1" si="8"/>
        <v>207.98679689710076</v>
      </c>
      <c r="N21" s="226">
        <f t="shared" ca="1" si="8"/>
        <v>235.903824710614</v>
      </c>
      <c r="O21" s="226">
        <f t="shared" ca="1" si="8"/>
        <v>267.56801558239607</v>
      </c>
      <c r="P21" s="226">
        <f t="shared" ca="1" si="8"/>
        <v>303.48233247394296</v>
      </c>
      <c r="Q21" s="226">
        <f t="shared" ca="1" si="8"/>
        <v>344.21724855025781</v>
      </c>
      <c r="R21" s="226">
        <f t="shared" ca="1" si="8"/>
        <v>390.41980873691523</v>
      </c>
      <c r="S21" s="226">
        <f t="shared" ca="1" si="8"/>
        <v>0</v>
      </c>
      <c r="T21" s="226">
        <f t="shared" ca="1" si="8"/>
        <v>0</v>
      </c>
      <c r="U21" s="226">
        <f t="shared" ca="1" si="8"/>
        <v>0</v>
      </c>
      <c r="V21" s="226">
        <f t="shared" ca="1" si="8"/>
        <v>0</v>
      </c>
      <c r="W21" s="226">
        <f t="shared" ca="1" si="8"/>
        <v>0</v>
      </c>
      <c r="X21" s="226">
        <f t="shared" ca="1" si="8"/>
        <v>0</v>
      </c>
      <c r="Y21" s="226">
        <f t="shared" ca="1" si="8"/>
        <v>0</v>
      </c>
      <c r="AD21" s="421">
        <f ca="1">SUM(E21:AA21)</f>
        <v>2473.6369961856835</v>
      </c>
      <c r="AE21" s="1260">
        <f t="shared" si="1"/>
        <v>15</v>
      </c>
      <c r="AF21" s="626" t="str">
        <f ca="1">IF(ROUND(Subdebt-AD21,2)=0," ","Principal Payments Do Not Tie To Total Debt")</f>
        <v xml:space="preserve"> </v>
      </c>
    </row>
    <row r="22" spans="1:36" s="8" customFormat="1">
      <c r="A22" s="177" t="s">
        <v>1135</v>
      </c>
      <c r="B22" s="24"/>
      <c r="C22" s="24"/>
      <c r="D22" s="48"/>
      <c r="E22" s="264">
        <f t="shared" ref="E22:Y22" ca="1" si="9">SUM(E20:E21)</f>
        <v>0</v>
      </c>
      <c r="F22" s="264">
        <f t="shared" ca="1" si="9"/>
        <v>0</v>
      </c>
      <c r="G22" s="264">
        <f t="shared" ca="1" si="9"/>
        <v>133.98867062672454</v>
      </c>
      <c r="H22" s="264">
        <f t="shared" ca="1" si="9"/>
        <v>428.88514049843036</v>
      </c>
      <c r="I22" s="264">
        <f t="shared" ca="1" si="9"/>
        <v>428.88514049843036</v>
      </c>
      <c r="J22" s="264">
        <f t="shared" ca="1" si="9"/>
        <v>428.88514049843036</v>
      </c>
      <c r="K22" s="264">
        <f t="shared" ca="1" si="9"/>
        <v>428.8851404984303</v>
      </c>
      <c r="L22" s="264">
        <f t="shared" ca="1" si="9"/>
        <v>428.88514049843025</v>
      </c>
      <c r="M22" s="264">
        <f t="shared" ca="1" si="9"/>
        <v>428.88514049843019</v>
      </c>
      <c r="N22" s="264">
        <f t="shared" ca="1" si="9"/>
        <v>428.88514049843013</v>
      </c>
      <c r="O22" s="264">
        <f t="shared" ca="1" si="9"/>
        <v>428.88514049843002</v>
      </c>
      <c r="P22" s="264">
        <f t="shared" ca="1" si="9"/>
        <v>428.88514049842979</v>
      </c>
      <c r="Q22" s="264">
        <f t="shared" ca="1" si="9"/>
        <v>428.88514049842968</v>
      </c>
      <c r="R22" s="264">
        <f t="shared" ca="1" si="9"/>
        <v>428.88514049842871</v>
      </c>
      <c r="S22" s="264">
        <f t="shared" ca="1" si="9"/>
        <v>0</v>
      </c>
      <c r="T22" s="264">
        <f t="shared" ca="1" si="9"/>
        <v>0</v>
      </c>
      <c r="U22" s="264">
        <f t="shared" ca="1" si="9"/>
        <v>0</v>
      </c>
      <c r="V22" s="264">
        <f t="shared" ca="1" si="9"/>
        <v>0</v>
      </c>
      <c r="W22" s="264">
        <f t="shared" ca="1" si="9"/>
        <v>0</v>
      </c>
      <c r="X22" s="264">
        <f t="shared" ca="1" si="9"/>
        <v>0</v>
      </c>
      <c r="Y22" s="264">
        <f t="shared" ca="1" si="9"/>
        <v>0</v>
      </c>
      <c r="AD22" s="506">
        <f ca="1">SUM(E22:AA22)</f>
        <v>4851.7252161094548</v>
      </c>
      <c r="AE22" s="1260">
        <f t="shared" si="1"/>
        <v>16</v>
      </c>
    </row>
    <row r="23" spans="1:36" s="1252" customFormat="1">
      <c r="A23" s="1248"/>
      <c r="B23" s="1249"/>
      <c r="C23" s="1249"/>
      <c r="D23" s="1250"/>
      <c r="E23" s="1251"/>
      <c r="F23" s="1251"/>
      <c r="G23" s="1251"/>
      <c r="H23" s="1251"/>
      <c r="I23" s="1251"/>
      <c r="J23" s="1251"/>
      <c r="K23" s="1251"/>
      <c r="L23" s="1251"/>
      <c r="M23" s="1251"/>
      <c r="N23" s="1251"/>
      <c r="O23" s="1251"/>
      <c r="P23" s="1251"/>
      <c r="Q23" s="1251"/>
      <c r="R23" s="1251"/>
      <c r="S23" s="1251"/>
      <c r="T23" s="1251"/>
      <c r="U23" s="1251"/>
      <c r="V23" s="1251"/>
      <c r="W23" s="1251"/>
      <c r="X23" s="1251"/>
      <c r="Y23" s="1251"/>
      <c r="AD23" s="1253"/>
      <c r="AE23" s="1260"/>
    </row>
    <row r="24" spans="1:36" s="1252" customFormat="1">
      <c r="A24" s="1248"/>
      <c r="B24" s="1249"/>
      <c r="C24" s="1249"/>
      <c r="D24" s="1250"/>
      <c r="E24" s="1251"/>
      <c r="F24" s="1251"/>
      <c r="G24" s="1251"/>
      <c r="H24" s="1251"/>
      <c r="I24" s="1251"/>
      <c r="J24" s="1251"/>
      <c r="K24" s="1251"/>
      <c r="L24" s="1251"/>
      <c r="M24" s="1251"/>
      <c r="N24" s="1251"/>
      <c r="O24" s="1251"/>
      <c r="P24" s="1251"/>
      <c r="Q24" s="1251"/>
      <c r="R24" s="1251"/>
      <c r="S24" s="1251"/>
      <c r="T24" s="1251"/>
      <c r="U24" s="1251"/>
      <c r="V24" s="1251"/>
      <c r="W24" s="1251"/>
      <c r="X24" s="1251"/>
      <c r="Y24" s="1251"/>
      <c r="AD24" s="1253"/>
      <c r="AE24" s="1260"/>
    </row>
    <row r="25" spans="1:36" s="1276" customFormat="1">
      <c r="A25" s="1268" t="s">
        <v>46</v>
      </c>
      <c r="B25" s="1269"/>
      <c r="C25" s="1269"/>
      <c r="D25" s="1270"/>
      <c r="E25" s="1271">
        <f ca="1">IF(E$7&lt;YEAR(Startops2),0,VLOOKUP(E$10,Guarantee_Fee_Table,$AE$79))</f>
        <v>0</v>
      </c>
      <c r="F25" s="1271">
        <f t="shared" ref="F25:Y25" ca="1" si="10">IF(F$7&lt;YEAR(Startops2),0,VLOOKUP(F$10,Guarantee_Fee_Table,$AE$79))</f>
        <v>0</v>
      </c>
      <c r="G25" s="1271">
        <f t="shared" ca="1" si="10"/>
        <v>1603.0682084244033</v>
      </c>
      <c r="H25" s="1271">
        <f t="shared" ca="1" si="10"/>
        <v>3847.3637002185678</v>
      </c>
      <c r="I25" s="1271">
        <f t="shared" ca="1" si="10"/>
        <v>3786.7107825261087</v>
      </c>
      <c r="J25" s="1271">
        <f t="shared" ca="1" si="10"/>
        <v>0</v>
      </c>
      <c r="K25" s="1271">
        <f t="shared" ca="1" si="10"/>
        <v>0</v>
      </c>
      <c r="L25" s="1271">
        <f t="shared" ca="1" si="10"/>
        <v>0</v>
      </c>
      <c r="M25" s="1271">
        <f t="shared" ca="1" si="10"/>
        <v>0</v>
      </c>
      <c r="N25" s="1271">
        <f t="shared" ca="1" si="10"/>
        <v>0</v>
      </c>
      <c r="O25" s="1271">
        <f t="shared" ca="1" si="10"/>
        <v>0</v>
      </c>
      <c r="P25" s="1271">
        <f t="shared" ca="1" si="10"/>
        <v>0</v>
      </c>
      <c r="Q25" s="1271">
        <f t="shared" ca="1" si="10"/>
        <v>0</v>
      </c>
      <c r="R25" s="1271">
        <f t="shared" ca="1" si="10"/>
        <v>0</v>
      </c>
      <c r="S25" s="1271">
        <f t="shared" ca="1" si="10"/>
        <v>0</v>
      </c>
      <c r="T25" s="1271">
        <f t="shared" ca="1" si="10"/>
        <v>0</v>
      </c>
      <c r="U25" s="1271">
        <f t="shared" ca="1" si="10"/>
        <v>0</v>
      </c>
      <c r="V25" s="1271">
        <f t="shared" ca="1" si="10"/>
        <v>0</v>
      </c>
      <c r="W25" s="1271">
        <f t="shared" ca="1" si="10"/>
        <v>0</v>
      </c>
      <c r="X25" s="1271">
        <f t="shared" ca="1" si="10"/>
        <v>0</v>
      </c>
      <c r="Y25" s="1271">
        <f t="shared" ca="1" si="10"/>
        <v>0</v>
      </c>
      <c r="Z25" s="1270"/>
      <c r="AA25" s="1272"/>
      <c r="AB25" s="1273"/>
      <c r="AC25" s="1273"/>
      <c r="AD25" s="1273"/>
      <c r="AE25" s="1274"/>
      <c r="AF25" s="1273"/>
      <c r="AG25" s="1273"/>
      <c r="AH25" s="1273"/>
      <c r="AI25" s="1275"/>
      <c r="AJ25" s="1273"/>
    </row>
    <row r="26" spans="1:36" s="1252" customFormat="1">
      <c r="A26" s="1248"/>
      <c r="B26" s="1249"/>
      <c r="C26" s="1249"/>
      <c r="D26" s="1250"/>
      <c r="E26" s="1251"/>
      <c r="F26" s="1251"/>
      <c r="G26" s="1251"/>
      <c r="H26" s="1251"/>
      <c r="I26" s="1251"/>
      <c r="J26" s="1251"/>
      <c r="K26" s="1251"/>
      <c r="L26" s="1251"/>
      <c r="M26" s="1251"/>
      <c r="N26" s="1251"/>
      <c r="O26" s="1251"/>
      <c r="P26" s="1251"/>
      <c r="Q26" s="1251"/>
      <c r="R26" s="1251"/>
      <c r="S26" s="1251"/>
      <c r="T26" s="1251"/>
      <c r="U26" s="1251"/>
      <c r="V26" s="1251"/>
      <c r="W26" s="1251"/>
      <c r="X26" s="1251"/>
      <c r="Y26" s="1251"/>
      <c r="AD26" s="1253"/>
      <c r="AE26" s="1260"/>
    </row>
    <row r="27" spans="1:36" s="1256" customFormat="1" ht="13.5" thickBot="1">
      <c r="A27" s="1254"/>
      <c r="B27" s="1255"/>
      <c r="C27" s="1255"/>
      <c r="D27" s="1255"/>
      <c r="E27" s="1255"/>
      <c r="F27" s="1255"/>
      <c r="G27" s="1255"/>
      <c r="H27" s="1255"/>
      <c r="I27" s="1255"/>
      <c r="J27" s="1255"/>
      <c r="K27" s="1255"/>
      <c r="L27" s="1255"/>
      <c r="M27" s="1255"/>
      <c r="N27" s="1255"/>
      <c r="O27" s="1255"/>
      <c r="P27" s="1255"/>
      <c r="Q27" s="1255"/>
      <c r="R27" s="1255"/>
      <c r="S27" s="1255"/>
      <c r="T27" s="1255"/>
      <c r="U27" s="1255"/>
      <c r="V27" s="1255"/>
      <c r="W27" s="1255"/>
      <c r="X27" s="1255"/>
      <c r="Y27" s="1255"/>
      <c r="Z27" s="1255"/>
      <c r="AA27" s="1255"/>
      <c r="AC27" s="1252"/>
      <c r="AD27" s="1257"/>
      <c r="AE27" s="1261"/>
    </row>
    <row r="28" spans="1:36">
      <c r="A28" s="463" t="s">
        <v>203</v>
      </c>
      <c r="B28" s="585"/>
      <c r="C28" s="621" t="str">
        <f>Assm!$T8</f>
        <v>Tranche 1: MLA - OPIC</v>
      </c>
      <c r="D28" s="148"/>
      <c r="E28" s="148"/>
      <c r="F28" s="602"/>
      <c r="G28" s="621" t="str">
        <f>Assm!$T17</f>
        <v>Tranche 2: KFW (Uncovered Loan)</v>
      </c>
      <c r="H28" s="622"/>
      <c r="I28" s="622"/>
      <c r="J28" s="623"/>
      <c r="K28" s="621" t="str">
        <f>Assm!$T26</f>
        <v xml:space="preserve">Tranche 3: </v>
      </c>
      <c r="L28" s="622"/>
      <c r="M28" s="622"/>
      <c r="N28" s="623"/>
      <c r="O28" s="621" t="str">
        <f>Assm!$T35</f>
        <v>Tranche 4:</v>
      </c>
      <c r="P28" s="622"/>
      <c r="Q28" s="622"/>
      <c r="R28" s="623"/>
      <c r="S28" s="621" t="str">
        <f>Assm!$T44</f>
        <v>Tranche 5:</v>
      </c>
      <c r="T28" s="622"/>
      <c r="U28" s="622"/>
      <c r="V28" s="623"/>
      <c r="W28" s="621" t="str">
        <f>Assm!$T53</f>
        <v>Tranche 6: Subordinated Debt</v>
      </c>
      <c r="X28" s="622"/>
      <c r="Y28" s="622"/>
      <c r="Z28" s="623"/>
      <c r="AA28" s="395"/>
      <c r="AB28" s="144"/>
      <c r="AC28" s="395"/>
      <c r="AD28" s="144"/>
      <c r="AE28" s="1262"/>
    </row>
    <row r="29" spans="1:36">
      <c r="A29" s="74" t="s">
        <v>204</v>
      </c>
      <c r="B29" s="9"/>
      <c r="C29" s="3" t="s">
        <v>74</v>
      </c>
      <c r="D29" s="8"/>
      <c r="F29" s="61">
        <f ca="1">Assm!$X9</f>
        <v>93710.455509278516</v>
      </c>
      <c r="G29" s="3" t="s">
        <v>74</v>
      </c>
      <c r="H29" s="8"/>
      <c r="J29" s="61">
        <f>Assm!$X18</f>
        <v>0</v>
      </c>
      <c r="K29" s="3" t="s">
        <v>74</v>
      </c>
      <c r="L29" s="8"/>
      <c r="N29" s="93">
        <f>Assm!$X27</f>
        <v>0</v>
      </c>
      <c r="O29" s="3" t="s">
        <v>74</v>
      </c>
      <c r="P29" s="8"/>
      <c r="R29" s="93">
        <f>Assm!$X36</f>
        <v>0</v>
      </c>
      <c r="S29" s="3" t="s">
        <v>74</v>
      </c>
      <c r="T29" s="8"/>
      <c r="V29" s="93">
        <f>Assm!$X45</f>
        <v>0</v>
      </c>
      <c r="W29" s="3" t="s">
        <v>74</v>
      </c>
      <c r="X29" s="8"/>
      <c r="Z29" s="61">
        <f ca="1">Assm!$X54</f>
        <v>2473.6369961856835</v>
      </c>
      <c r="AA29" s="3"/>
      <c r="AB29" s="150"/>
      <c r="AC29" s="3"/>
      <c r="AD29" s="150"/>
      <c r="AE29" s="1263"/>
    </row>
    <row r="30" spans="1:36">
      <c r="A30" s="139"/>
      <c r="B30" s="9"/>
      <c r="C30" s="3" t="s">
        <v>758</v>
      </c>
      <c r="D30" s="8"/>
      <c r="F30" s="922">
        <f>Assm!$U11</f>
        <v>15</v>
      </c>
      <c r="G30" s="3" t="s">
        <v>758</v>
      </c>
      <c r="H30" s="8"/>
      <c r="J30" s="922">
        <f>Assm!$U20</f>
        <v>0</v>
      </c>
      <c r="K30" s="3" t="s">
        <v>758</v>
      </c>
      <c r="L30" s="8"/>
      <c r="N30" s="922">
        <f>Assm!$U29</f>
        <v>0</v>
      </c>
      <c r="O30" s="3" t="s">
        <v>758</v>
      </c>
      <c r="P30" s="8"/>
      <c r="R30" s="922">
        <f>Assm!$U38</f>
        <v>0</v>
      </c>
      <c r="S30" s="3" t="s">
        <v>758</v>
      </c>
      <c r="T30" s="8"/>
      <c r="V30" s="922">
        <f>Assm!$U47</f>
        <v>0</v>
      </c>
      <c r="W30" s="3" t="s">
        <v>758</v>
      </c>
      <c r="X30" s="8"/>
      <c r="Z30" s="922">
        <f>Assm!$U56</f>
        <v>12</v>
      </c>
      <c r="AA30" s="3"/>
      <c r="AB30" s="150"/>
      <c r="AC30" s="3"/>
      <c r="AD30" s="150"/>
      <c r="AE30" s="1263"/>
    </row>
    <row r="31" spans="1:36">
      <c r="A31" s="139"/>
      <c r="B31" s="9"/>
      <c r="C31" s="3" t="s">
        <v>759</v>
      </c>
      <c r="D31" s="8"/>
      <c r="F31" s="922">
        <f ca="1">Assm!$X11</f>
        <v>29</v>
      </c>
      <c r="G31" s="3" t="s">
        <v>759</v>
      </c>
      <c r="H31" s="8"/>
      <c r="I31" s="8"/>
      <c r="J31" s="922">
        <f ca="1">Assm!$X20</f>
        <v>0</v>
      </c>
      <c r="K31" s="3" t="s">
        <v>759</v>
      </c>
      <c r="L31" s="8"/>
      <c r="M31" s="638"/>
      <c r="N31" s="922">
        <f ca="1">Assm!$X29</f>
        <v>0</v>
      </c>
      <c r="O31" s="3" t="s">
        <v>759</v>
      </c>
      <c r="P31" s="8"/>
      <c r="Q31" s="638"/>
      <c r="R31" s="922">
        <f ca="1">Assm!$X38</f>
        <v>0</v>
      </c>
      <c r="S31" s="3" t="s">
        <v>759</v>
      </c>
      <c r="T31" s="8"/>
      <c r="U31" s="638"/>
      <c r="V31" s="922">
        <f ca="1">Assm!$X47</f>
        <v>0</v>
      </c>
      <c r="W31" s="3" t="s">
        <v>759</v>
      </c>
      <c r="X31" s="8"/>
      <c r="Y31" s="638"/>
      <c r="Z31" s="922">
        <f ca="1">Assm!$X56</f>
        <v>23</v>
      </c>
      <c r="AA31" s="3"/>
      <c r="AB31" s="150"/>
      <c r="AC31" s="3"/>
      <c r="AD31" s="150"/>
      <c r="AE31" s="1263"/>
    </row>
    <row r="32" spans="1:36" ht="13.5" thickBot="1">
      <c r="A32" s="139"/>
      <c r="B32" s="9"/>
      <c r="C32" s="3" t="s">
        <v>75</v>
      </c>
      <c r="D32" s="8"/>
      <c r="F32" s="923">
        <f>Assm!$X14</f>
        <v>0.1101</v>
      </c>
      <c r="G32" s="3" t="s">
        <v>75</v>
      </c>
      <c r="H32" s="8"/>
      <c r="J32" s="923">
        <f>Assm!$X23</f>
        <v>9.2700000000000005E-2</v>
      </c>
      <c r="K32" s="3" t="s">
        <v>75</v>
      </c>
      <c r="L32" s="8"/>
      <c r="N32" s="923">
        <f>Assm!$X32</f>
        <v>0</v>
      </c>
      <c r="O32" s="3" t="s">
        <v>75</v>
      </c>
      <c r="P32" s="8"/>
      <c r="R32" s="923">
        <f>Assm!$X41</f>
        <v>0</v>
      </c>
      <c r="S32" s="3" t="s">
        <v>75</v>
      </c>
      <c r="T32" s="8"/>
      <c r="V32" s="923">
        <f>Assm!$X50</f>
        <v>0</v>
      </c>
      <c r="W32" s="3" t="s">
        <v>75</v>
      </c>
      <c r="X32" s="8"/>
      <c r="Z32" s="923">
        <f>Assm!$X59</f>
        <v>0.13</v>
      </c>
      <c r="AA32" s="3"/>
      <c r="AB32" s="150"/>
      <c r="AC32" s="3"/>
      <c r="AD32" s="150"/>
      <c r="AE32" s="1263"/>
    </row>
    <row r="33" spans="1:44">
      <c r="A33" s="139"/>
      <c r="B33" s="9"/>
      <c r="C33" s="3" t="s">
        <v>591</v>
      </c>
      <c r="D33" s="8"/>
      <c r="F33" s="922">
        <f>Assm!$X12</f>
        <v>1</v>
      </c>
      <c r="G33" s="3" t="s">
        <v>591</v>
      </c>
      <c r="H33" s="8"/>
      <c r="J33" s="924">
        <f>Assm!$X21</f>
        <v>1</v>
      </c>
      <c r="K33" s="3" t="s">
        <v>591</v>
      </c>
      <c r="L33" s="8"/>
      <c r="M33" s="638">
        <f>Assm!$X30</f>
        <v>0</v>
      </c>
      <c r="N33" s="9" t="s">
        <v>205</v>
      </c>
      <c r="O33" s="3" t="s">
        <v>591</v>
      </c>
      <c r="P33" s="8"/>
      <c r="R33" s="922">
        <f>Assm!$X39</f>
        <v>0</v>
      </c>
      <c r="S33" s="3" t="s">
        <v>591</v>
      </c>
      <c r="T33" s="8"/>
      <c r="V33" s="922">
        <f>Assm!$X48</f>
        <v>0</v>
      </c>
      <c r="W33" s="3" t="s">
        <v>591</v>
      </c>
      <c r="X33" s="8"/>
      <c r="Z33" s="922">
        <f>Assm!$X57</f>
        <v>1</v>
      </c>
      <c r="AA33" s="3"/>
      <c r="AB33" s="150"/>
      <c r="AC33" s="3"/>
      <c r="AD33" s="150"/>
      <c r="AE33" s="1263"/>
      <c r="AG33" s="761" t="s">
        <v>760</v>
      </c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70"/>
    </row>
    <row r="34" spans="1:44">
      <c r="A34" s="139"/>
      <c r="B34" s="9"/>
      <c r="C34" s="3" t="str">
        <f>IF(F34=0,"NOT AMORTIZED",CHOOSE(F34,"STRAIGHT LINE AMORTIZATION","MORTGAGE STYLE AMORTIZATION","CUSTOM AMORTIATION"))</f>
        <v>CUSTOM AMORTIATION</v>
      </c>
      <c r="D34" s="8"/>
      <c r="E34" s="8"/>
      <c r="F34" s="42">
        <f>Assm!$X10</f>
        <v>3</v>
      </c>
      <c r="G34" s="3" t="str">
        <f>IF(J34=0,"NOT AMORTIZED",CHOOSE(J34,"STRAIGHT LINE AMORTIZATION","MORTGAGE STYLE AMORTIZATION","CUSTOM AMORTIATION"))</f>
        <v>MORTGAGE STYLE AMORTIZATION</v>
      </c>
      <c r="H34" s="8"/>
      <c r="I34" s="8"/>
      <c r="J34" s="42">
        <f>Assm!$X19</f>
        <v>2</v>
      </c>
      <c r="K34" s="3" t="str">
        <f>IF(N34=0,"NOT AMORTIZED",CHOOSE(N34,"STRAIGHT LINE AMORTIZATION","MORTGAGE STYLE AMORTIZATION","CUSTOM AMORTIATION"))</f>
        <v>NOT AMORTIZED</v>
      </c>
      <c r="L34" s="8"/>
      <c r="M34" s="8"/>
      <c r="N34" s="42">
        <f>Assm!$X28</f>
        <v>0</v>
      </c>
      <c r="O34" s="3" t="str">
        <f>IF(R34=0,"NOT AMORTIZED",CHOOSE(R34,"STRAIGHT LINE AMORTIZATION","MORTGAGE STYLE AMORTIZATION","CUSTOM AMORTIATION"))</f>
        <v>NOT AMORTIZED</v>
      </c>
      <c r="P34" s="8"/>
      <c r="Q34" s="8"/>
      <c r="R34" s="42">
        <f>Assm!$X37</f>
        <v>0</v>
      </c>
      <c r="S34" s="3" t="str">
        <f>IF(V34=0,"NOT AMORTIZED",CHOOSE(V34,"STRAIGHT LINE AMORTIZATION","MORTGAGE STYLE AMORTIZATION","CUSTOM AMORTIATION"))</f>
        <v>NOT AMORTIZED</v>
      </c>
      <c r="T34" s="8"/>
      <c r="U34" s="8"/>
      <c r="V34" s="42">
        <f>Assm!$X46</f>
        <v>0</v>
      </c>
      <c r="W34" s="3" t="str">
        <f>IF(Z34=0,"NOT AMORTIZED",CHOOSE(Z34,"STRAIGHT LINE AMORTIZATION","MORTGAGE STYLE AMORTIZATION","CUSTOM AMORTIATION"))</f>
        <v>MORTGAGE STYLE AMORTIZATION</v>
      </c>
      <c r="X34" s="8"/>
      <c r="Y34" s="8"/>
      <c r="Z34" s="42">
        <f>Assm!$X55</f>
        <v>2</v>
      </c>
      <c r="AA34" s="68" t="s">
        <v>192</v>
      </c>
      <c r="AB34" s="172" t="s">
        <v>192</v>
      </c>
      <c r="AC34" s="68" t="s">
        <v>192</v>
      </c>
      <c r="AD34" s="172" t="s">
        <v>192</v>
      </c>
      <c r="AE34" s="1263"/>
      <c r="AG34" s="139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150"/>
    </row>
    <row r="35" spans="1:44">
      <c r="A35" s="139"/>
      <c r="B35" s="9"/>
      <c r="C35" s="3"/>
      <c r="D35" s="8"/>
      <c r="E35" s="8"/>
      <c r="F35" s="9"/>
      <c r="G35" s="3"/>
      <c r="H35" s="8"/>
      <c r="I35" s="8"/>
      <c r="J35" s="9"/>
      <c r="K35" s="3"/>
      <c r="L35" s="8"/>
      <c r="M35" s="8"/>
      <c r="N35" s="9"/>
      <c r="O35" s="3"/>
      <c r="P35" s="8"/>
      <c r="Q35" s="8"/>
      <c r="R35" s="9"/>
      <c r="S35" s="3"/>
      <c r="T35" s="8"/>
      <c r="U35" s="8"/>
      <c r="V35" s="9"/>
      <c r="W35" s="3"/>
      <c r="X35" s="8"/>
      <c r="Y35" s="8"/>
      <c r="Z35" s="9"/>
      <c r="AA35" s="68" t="s">
        <v>735</v>
      </c>
      <c r="AB35" s="172" t="s">
        <v>735</v>
      </c>
      <c r="AC35" s="68" t="s">
        <v>1136</v>
      </c>
      <c r="AD35" s="172" t="s">
        <v>1136</v>
      </c>
      <c r="AE35" s="1263" t="s">
        <v>47</v>
      </c>
      <c r="AG35" s="925" t="s">
        <v>761</v>
      </c>
      <c r="AH35" s="926" t="s">
        <v>732</v>
      </c>
      <c r="AI35" s="927" t="s">
        <v>762</v>
      </c>
      <c r="AJ35" s="928" t="s">
        <v>732</v>
      </c>
      <c r="AK35" s="927" t="s">
        <v>763</v>
      </c>
      <c r="AL35" s="928" t="s">
        <v>732</v>
      </c>
      <c r="AM35" s="927" t="s">
        <v>764</v>
      </c>
      <c r="AN35" s="928" t="s">
        <v>732</v>
      </c>
      <c r="AO35" s="927" t="s">
        <v>765</v>
      </c>
      <c r="AP35" s="928" t="s">
        <v>732</v>
      </c>
      <c r="AQ35" s="927" t="s">
        <v>766</v>
      </c>
      <c r="AR35" s="929" t="s">
        <v>732</v>
      </c>
    </row>
    <row r="36" spans="1:44">
      <c r="A36" s="543" t="s">
        <v>105</v>
      </c>
      <c r="B36" s="58" t="s">
        <v>206</v>
      </c>
      <c r="C36" s="57" t="s">
        <v>207</v>
      </c>
      <c r="D36" s="59" t="s">
        <v>208</v>
      </c>
      <c r="E36" s="59" t="s">
        <v>209</v>
      </c>
      <c r="F36" s="58" t="s">
        <v>210</v>
      </c>
      <c r="G36" s="57" t="s">
        <v>207</v>
      </c>
      <c r="H36" s="59" t="s">
        <v>208</v>
      </c>
      <c r="I36" s="59" t="s">
        <v>209</v>
      </c>
      <c r="J36" s="58" t="s">
        <v>210</v>
      </c>
      <c r="K36" s="57" t="s">
        <v>207</v>
      </c>
      <c r="L36" s="59" t="s">
        <v>208</v>
      </c>
      <c r="M36" s="59" t="s">
        <v>209</v>
      </c>
      <c r="N36" s="58" t="s">
        <v>210</v>
      </c>
      <c r="O36" s="57" t="s">
        <v>207</v>
      </c>
      <c r="P36" s="59" t="s">
        <v>208</v>
      </c>
      <c r="Q36" s="59" t="s">
        <v>209</v>
      </c>
      <c r="R36" s="58" t="s">
        <v>210</v>
      </c>
      <c r="S36" s="57" t="s">
        <v>207</v>
      </c>
      <c r="T36" s="59" t="s">
        <v>208</v>
      </c>
      <c r="U36" s="59" t="s">
        <v>209</v>
      </c>
      <c r="V36" s="58" t="s">
        <v>210</v>
      </c>
      <c r="W36" s="57" t="s">
        <v>207</v>
      </c>
      <c r="X36" s="59" t="s">
        <v>208</v>
      </c>
      <c r="Y36" s="59" t="s">
        <v>209</v>
      </c>
      <c r="Z36" s="58" t="s">
        <v>210</v>
      </c>
      <c r="AA36" s="57" t="s">
        <v>208</v>
      </c>
      <c r="AB36" s="544" t="s">
        <v>209</v>
      </c>
      <c r="AC36" s="57" t="s">
        <v>208</v>
      </c>
      <c r="AD36" s="544" t="s">
        <v>209</v>
      </c>
      <c r="AE36" s="1263" t="s">
        <v>48</v>
      </c>
      <c r="AG36" s="762" t="s">
        <v>209</v>
      </c>
      <c r="AH36" s="58" t="s">
        <v>733</v>
      </c>
      <c r="AI36" s="930" t="s">
        <v>209</v>
      </c>
      <c r="AJ36" s="34" t="s">
        <v>733</v>
      </c>
      <c r="AK36" s="930" t="s">
        <v>209</v>
      </c>
      <c r="AL36" s="34" t="s">
        <v>733</v>
      </c>
      <c r="AM36" s="930" t="s">
        <v>209</v>
      </c>
      <c r="AN36" s="34" t="s">
        <v>733</v>
      </c>
      <c r="AO36" s="930" t="s">
        <v>209</v>
      </c>
      <c r="AP36" s="34" t="s">
        <v>733</v>
      </c>
      <c r="AQ36" s="930" t="s">
        <v>209</v>
      </c>
      <c r="AR36" s="140" t="s">
        <v>733</v>
      </c>
    </row>
    <row r="37" spans="1:44">
      <c r="A37" s="359">
        <f>YEAR(Startops2)</f>
        <v>2001</v>
      </c>
      <c r="B37" s="44">
        <f>IF(MONTH(Startops2)&gt;6, 0, 1)</f>
        <v>0</v>
      </c>
      <c r="C37" s="60">
        <f ca="1">F29</f>
        <v>93710.455509278516</v>
      </c>
      <c r="D37" s="381">
        <f>IF(MONTH(Startops2)&lt;=6,C37*F$32*(7-MONTH(Startops2))/12,0)</f>
        <v>0</v>
      </c>
      <c r="E37" s="259">
        <f ca="1">IF($B37&gt;=F$31,C37,IF(F$33&gt;=$B37, 0, IF(C37&gt;1, CHOOSE(F$34,F$29/(F$31-F$33), -PMT(F$32/2,F$31-$B36,C37,0)-D37,F$29*$AH37), 0)))*Assm!$X$90</f>
        <v>0</v>
      </c>
      <c r="F37" s="61">
        <f ca="1">C37-E37</f>
        <v>93710.455509278516</v>
      </c>
      <c r="G37" s="60">
        <f>J29</f>
        <v>0</v>
      </c>
      <c r="H37" s="381">
        <f>IF(MONTH(Startops2)&lt;=6,G37*J$32*(7-MONTH(Startops2))/12,0)</f>
        <v>0</v>
      </c>
      <c r="I37" s="259">
        <f t="shared" ref="I37:I76" ca="1" si="11">IF($B37&gt;=J$31,G37,IF(J$33&gt;=$B37, 0, IF(G37&gt;1, CHOOSE(J$34,J$29/(J$31-J$33), -PMT(J$32/2,J$31-$B36,G37,0)-H37,J$29*$AJ37), 0)))</f>
        <v>0</v>
      </c>
      <c r="J37" s="61">
        <f ca="1">G37-I37</f>
        <v>0</v>
      </c>
      <c r="K37" s="60">
        <f>N29</f>
        <v>0</v>
      </c>
      <c r="L37" s="381">
        <f>IF(MONTH(Startops2)&lt;=6,K37*N$32*(7-MONTH(Startops2))/12,0)</f>
        <v>0</v>
      </c>
      <c r="M37" s="259">
        <f t="shared" ref="M37:M76" ca="1" si="12">IF($B37&gt;=N$31,K37,IF(N$33&gt;=$B37, 0, IF(K37&gt;1, CHOOSE(N$34,N$29/(N$31-N$33), -PMT(N$32/2,N$31-$B36,K37,0)-L37,N$29*$AL37), 0)))</f>
        <v>0</v>
      </c>
      <c r="N37" s="61">
        <f ca="1">K37-M37</f>
        <v>0</v>
      </c>
      <c r="O37" s="60">
        <f>R29</f>
        <v>0</v>
      </c>
      <c r="P37" s="381">
        <f>IF(MONTH(Startops2)&lt;=6,O37*R$32*(7-MONTH(Startops2))/12,0)</f>
        <v>0</v>
      </c>
      <c r="Q37" s="259">
        <f t="shared" ref="Q37:Q76" ca="1" si="13">IF($B37&gt;=R$31,O37,IF(R$33&gt;=$B37, 0, IF(O37&gt;1, CHOOSE(R$34,R$29/(R$31-R$33), -PMT(R$32/2,R$31-$B36,O37,0)-P37,R$29*$AN37), 0)))</f>
        <v>0</v>
      </c>
      <c r="R37" s="61">
        <f ca="1">O37-Q37</f>
        <v>0</v>
      </c>
      <c r="S37" s="60">
        <f>V29</f>
        <v>0</v>
      </c>
      <c r="T37" s="381">
        <f>IF(MONTH(Startops2)&lt;=6,S37*V$32*(7-MONTH(Startops2))/12,0)</f>
        <v>0</v>
      </c>
      <c r="U37" s="259">
        <f t="shared" ref="U37:U76" ca="1" si="14">IF($B37&gt;=V$31,S37,IF(V$33&gt;=$B37, 0, IF(S37&gt;1, CHOOSE(V$34,V$29/(V$31-V$33), -PMT(V$32/2,V$31-$B36,S37,0)-T37,V$29*$AP37), 0)))</f>
        <v>0</v>
      </c>
      <c r="V37" s="61">
        <f ca="1">S37-U37</f>
        <v>0</v>
      </c>
      <c r="W37" s="60">
        <f ca="1">Z29</f>
        <v>2473.6369961856835</v>
      </c>
      <c r="X37" s="381">
        <f>IF(MONTH(Startops2)&lt;=6,W37*Z$32*(7-MONTH(Startops2))/12,0)</f>
        <v>0</v>
      </c>
      <c r="Y37" s="259">
        <f t="shared" ref="Y37:Y76" ca="1" si="15">IF($B37&gt;=Z$31,W37,IF(Z$33&gt;=$B37, 0, IF(W37&gt;1, CHOOSE(Z$34,Z$29/(Z$31-Z$33), -PMT(Z$32/2,Z$31-$B36,W37,0)-X37,Z$29*$AR37), 0)))</f>
        <v>0</v>
      </c>
      <c r="Z37" s="61">
        <f ca="1">W37-Y37</f>
        <v>2473.6369961856835</v>
      </c>
      <c r="AA37" s="53"/>
      <c r="AB37" s="183"/>
      <c r="AC37" s="53"/>
      <c r="AD37" s="183"/>
      <c r="AE37" s="1263"/>
      <c r="AG37" s="889">
        <v>0</v>
      </c>
      <c r="AH37" s="191">
        <f t="shared" ref="AH37:AH76" si="16">IF(AG$77=0,0,AG37/AG$77)</f>
        <v>0</v>
      </c>
      <c r="AI37" s="931">
        <v>0</v>
      </c>
      <c r="AJ37" s="21">
        <f t="shared" ref="AJ37:AJ76" si="17">IF(AI$77=0,0,AI37/AI$77)</f>
        <v>0</v>
      </c>
      <c r="AK37" s="931">
        <v>0</v>
      </c>
      <c r="AL37" s="21">
        <f t="shared" ref="AL37:AL76" si="18">IF(AK$77=0,0,AK37/AK$77)</f>
        <v>0</v>
      </c>
      <c r="AM37" s="931">
        <v>0</v>
      </c>
      <c r="AN37" s="21">
        <f t="shared" ref="AN37:AN76" si="19">IF(AM$77=0,0,AM37/AM$77)</f>
        <v>0</v>
      </c>
      <c r="AO37" s="931">
        <v>0</v>
      </c>
      <c r="AP37" s="21">
        <f t="shared" ref="AP37:AP76" si="20">IF(AO$77=0,0,AO37/AO$77)</f>
        <v>0</v>
      </c>
      <c r="AQ37" s="931">
        <v>0</v>
      </c>
      <c r="AR37" s="191">
        <f t="shared" ref="AR37:AR76" si="21">IF(AQ$77=0,0,AQ37/AQ$77)</f>
        <v>0</v>
      </c>
    </row>
    <row r="38" spans="1:44">
      <c r="A38" s="545">
        <f>A37</f>
        <v>2001</v>
      </c>
      <c r="B38" s="310">
        <f>B37+1</f>
        <v>1</v>
      </c>
      <c r="C38" s="62">
        <f t="shared" ref="C38:C76" ca="1" si="22">F37</f>
        <v>93710.455509278516</v>
      </c>
      <c r="D38" s="63">
        <f ca="1">IF(MONTH(Startops2)&gt;6, C38*F$32*(13-MONTH(Startops2))/12, C38*F$32*0.5)</f>
        <v>4298.9671464881521</v>
      </c>
      <c r="E38" s="265">
        <f ca="1">IF($B38&gt;=F$31,C38,IF(F$33&gt;=$B38, 0, IF(C38&gt;1, CHOOSE(F$34,F$29/(F$31-F$33), -PMT(F$32/2,F$31-$B37,C38,0)-D38,F$29*$AH38), 0)))*Assm!$X$90</f>
        <v>0</v>
      </c>
      <c r="F38" s="65">
        <f ca="1">C38-E38</f>
        <v>93710.455509278516</v>
      </c>
      <c r="G38" s="62">
        <f t="shared" ref="G38:G76" ca="1" si="23">J37</f>
        <v>0</v>
      </c>
      <c r="H38" s="63">
        <f ca="1">IF(MONTH(Startops2)&gt;6, G38*J$32*(13-MONTH(Startops2))/12, G38*J$32*0.5)</f>
        <v>0</v>
      </c>
      <c r="I38" s="64">
        <f t="shared" ca="1" si="11"/>
        <v>0</v>
      </c>
      <c r="J38" s="65">
        <f ca="1">G38-I38</f>
        <v>0</v>
      </c>
      <c r="K38" s="62">
        <f t="shared" ref="K38:K76" ca="1" si="24">N37</f>
        <v>0</v>
      </c>
      <c r="L38" s="63">
        <f ca="1">IF(MONTH(Startops2)&gt;6, K38*N$32*(13-MONTH(Startops2))/12, K38*N$32*0.5)</f>
        <v>0</v>
      </c>
      <c r="M38" s="64">
        <f t="shared" ca="1" si="12"/>
        <v>0</v>
      </c>
      <c r="N38" s="65">
        <f ca="1">K38-M38</f>
        <v>0</v>
      </c>
      <c r="O38" s="62">
        <f t="shared" ref="O38:O76" ca="1" si="25">R37</f>
        <v>0</v>
      </c>
      <c r="P38" s="63">
        <f ca="1">IF(MONTH(Startops2)&gt;6, O38*R$32*(13-MONTH(Startops2))/12, O38*R$32*0.5)</f>
        <v>0</v>
      </c>
      <c r="Q38" s="64">
        <f t="shared" ca="1" si="13"/>
        <v>0</v>
      </c>
      <c r="R38" s="65">
        <f ca="1">O38-Q38</f>
        <v>0</v>
      </c>
      <c r="S38" s="62">
        <f t="shared" ref="S38:S76" ca="1" si="26">V37</f>
        <v>0</v>
      </c>
      <c r="T38" s="63">
        <f ca="1">IF(MONTH(Startops2)&gt;6, S38*V$32*(13-MONTH(Startops2))/12, S38*V$32*0.5)</f>
        <v>0</v>
      </c>
      <c r="U38" s="64">
        <f t="shared" ca="1" si="14"/>
        <v>0</v>
      </c>
      <c r="V38" s="65">
        <f ca="1">S38-U38</f>
        <v>0</v>
      </c>
      <c r="W38" s="62">
        <f t="shared" ref="W38:W76" ca="1" si="27">Z37</f>
        <v>2473.6369961856835</v>
      </c>
      <c r="X38" s="63">
        <f ca="1">IF(MONTH(Startops2)&gt;6, W38*Z$32*(13-MONTH(Startops2))/12, W38*Z$32*0.5)</f>
        <v>133.98867062672454</v>
      </c>
      <c r="Y38" s="64">
        <f t="shared" ca="1" si="15"/>
        <v>0</v>
      </c>
      <c r="Z38" s="65">
        <f ca="1">W38-Y38</f>
        <v>2473.6369961856835</v>
      </c>
      <c r="AA38" s="64">
        <f ca="1">SUM(D37:D38,H37:H38,L37:L38, P37:P38, T37:T38)</f>
        <v>4298.9671464881521</v>
      </c>
      <c r="AB38" s="546">
        <f ca="1">SUM(E37:E38, I37:I38, M37:M38, Q37:Q38, U37:U38)</f>
        <v>0</v>
      </c>
      <c r="AC38" s="64">
        <f ca="1">SUM( X37:X38)</f>
        <v>133.98867062672454</v>
      </c>
      <c r="AD38" s="546">
        <f ca="1">SUM(Y37:Y38)</f>
        <v>0</v>
      </c>
      <c r="AE38" s="1264">
        <f ca="1">(C37+W37)*IF([4]RAROC!$B$103=1,VLOOKUP(A38,[4]!Guar_Fee_Table,2),IF([4]RAROC!$B$103=2,VLOOKUP(A38,[4]!Guar_Fee_Table,3),IF([4]RAROC!$B$103=3,VLOOKUP(A38,[4]!Guar_Fee_Table,4))))*((13-MONTH(Startops2))/12)</f>
        <v>1603.0682084244033</v>
      </c>
      <c r="AG38" s="889">
        <f>3556.85714285714-450</f>
        <v>3106.8571428571399</v>
      </c>
      <c r="AH38" s="191">
        <f t="shared" si="16"/>
        <v>1.55342857142857E-2</v>
      </c>
      <c r="AI38" s="931">
        <v>0</v>
      </c>
      <c r="AJ38" s="21">
        <f t="shared" si="17"/>
        <v>0</v>
      </c>
      <c r="AK38" s="931">
        <v>0</v>
      </c>
      <c r="AL38" s="21">
        <f t="shared" si="18"/>
        <v>0</v>
      </c>
      <c r="AM38" s="931">
        <v>0</v>
      </c>
      <c r="AN38" s="21">
        <f t="shared" si="19"/>
        <v>0</v>
      </c>
      <c r="AO38" s="931">
        <v>0</v>
      </c>
      <c r="AP38" s="21">
        <f t="shared" si="20"/>
        <v>0</v>
      </c>
      <c r="AQ38" s="931">
        <v>0</v>
      </c>
      <c r="AR38" s="191">
        <f t="shared" si="21"/>
        <v>0</v>
      </c>
    </row>
    <row r="39" spans="1:44">
      <c r="A39" s="359">
        <f>A37+1</f>
        <v>2002</v>
      </c>
      <c r="B39" s="44">
        <f t="shared" ref="B39:B54" si="28">B38+1</f>
        <v>2</v>
      </c>
      <c r="C39" s="60">
        <f t="shared" ca="1" si="22"/>
        <v>93710.455509278516</v>
      </c>
      <c r="D39" s="53">
        <f t="shared" ref="D39:D76" ca="1" si="29">C39*F$32*0.5</f>
        <v>5158.7605757857827</v>
      </c>
      <c r="E39" s="259">
        <f ca="1">IF($B39&gt;=F$31,C39,IF(F$33&gt;=$B39, 0, IF(C39&gt;1, CHOOSE(F$34,F$29/(F$31-F$33), -PMT(F$32/2,F$31-$B38,C39,0)-D39,F$29*$AH39), 0)))*Assm!$X$90</f>
        <v>702.76148027993975</v>
      </c>
      <c r="F39" s="61">
        <f t="shared" ref="F39:F54" ca="1" si="30">C39-E39</f>
        <v>93007.69402899858</v>
      </c>
      <c r="G39" s="60">
        <f t="shared" ca="1" si="23"/>
        <v>0</v>
      </c>
      <c r="H39" s="53">
        <f t="shared" ref="H39:H76" ca="1" si="31">G39*J$32*0.5</f>
        <v>0</v>
      </c>
      <c r="I39" s="53">
        <f t="shared" ca="1" si="11"/>
        <v>0</v>
      </c>
      <c r="J39" s="61">
        <f t="shared" ref="J39:J76" ca="1" si="32">G39-I39</f>
        <v>0</v>
      </c>
      <c r="K39" s="60">
        <f t="shared" ca="1" si="24"/>
        <v>0</v>
      </c>
      <c r="L39" s="53">
        <f t="shared" ref="L39:L76" ca="1" si="33">K39*N$32*0.5</f>
        <v>0</v>
      </c>
      <c r="M39" s="53">
        <f t="shared" ca="1" si="12"/>
        <v>0</v>
      </c>
      <c r="N39" s="61">
        <f t="shared" ref="N39:N76" ca="1" si="34">K39-M39</f>
        <v>0</v>
      </c>
      <c r="O39" s="60">
        <f t="shared" ca="1" si="25"/>
        <v>0</v>
      </c>
      <c r="P39" s="53">
        <f t="shared" ref="P39:P76" ca="1" si="35">O39*R$32*0.5</f>
        <v>0</v>
      </c>
      <c r="Q39" s="53">
        <f t="shared" ca="1" si="13"/>
        <v>0</v>
      </c>
      <c r="R39" s="61">
        <f t="shared" ref="R39:R76" ca="1" si="36">O39-Q39</f>
        <v>0</v>
      </c>
      <c r="S39" s="60">
        <f t="shared" ca="1" si="26"/>
        <v>0</v>
      </c>
      <c r="T39" s="53">
        <f t="shared" ref="T39:T76" ca="1" si="37">S39*V$32*0.5</f>
        <v>0</v>
      </c>
      <c r="U39" s="53">
        <f t="shared" ca="1" si="14"/>
        <v>0</v>
      </c>
      <c r="V39" s="61">
        <f t="shared" ref="V39:V76" ca="1" si="38">S39-U39</f>
        <v>0</v>
      </c>
      <c r="W39" s="60">
        <f t="shared" ca="1" si="27"/>
        <v>2473.6369961856835</v>
      </c>
      <c r="X39" s="53">
        <f t="shared" ref="X39:X76" ca="1" si="39">W39*Z$32*0.5</f>
        <v>160.78640475206944</v>
      </c>
      <c r="Y39" s="53">
        <f t="shared" ca="1" si="15"/>
        <v>53.656165497145764</v>
      </c>
      <c r="Z39" s="61">
        <f t="shared" ref="Z39:Z76" ca="1" si="40">W39-Y39</f>
        <v>2419.9808306885379</v>
      </c>
      <c r="AA39" s="53"/>
      <c r="AB39" s="183"/>
      <c r="AC39" s="53"/>
      <c r="AD39" s="183"/>
      <c r="AE39" s="1263"/>
      <c r="AG39" s="889">
        <f>-0.142857142856201+1500</f>
        <v>1499.8571428571438</v>
      </c>
      <c r="AH39" s="191">
        <f t="shared" si="16"/>
        <v>7.4992857142857187E-3</v>
      </c>
      <c r="AI39" s="931">
        <v>0</v>
      </c>
      <c r="AJ39" s="21">
        <f t="shared" si="17"/>
        <v>0</v>
      </c>
      <c r="AK39" s="931">
        <v>0</v>
      </c>
      <c r="AL39" s="21">
        <f t="shared" si="18"/>
        <v>0</v>
      </c>
      <c r="AM39" s="931">
        <v>0</v>
      </c>
      <c r="AN39" s="21">
        <f t="shared" si="19"/>
        <v>0</v>
      </c>
      <c r="AO39" s="931">
        <v>0</v>
      </c>
      <c r="AP39" s="21">
        <f t="shared" si="20"/>
        <v>0</v>
      </c>
      <c r="AQ39" s="931">
        <v>0</v>
      </c>
      <c r="AR39" s="191">
        <f t="shared" si="21"/>
        <v>0</v>
      </c>
    </row>
    <row r="40" spans="1:44">
      <c r="A40" s="545">
        <f>A39</f>
        <v>2002</v>
      </c>
      <c r="B40" s="310">
        <f t="shared" si="28"/>
        <v>3</v>
      </c>
      <c r="C40" s="62">
        <f t="shared" ca="1" si="22"/>
        <v>93007.69402899858</v>
      </c>
      <c r="D40" s="64">
        <f t="shared" ca="1" si="29"/>
        <v>5120.0735562963719</v>
      </c>
      <c r="E40" s="265">
        <f ca="1">IF($B40&gt;=F$31,C40,IF(F$33&gt;=$B40, 0, IF(C40&gt;1, CHOOSE(F$34,F$29/(F$31-F$33), -PMT(F$32/2,F$31-$B39,C40,0)-D40,F$29*$AH40), 0)))*Assm!$X$90</f>
        <v>702.76148027993975</v>
      </c>
      <c r="F40" s="65">
        <f t="shared" ca="1" si="30"/>
        <v>92304.932548718643</v>
      </c>
      <c r="G40" s="62">
        <f t="shared" ca="1" si="23"/>
        <v>0</v>
      </c>
      <c r="H40" s="64">
        <f t="shared" ca="1" si="31"/>
        <v>0</v>
      </c>
      <c r="I40" s="64">
        <f t="shared" ca="1" si="11"/>
        <v>0</v>
      </c>
      <c r="J40" s="65">
        <f t="shared" ca="1" si="32"/>
        <v>0</v>
      </c>
      <c r="K40" s="62">
        <f t="shared" ca="1" si="24"/>
        <v>0</v>
      </c>
      <c r="L40" s="64">
        <f t="shared" ca="1" si="33"/>
        <v>0</v>
      </c>
      <c r="M40" s="64">
        <f t="shared" ca="1" si="12"/>
        <v>0</v>
      </c>
      <c r="N40" s="65">
        <f t="shared" ca="1" si="34"/>
        <v>0</v>
      </c>
      <c r="O40" s="62">
        <f t="shared" ca="1" si="25"/>
        <v>0</v>
      </c>
      <c r="P40" s="64">
        <f t="shared" ca="1" si="35"/>
        <v>0</v>
      </c>
      <c r="Q40" s="64">
        <f t="shared" ca="1" si="13"/>
        <v>0</v>
      </c>
      <c r="R40" s="65">
        <f t="shared" ca="1" si="36"/>
        <v>0</v>
      </c>
      <c r="S40" s="62">
        <f t="shared" ca="1" si="26"/>
        <v>0</v>
      </c>
      <c r="T40" s="64">
        <f t="shared" ca="1" si="37"/>
        <v>0</v>
      </c>
      <c r="U40" s="64">
        <f t="shared" ca="1" si="14"/>
        <v>0</v>
      </c>
      <c r="V40" s="65">
        <f t="shared" ca="1" si="38"/>
        <v>0</v>
      </c>
      <c r="W40" s="62">
        <f t="shared" ca="1" si="27"/>
        <v>2419.9808306885379</v>
      </c>
      <c r="X40" s="64">
        <f t="shared" ca="1" si="39"/>
        <v>157.29875399475497</v>
      </c>
      <c r="Y40" s="64">
        <f t="shared" ca="1" si="15"/>
        <v>57.143816254460233</v>
      </c>
      <c r="Z40" s="65">
        <f t="shared" ca="1" si="40"/>
        <v>2362.8370144340779</v>
      </c>
      <c r="AA40" s="64">
        <f ca="1">SUM(D39:D40,H39:H40,L39:L40, P39:P40, T39:T40)</f>
        <v>10278.834132082155</v>
      </c>
      <c r="AB40" s="546">
        <f ca="1">SUM(E39:E40, I39:I40, M39:M40, Q39:Q40, U39:U40)</f>
        <v>1405.5229605598795</v>
      </c>
      <c r="AC40" s="64">
        <f ca="1">SUM( X39:X40)</f>
        <v>318.08515874682439</v>
      </c>
      <c r="AD40" s="546">
        <f ca="1">SUM(Y39:Y40)</f>
        <v>110.799981751606</v>
      </c>
      <c r="AE40" s="1264">
        <f ca="1">(C39+W39)*IF([4]RAROC!$B$103=1,VLOOKUP(A40,[4]!Guar_Fee_Table,2),IF([4]RAROC!$B$103=2,VLOOKUP(A40,[4]!Guar_Fee_Table,3),IF([4]RAROC!$B$103=3,VLOOKUP(A40,[4]!Guar_Fee_Table,4))))</f>
        <v>3847.3637002185678</v>
      </c>
      <c r="AG40" s="889">
        <f>-0.142857142856201+1500</f>
        <v>1499.8571428571438</v>
      </c>
      <c r="AH40" s="191">
        <f t="shared" si="16"/>
        <v>7.4992857142857187E-3</v>
      </c>
      <c r="AI40" s="931">
        <v>0</v>
      </c>
      <c r="AJ40" s="21">
        <f t="shared" si="17"/>
        <v>0</v>
      </c>
      <c r="AK40" s="931">
        <v>0</v>
      </c>
      <c r="AL40" s="21">
        <f t="shared" si="18"/>
        <v>0</v>
      </c>
      <c r="AM40" s="931">
        <v>0</v>
      </c>
      <c r="AN40" s="21">
        <f t="shared" si="19"/>
        <v>0</v>
      </c>
      <c r="AO40" s="931">
        <v>0</v>
      </c>
      <c r="AP40" s="21">
        <f t="shared" si="20"/>
        <v>0</v>
      </c>
      <c r="AQ40" s="931">
        <v>0</v>
      </c>
      <c r="AR40" s="191">
        <f t="shared" si="21"/>
        <v>0</v>
      </c>
    </row>
    <row r="41" spans="1:44">
      <c r="A41" s="359">
        <f>A39+1</f>
        <v>2003</v>
      </c>
      <c r="B41" s="44">
        <f t="shared" si="28"/>
        <v>4</v>
      </c>
      <c r="C41" s="60">
        <f t="shared" ca="1" si="22"/>
        <v>92304.932548718643</v>
      </c>
      <c r="D41" s="53">
        <f t="shared" ca="1" si="29"/>
        <v>5081.3865368069619</v>
      </c>
      <c r="E41" s="259">
        <f ca="1">IF($B41&gt;=F$31,C41,IF(F$33&gt;=$B41, 0, IF(C41&gt;1, CHOOSE(F$34,F$29/(F$31-F$33), -PMT(F$32/2,F$31-$B40,C41,0)-D41,F$29*$AH41), 0)))*Assm!$X$90</f>
        <v>1191.4615057608255</v>
      </c>
      <c r="F41" s="61">
        <f t="shared" ca="1" si="30"/>
        <v>91113.471042957812</v>
      </c>
      <c r="G41" s="60">
        <f t="shared" ca="1" si="23"/>
        <v>0</v>
      </c>
      <c r="H41" s="53">
        <f t="shared" ca="1" si="31"/>
        <v>0</v>
      </c>
      <c r="I41" s="53">
        <f t="shared" ca="1" si="11"/>
        <v>0</v>
      </c>
      <c r="J41" s="61">
        <f t="shared" ca="1" si="32"/>
        <v>0</v>
      </c>
      <c r="K41" s="60">
        <f t="shared" ca="1" si="24"/>
        <v>0</v>
      </c>
      <c r="L41" s="53">
        <f t="shared" ca="1" si="33"/>
        <v>0</v>
      </c>
      <c r="M41" s="53">
        <f t="shared" ca="1" si="12"/>
        <v>0</v>
      </c>
      <c r="N41" s="61">
        <f t="shared" ca="1" si="34"/>
        <v>0</v>
      </c>
      <c r="O41" s="60">
        <f t="shared" ca="1" si="25"/>
        <v>0</v>
      </c>
      <c r="P41" s="53">
        <f t="shared" ca="1" si="35"/>
        <v>0</v>
      </c>
      <c r="Q41" s="53">
        <f t="shared" ca="1" si="13"/>
        <v>0</v>
      </c>
      <c r="R41" s="61">
        <f t="shared" ca="1" si="36"/>
        <v>0</v>
      </c>
      <c r="S41" s="60">
        <f t="shared" ca="1" si="26"/>
        <v>0</v>
      </c>
      <c r="T41" s="53">
        <f t="shared" ca="1" si="37"/>
        <v>0</v>
      </c>
      <c r="U41" s="53">
        <f t="shared" ca="1" si="14"/>
        <v>0</v>
      </c>
      <c r="V41" s="61">
        <f t="shared" ca="1" si="38"/>
        <v>0</v>
      </c>
      <c r="W41" s="60">
        <f t="shared" ca="1" si="27"/>
        <v>2362.8370144340779</v>
      </c>
      <c r="X41" s="53">
        <f t="shared" ca="1" si="39"/>
        <v>153.58440593821507</v>
      </c>
      <c r="Y41" s="53">
        <f t="shared" ca="1" si="15"/>
        <v>60.85816431100011</v>
      </c>
      <c r="Z41" s="61">
        <f t="shared" ca="1" si="40"/>
        <v>2301.9788501230778</v>
      </c>
      <c r="AA41" s="53"/>
      <c r="AB41" s="183"/>
      <c r="AC41" s="53"/>
      <c r="AD41" s="183"/>
      <c r="AE41" s="1263"/>
      <c r="AG41" s="889">
        <f>2742.85714285714-200</f>
        <v>2542.8571428571399</v>
      </c>
      <c r="AH41" s="191">
        <f t="shared" si="16"/>
        <v>1.2714285714285699E-2</v>
      </c>
      <c r="AI41" s="931">
        <v>0</v>
      </c>
      <c r="AJ41" s="21">
        <f t="shared" si="17"/>
        <v>0</v>
      </c>
      <c r="AK41" s="931">
        <v>0</v>
      </c>
      <c r="AL41" s="21">
        <f t="shared" si="18"/>
        <v>0</v>
      </c>
      <c r="AM41" s="931">
        <v>0</v>
      </c>
      <c r="AN41" s="21">
        <f t="shared" si="19"/>
        <v>0</v>
      </c>
      <c r="AO41" s="931">
        <v>0</v>
      </c>
      <c r="AP41" s="21">
        <f t="shared" si="20"/>
        <v>0</v>
      </c>
      <c r="AQ41" s="931">
        <v>0</v>
      </c>
      <c r="AR41" s="191">
        <f t="shared" si="21"/>
        <v>0</v>
      </c>
    </row>
    <row r="42" spans="1:44">
      <c r="A42" s="545">
        <f t="shared" ref="A42:A57" si="41">A40+1</f>
        <v>2003</v>
      </c>
      <c r="B42" s="310">
        <f t="shared" si="28"/>
        <v>5</v>
      </c>
      <c r="C42" s="62">
        <f t="shared" ca="1" si="22"/>
        <v>91113.471042957812</v>
      </c>
      <c r="D42" s="64">
        <f t="shared" ca="1" si="29"/>
        <v>5015.7965809148272</v>
      </c>
      <c r="E42" s="265">
        <f ca="1">IF($B42&gt;=F$31,C42,IF(F$33&gt;=$B42, 0, IF(C42&gt;1, CHOOSE(F$34,F$29/(F$31-F$33), -PMT(F$32/2,F$31-$B41,C42,0)-D42,F$29*$AH42), 0)))*Assm!$X$90</f>
        <v>1191.4615057608255</v>
      </c>
      <c r="F42" s="65">
        <f t="shared" ca="1" si="30"/>
        <v>89922.00953719698</v>
      </c>
      <c r="G42" s="62">
        <f t="shared" ca="1" si="23"/>
        <v>0</v>
      </c>
      <c r="H42" s="64">
        <f t="shared" ca="1" si="31"/>
        <v>0</v>
      </c>
      <c r="I42" s="64">
        <f t="shared" ca="1" si="11"/>
        <v>0</v>
      </c>
      <c r="J42" s="65">
        <f t="shared" ca="1" si="32"/>
        <v>0</v>
      </c>
      <c r="K42" s="62">
        <f t="shared" ca="1" si="24"/>
        <v>0</v>
      </c>
      <c r="L42" s="64">
        <f t="shared" ca="1" si="33"/>
        <v>0</v>
      </c>
      <c r="M42" s="64">
        <f t="shared" ca="1" si="12"/>
        <v>0</v>
      </c>
      <c r="N42" s="65">
        <f t="shared" ca="1" si="34"/>
        <v>0</v>
      </c>
      <c r="O42" s="62">
        <f t="shared" ca="1" si="25"/>
        <v>0</v>
      </c>
      <c r="P42" s="64">
        <f t="shared" ca="1" si="35"/>
        <v>0</v>
      </c>
      <c r="Q42" s="64">
        <f t="shared" ca="1" si="13"/>
        <v>0</v>
      </c>
      <c r="R42" s="65">
        <f t="shared" ca="1" si="36"/>
        <v>0</v>
      </c>
      <c r="S42" s="62">
        <f t="shared" ca="1" si="26"/>
        <v>0</v>
      </c>
      <c r="T42" s="64">
        <f t="shared" ca="1" si="37"/>
        <v>0</v>
      </c>
      <c r="U42" s="64">
        <f t="shared" ca="1" si="14"/>
        <v>0</v>
      </c>
      <c r="V42" s="65">
        <f t="shared" ca="1" si="38"/>
        <v>0</v>
      </c>
      <c r="W42" s="62">
        <f t="shared" ca="1" si="27"/>
        <v>2301.9788501230778</v>
      </c>
      <c r="X42" s="64">
        <f t="shared" ca="1" si="39"/>
        <v>149.62862525800006</v>
      </c>
      <c r="Y42" s="64">
        <f t="shared" ca="1" si="15"/>
        <v>64.813944991215124</v>
      </c>
      <c r="Z42" s="65">
        <f t="shared" ca="1" si="40"/>
        <v>2237.1649051318627</v>
      </c>
      <c r="AA42" s="64">
        <f ca="1">SUM(D41:D42,H41:H42,L41:L42, P41:P42, T41:T42)</f>
        <v>10097.18311772179</v>
      </c>
      <c r="AB42" s="546">
        <f ca="1">SUM(E41:E42, I41:I42, M41:M42, Q41:Q42, U41:U42)</f>
        <v>2382.923011521651</v>
      </c>
      <c r="AC42" s="64">
        <f ca="1">SUM( X41:X42)</f>
        <v>303.21303119621513</v>
      </c>
      <c r="AD42" s="546">
        <f ca="1">SUM(Y41:Y42)</f>
        <v>125.67210930221523</v>
      </c>
      <c r="AE42" s="1264">
        <f ca="1">(C41+W41)*IF([4]RAROC!$B$103=1,VLOOKUP(A42,[4]!Guar_Fee_Table,2),IF([4]RAROC!$B$103=2,VLOOKUP(A42,[4]!Guar_Fee_Table,3),IF([4]RAROC!$B$103=3,VLOOKUP(A42,[4]!Guar_Fee_Table,4))))</f>
        <v>3786.7107825261087</v>
      </c>
      <c r="AG42" s="889">
        <f>2742.85714285714-200</f>
        <v>2542.8571428571399</v>
      </c>
      <c r="AH42" s="191">
        <f t="shared" si="16"/>
        <v>1.2714285714285699E-2</v>
      </c>
      <c r="AI42" s="931">
        <v>0</v>
      </c>
      <c r="AJ42" s="21">
        <f t="shared" si="17"/>
        <v>0</v>
      </c>
      <c r="AK42" s="931">
        <v>0</v>
      </c>
      <c r="AL42" s="21">
        <f t="shared" si="18"/>
        <v>0</v>
      </c>
      <c r="AM42" s="931">
        <v>0</v>
      </c>
      <c r="AN42" s="21">
        <f t="shared" si="19"/>
        <v>0</v>
      </c>
      <c r="AO42" s="931">
        <v>0</v>
      </c>
      <c r="AP42" s="21">
        <f t="shared" si="20"/>
        <v>0</v>
      </c>
      <c r="AQ42" s="931">
        <v>0</v>
      </c>
      <c r="AR42" s="191">
        <f t="shared" si="21"/>
        <v>0</v>
      </c>
    </row>
    <row r="43" spans="1:44">
      <c r="A43" s="359">
        <f t="shared" si="41"/>
        <v>2004</v>
      </c>
      <c r="B43" s="44">
        <f t="shared" si="28"/>
        <v>6</v>
      </c>
      <c r="C43" s="60">
        <f t="shared" ca="1" si="22"/>
        <v>89922.00953719698</v>
      </c>
      <c r="D43" s="53">
        <f t="shared" ca="1" si="29"/>
        <v>4950.2066250226935</v>
      </c>
      <c r="E43" s="259">
        <f ca="1">IF($B43&gt;=F$31,C43,IF(F$33&gt;=$B43, 0, IF(C43&gt;1, CHOOSE(F$34,F$29/(F$31-F$33), -PMT(F$32/2,F$31-$B42,C43,0)-D43,F$29*$AH43), 0)))*Assm!$X$90</f>
        <v>3346.8019824742323</v>
      </c>
      <c r="F43" s="61">
        <f t="shared" ca="1" si="30"/>
        <v>86575.207554722743</v>
      </c>
      <c r="G43" s="60">
        <f t="shared" ca="1" si="23"/>
        <v>0</v>
      </c>
      <c r="H43" s="53">
        <f t="shared" ca="1" si="31"/>
        <v>0</v>
      </c>
      <c r="I43" s="53">
        <f t="shared" ca="1" si="11"/>
        <v>0</v>
      </c>
      <c r="J43" s="61">
        <f t="shared" ca="1" si="32"/>
        <v>0</v>
      </c>
      <c r="K43" s="60">
        <f t="shared" ca="1" si="24"/>
        <v>0</v>
      </c>
      <c r="L43" s="53">
        <f t="shared" ca="1" si="33"/>
        <v>0</v>
      </c>
      <c r="M43" s="53">
        <f t="shared" ca="1" si="12"/>
        <v>0</v>
      </c>
      <c r="N43" s="61">
        <f t="shared" ca="1" si="34"/>
        <v>0</v>
      </c>
      <c r="O43" s="60">
        <f t="shared" ca="1" si="25"/>
        <v>0</v>
      </c>
      <c r="P43" s="53">
        <f t="shared" ca="1" si="35"/>
        <v>0</v>
      </c>
      <c r="Q43" s="53">
        <f t="shared" ca="1" si="13"/>
        <v>0</v>
      </c>
      <c r="R43" s="61">
        <f t="shared" ca="1" si="36"/>
        <v>0</v>
      </c>
      <c r="S43" s="60">
        <f t="shared" ca="1" si="26"/>
        <v>0</v>
      </c>
      <c r="T43" s="53">
        <f t="shared" ca="1" si="37"/>
        <v>0</v>
      </c>
      <c r="U43" s="53">
        <f t="shared" ca="1" si="14"/>
        <v>0</v>
      </c>
      <c r="V43" s="61">
        <f t="shared" ca="1" si="38"/>
        <v>0</v>
      </c>
      <c r="W43" s="60">
        <f t="shared" ca="1" si="27"/>
        <v>2237.1649051318627</v>
      </c>
      <c r="X43" s="53">
        <f t="shared" ca="1" si="39"/>
        <v>145.41571883357108</v>
      </c>
      <c r="Y43" s="53">
        <f t="shared" ca="1" si="15"/>
        <v>69.026851415644131</v>
      </c>
      <c r="Z43" s="61">
        <f t="shared" ca="1" si="40"/>
        <v>2168.1380537162186</v>
      </c>
      <c r="AA43" s="53"/>
      <c r="AB43" s="183"/>
      <c r="AC43" s="53"/>
      <c r="AD43" s="183"/>
      <c r="AE43" s="1263"/>
      <c r="AG43" s="889">
        <v>7142.8571428571431</v>
      </c>
      <c r="AH43" s="191">
        <f t="shared" si="16"/>
        <v>3.5714285714285712E-2</v>
      </c>
      <c r="AI43" s="931">
        <v>0</v>
      </c>
      <c r="AJ43" s="21">
        <f t="shared" si="17"/>
        <v>0</v>
      </c>
      <c r="AK43" s="931">
        <v>0</v>
      </c>
      <c r="AL43" s="21">
        <f t="shared" si="18"/>
        <v>0</v>
      </c>
      <c r="AM43" s="931">
        <v>0</v>
      </c>
      <c r="AN43" s="21">
        <f t="shared" si="19"/>
        <v>0</v>
      </c>
      <c r="AO43" s="931">
        <v>0</v>
      </c>
      <c r="AP43" s="21">
        <f t="shared" si="20"/>
        <v>0</v>
      </c>
      <c r="AQ43" s="931">
        <v>0</v>
      </c>
      <c r="AR43" s="191">
        <f t="shared" si="21"/>
        <v>0</v>
      </c>
    </row>
    <row r="44" spans="1:44">
      <c r="A44" s="545">
        <f>A43</f>
        <v>2004</v>
      </c>
      <c r="B44" s="310">
        <f t="shared" si="28"/>
        <v>7</v>
      </c>
      <c r="C44" s="62">
        <f t="shared" ca="1" si="22"/>
        <v>86575.207554722743</v>
      </c>
      <c r="D44" s="64">
        <f t="shared" ca="1" si="29"/>
        <v>4765.965175887487</v>
      </c>
      <c r="E44" s="265">
        <f ca="1">IF($B44&gt;=F$31,C44,IF(F$33&gt;=$B44, 0, IF(C44&gt;1, CHOOSE(F$34,F$29/(F$31-F$33), -PMT(F$32/2,F$31-$B43,C44,0)-D44,F$29*$AH44), 0)))*Assm!$X$90</f>
        <v>3346.8019824742323</v>
      </c>
      <c r="F44" s="65">
        <f t="shared" ca="1" si="30"/>
        <v>83228.405572248506</v>
      </c>
      <c r="G44" s="62">
        <f t="shared" ca="1" si="23"/>
        <v>0</v>
      </c>
      <c r="H44" s="64">
        <f t="shared" ca="1" si="31"/>
        <v>0</v>
      </c>
      <c r="I44" s="64">
        <f t="shared" ca="1" si="11"/>
        <v>0</v>
      </c>
      <c r="J44" s="65">
        <f t="shared" ca="1" si="32"/>
        <v>0</v>
      </c>
      <c r="K44" s="62">
        <f t="shared" ca="1" si="24"/>
        <v>0</v>
      </c>
      <c r="L44" s="64">
        <f t="shared" ca="1" si="33"/>
        <v>0</v>
      </c>
      <c r="M44" s="64">
        <f t="shared" ca="1" si="12"/>
        <v>0</v>
      </c>
      <c r="N44" s="65">
        <f t="shared" ca="1" si="34"/>
        <v>0</v>
      </c>
      <c r="O44" s="62">
        <f t="shared" ca="1" si="25"/>
        <v>0</v>
      </c>
      <c r="P44" s="64">
        <f t="shared" ca="1" si="35"/>
        <v>0</v>
      </c>
      <c r="Q44" s="64">
        <f t="shared" ca="1" si="13"/>
        <v>0</v>
      </c>
      <c r="R44" s="65">
        <f t="shared" ca="1" si="36"/>
        <v>0</v>
      </c>
      <c r="S44" s="62">
        <f t="shared" ca="1" si="26"/>
        <v>0</v>
      </c>
      <c r="T44" s="64">
        <f t="shared" ca="1" si="37"/>
        <v>0</v>
      </c>
      <c r="U44" s="64">
        <f t="shared" ca="1" si="14"/>
        <v>0</v>
      </c>
      <c r="V44" s="65">
        <f t="shared" ca="1" si="38"/>
        <v>0</v>
      </c>
      <c r="W44" s="62">
        <f t="shared" ca="1" si="27"/>
        <v>2168.1380537162186</v>
      </c>
      <c r="X44" s="64">
        <f t="shared" ca="1" si="39"/>
        <v>140.92897349155422</v>
      </c>
      <c r="Y44" s="64">
        <f t="shared" ca="1" si="15"/>
        <v>73.513596757660991</v>
      </c>
      <c r="Z44" s="65">
        <f t="shared" ca="1" si="40"/>
        <v>2094.6244569585574</v>
      </c>
      <c r="AA44" s="64">
        <f ca="1">SUM(D43:D44,H43:H44,L43:L44, P43:P44, T43:T44)</f>
        <v>9716.1718009101805</v>
      </c>
      <c r="AB44" s="546">
        <f ca="1">SUM(E43:E44, I43:I44, M43:M44, Q43:Q44, U43:U44)</f>
        <v>6693.6039649484646</v>
      </c>
      <c r="AC44" s="64">
        <f ca="1">SUM( X43:X44)</f>
        <v>286.34469232512527</v>
      </c>
      <c r="AD44" s="546">
        <f ca="1">SUM(Y43:Y44)</f>
        <v>142.54044817330512</v>
      </c>
      <c r="AE44" s="1264">
        <f ca="1">(C43+W43)*IF([4]RAROC!$B$103=1,VLOOKUP(A44,[4]!Guar_Fee_Table,2),IF([4]RAROC!$B$103=2,VLOOKUP(A44,[4]!Guar_Fee_Table,3),IF([4]RAROC!$B$103=3,VLOOKUP(A44,[4]!Guar_Fee_Table,4))))</f>
        <v>0</v>
      </c>
      <c r="AG44" s="889">
        <v>7142.8571428571431</v>
      </c>
      <c r="AH44" s="191">
        <f t="shared" si="16"/>
        <v>3.5714285714285712E-2</v>
      </c>
      <c r="AI44" s="931">
        <v>0</v>
      </c>
      <c r="AJ44" s="21">
        <f t="shared" si="17"/>
        <v>0</v>
      </c>
      <c r="AK44" s="931">
        <v>0</v>
      </c>
      <c r="AL44" s="21">
        <f t="shared" si="18"/>
        <v>0</v>
      </c>
      <c r="AM44" s="931">
        <v>0</v>
      </c>
      <c r="AN44" s="21">
        <f t="shared" si="19"/>
        <v>0</v>
      </c>
      <c r="AO44" s="931">
        <v>0</v>
      </c>
      <c r="AP44" s="21">
        <f t="shared" si="20"/>
        <v>0</v>
      </c>
      <c r="AQ44" s="931">
        <v>0</v>
      </c>
      <c r="AR44" s="191">
        <f t="shared" si="21"/>
        <v>0</v>
      </c>
    </row>
    <row r="45" spans="1:44">
      <c r="A45" s="359">
        <f t="shared" si="41"/>
        <v>2005</v>
      </c>
      <c r="B45" s="44">
        <f t="shared" si="28"/>
        <v>8</v>
      </c>
      <c r="C45" s="60">
        <f t="shared" ca="1" si="22"/>
        <v>83228.405572248506</v>
      </c>
      <c r="D45" s="53">
        <f t="shared" ca="1" si="29"/>
        <v>4581.7237267522805</v>
      </c>
      <c r="E45" s="259">
        <f ca="1">IF($B45&gt;=F$31,C45,IF(F$33&gt;=$B45, 0, IF(C45&gt;1, CHOOSE(F$34,F$29/(F$31-F$33), -PMT(F$32/2,F$31-$B44,C45,0)-D45,F$29*$AH45), 0)))*Assm!$X$90</f>
        <v>4035.6184544938619</v>
      </c>
      <c r="F45" s="61">
        <f t="shared" ca="1" si="30"/>
        <v>79192.787117754648</v>
      </c>
      <c r="G45" s="60">
        <f t="shared" ca="1" si="23"/>
        <v>0</v>
      </c>
      <c r="H45" s="53">
        <f t="shared" ca="1" si="31"/>
        <v>0</v>
      </c>
      <c r="I45" s="53">
        <f t="shared" ca="1" si="11"/>
        <v>0</v>
      </c>
      <c r="J45" s="61">
        <f t="shared" ca="1" si="32"/>
        <v>0</v>
      </c>
      <c r="K45" s="60">
        <f t="shared" ca="1" si="24"/>
        <v>0</v>
      </c>
      <c r="L45" s="53">
        <f t="shared" ca="1" si="33"/>
        <v>0</v>
      </c>
      <c r="M45" s="53">
        <f t="shared" ca="1" si="12"/>
        <v>0</v>
      </c>
      <c r="N45" s="61">
        <f t="shared" ca="1" si="34"/>
        <v>0</v>
      </c>
      <c r="O45" s="60">
        <f t="shared" ca="1" si="25"/>
        <v>0</v>
      </c>
      <c r="P45" s="53">
        <f t="shared" ca="1" si="35"/>
        <v>0</v>
      </c>
      <c r="Q45" s="53">
        <f t="shared" ca="1" si="13"/>
        <v>0</v>
      </c>
      <c r="R45" s="61">
        <f t="shared" ca="1" si="36"/>
        <v>0</v>
      </c>
      <c r="S45" s="60">
        <f t="shared" ca="1" si="26"/>
        <v>0</v>
      </c>
      <c r="T45" s="53">
        <f t="shared" ca="1" si="37"/>
        <v>0</v>
      </c>
      <c r="U45" s="53">
        <f t="shared" ca="1" si="14"/>
        <v>0</v>
      </c>
      <c r="V45" s="61">
        <f t="shared" ca="1" si="38"/>
        <v>0</v>
      </c>
      <c r="W45" s="60">
        <f t="shared" ca="1" si="27"/>
        <v>2094.6244569585574</v>
      </c>
      <c r="X45" s="53">
        <f t="shared" ca="1" si="39"/>
        <v>136.15058970230623</v>
      </c>
      <c r="Y45" s="53">
        <f t="shared" ca="1" si="15"/>
        <v>78.291980546908917</v>
      </c>
      <c r="Z45" s="61">
        <f t="shared" ca="1" si="40"/>
        <v>2016.3324764116485</v>
      </c>
      <c r="AA45" s="53"/>
      <c r="AB45" s="183"/>
      <c r="AC45" s="53"/>
      <c r="AD45" s="183"/>
      <c r="AE45" s="1263"/>
      <c r="AG45" s="889">
        <f>8362.95238095238+250</f>
        <v>8612.9523809523798</v>
      </c>
      <c r="AH45" s="191">
        <f t="shared" si="16"/>
        <v>4.3064761904761897E-2</v>
      </c>
      <c r="AI45" s="931">
        <v>0</v>
      </c>
      <c r="AJ45" s="21">
        <f t="shared" si="17"/>
        <v>0</v>
      </c>
      <c r="AK45" s="931">
        <v>0</v>
      </c>
      <c r="AL45" s="21">
        <f t="shared" si="18"/>
        <v>0</v>
      </c>
      <c r="AM45" s="931">
        <v>0</v>
      </c>
      <c r="AN45" s="21">
        <f t="shared" si="19"/>
        <v>0</v>
      </c>
      <c r="AO45" s="931">
        <v>0</v>
      </c>
      <c r="AP45" s="21">
        <f t="shared" si="20"/>
        <v>0</v>
      </c>
      <c r="AQ45" s="931">
        <v>0</v>
      </c>
      <c r="AR45" s="191">
        <f t="shared" si="21"/>
        <v>0</v>
      </c>
    </row>
    <row r="46" spans="1:44">
      <c r="A46" s="545">
        <f>A45</f>
        <v>2005</v>
      </c>
      <c r="B46" s="310">
        <f t="shared" si="28"/>
        <v>9</v>
      </c>
      <c r="C46" s="62">
        <f t="shared" ca="1" si="22"/>
        <v>79192.787117754648</v>
      </c>
      <c r="D46" s="64">
        <f t="shared" ca="1" si="29"/>
        <v>4359.5629308323932</v>
      </c>
      <c r="E46" s="265">
        <f ca="1">IF($B46&gt;=F$31,C46,IF(F$33&gt;=$B46, 0, IF(C46&gt;1, CHOOSE(F$34,F$29/(F$31-F$33), -PMT(F$32/2,F$31-$B45,C46,0)-D46,F$29*$AH46), 0)))*Assm!$X$90</f>
        <v>4462.0010270610792</v>
      </c>
      <c r="F46" s="65">
        <f t="shared" ca="1" si="30"/>
        <v>74730.786090693568</v>
      </c>
      <c r="G46" s="62">
        <f t="shared" ca="1" si="23"/>
        <v>0</v>
      </c>
      <c r="H46" s="64">
        <f t="shared" ca="1" si="31"/>
        <v>0</v>
      </c>
      <c r="I46" s="64">
        <f t="shared" ca="1" si="11"/>
        <v>0</v>
      </c>
      <c r="J46" s="65">
        <f t="shared" ca="1" si="32"/>
        <v>0</v>
      </c>
      <c r="K46" s="62">
        <f t="shared" ca="1" si="24"/>
        <v>0</v>
      </c>
      <c r="L46" s="64">
        <f t="shared" ca="1" si="33"/>
        <v>0</v>
      </c>
      <c r="M46" s="64">
        <f t="shared" ca="1" si="12"/>
        <v>0</v>
      </c>
      <c r="N46" s="65">
        <f t="shared" ca="1" si="34"/>
        <v>0</v>
      </c>
      <c r="O46" s="62">
        <f t="shared" ca="1" si="25"/>
        <v>0</v>
      </c>
      <c r="P46" s="64">
        <f t="shared" ca="1" si="35"/>
        <v>0</v>
      </c>
      <c r="Q46" s="64">
        <f t="shared" ca="1" si="13"/>
        <v>0</v>
      </c>
      <c r="R46" s="65">
        <f t="shared" ca="1" si="36"/>
        <v>0</v>
      </c>
      <c r="S46" s="62">
        <f t="shared" ca="1" si="26"/>
        <v>0</v>
      </c>
      <c r="T46" s="64">
        <f t="shared" ca="1" si="37"/>
        <v>0</v>
      </c>
      <c r="U46" s="64">
        <f t="shared" ca="1" si="14"/>
        <v>0</v>
      </c>
      <c r="V46" s="65">
        <f t="shared" ca="1" si="38"/>
        <v>0</v>
      </c>
      <c r="W46" s="62">
        <f t="shared" ca="1" si="27"/>
        <v>2016.3324764116485</v>
      </c>
      <c r="X46" s="64">
        <f t="shared" ca="1" si="39"/>
        <v>131.06161096675714</v>
      </c>
      <c r="Y46" s="64">
        <f t="shared" ca="1" si="15"/>
        <v>83.380959282458036</v>
      </c>
      <c r="Z46" s="65">
        <f t="shared" ca="1" si="40"/>
        <v>1932.9515171291905</v>
      </c>
      <c r="AA46" s="64">
        <f ca="1">SUM(D45:D46,H45:H46,L45:L46, P45:P46, T45:T46)</f>
        <v>8941.2866575846747</v>
      </c>
      <c r="AB46" s="546">
        <f ca="1">SUM(E45:E46, I45:I46, M45:M46, Q45:Q46, U45:U46)</f>
        <v>8497.6194815549406</v>
      </c>
      <c r="AC46" s="64">
        <f ca="1">SUM( X45:X46)</f>
        <v>267.21220066906335</v>
      </c>
      <c r="AD46" s="546">
        <f ca="1">SUM(Y45:Y46)</f>
        <v>161.67293982936695</v>
      </c>
      <c r="AE46" s="1264">
        <f ca="1">(C45+W45)*IF([4]RAROC!$B$103=1,VLOOKUP(A46,[4]!Guar_Fee_Table,2),IF([4]RAROC!$B$103=2,VLOOKUP(A46,[4]!Guar_Fee_Table,3),IF([4]RAROC!$B$103=3,VLOOKUP(A46,[4]!Guar_Fee_Table,4))))</f>
        <v>0</v>
      </c>
      <c r="AG46" s="889">
        <f>8362.95238095238+2660-1500</f>
        <v>9522.9523809523798</v>
      </c>
      <c r="AH46" s="191">
        <f t="shared" si="16"/>
        <v>4.7614761904761896E-2</v>
      </c>
      <c r="AI46" s="931">
        <v>0</v>
      </c>
      <c r="AJ46" s="21">
        <f t="shared" si="17"/>
        <v>0</v>
      </c>
      <c r="AK46" s="931">
        <v>0</v>
      </c>
      <c r="AL46" s="21">
        <f t="shared" si="18"/>
        <v>0</v>
      </c>
      <c r="AM46" s="931">
        <v>0</v>
      </c>
      <c r="AN46" s="21">
        <f t="shared" si="19"/>
        <v>0</v>
      </c>
      <c r="AO46" s="931">
        <v>0</v>
      </c>
      <c r="AP46" s="21">
        <f t="shared" si="20"/>
        <v>0</v>
      </c>
      <c r="AQ46" s="931">
        <v>0</v>
      </c>
      <c r="AR46" s="191">
        <f t="shared" si="21"/>
        <v>0</v>
      </c>
    </row>
    <row r="47" spans="1:44">
      <c r="A47" s="359">
        <f t="shared" si="41"/>
        <v>2006</v>
      </c>
      <c r="B47" s="44">
        <f t="shared" si="28"/>
        <v>10</v>
      </c>
      <c r="C47" s="60">
        <f t="shared" ca="1" si="22"/>
        <v>74730.786090693568</v>
      </c>
      <c r="D47" s="53">
        <f t="shared" ca="1" si="29"/>
        <v>4113.929774292681</v>
      </c>
      <c r="E47" s="259">
        <f ca="1">IF($B47&gt;=F$31,C47,IF(F$33&gt;=$B47, 0, IF(C47&gt;1, CHOOSE(F$34,F$29/(F$31-F$33), -PMT(F$32/2,F$31-$B46,C47,0)-D47,F$29*$AH47), 0)))*Assm!$X$90</f>
        <v>4462.0010270610792</v>
      </c>
      <c r="F47" s="61">
        <f t="shared" ca="1" si="30"/>
        <v>70268.785063632487</v>
      </c>
      <c r="G47" s="60">
        <f t="shared" ca="1" si="23"/>
        <v>0</v>
      </c>
      <c r="H47" s="53">
        <f t="shared" ca="1" si="31"/>
        <v>0</v>
      </c>
      <c r="I47" s="53">
        <f t="shared" ca="1" si="11"/>
        <v>0</v>
      </c>
      <c r="J47" s="61">
        <f t="shared" ca="1" si="32"/>
        <v>0</v>
      </c>
      <c r="K47" s="60">
        <f t="shared" ca="1" si="24"/>
        <v>0</v>
      </c>
      <c r="L47" s="53">
        <f t="shared" ca="1" si="33"/>
        <v>0</v>
      </c>
      <c r="M47" s="53">
        <f t="shared" ca="1" si="12"/>
        <v>0</v>
      </c>
      <c r="N47" s="61">
        <f t="shared" ca="1" si="34"/>
        <v>0</v>
      </c>
      <c r="O47" s="60">
        <f t="shared" ca="1" si="25"/>
        <v>0</v>
      </c>
      <c r="P47" s="53">
        <f t="shared" ca="1" si="35"/>
        <v>0</v>
      </c>
      <c r="Q47" s="53">
        <f t="shared" ca="1" si="13"/>
        <v>0</v>
      </c>
      <c r="R47" s="61">
        <f t="shared" ca="1" si="36"/>
        <v>0</v>
      </c>
      <c r="S47" s="60">
        <f t="shared" ca="1" si="26"/>
        <v>0</v>
      </c>
      <c r="T47" s="53">
        <f t="shared" ca="1" si="37"/>
        <v>0</v>
      </c>
      <c r="U47" s="53">
        <f t="shared" ca="1" si="14"/>
        <v>0</v>
      </c>
      <c r="V47" s="61">
        <f t="shared" ca="1" si="38"/>
        <v>0</v>
      </c>
      <c r="W47" s="60">
        <f t="shared" ca="1" si="27"/>
        <v>1932.9515171291905</v>
      </c>
      <c r="X47" s="53">
        <f t="shared" ca="1" si="39"/>
        <v>125.64184861339739</v>
      </c>
      <c r="Y47" s="53">
        <f t="shared" ca="1" si="15"/>
        <v>88.800721635817766</v>
      </c>
      <c r="Z47" s="61">
        <f t="shared" ca="1" si="40"/>
        <v>1844.1507954933727</v>
      </c>
      <c r="AA47" s="53"/>
      <c r="AB47" s="183"/>
      <c r="AC47" s="53"/>
      <c r="AD47" s="183"/>
      <c r="AE47" s="1263"/>
      <c r="AG47" s="889">
        <f>8362.95238095238+2660-1500</f>
        <v>9522.9523809523798</v>
      </c>
      <c r="AH47" s="191">
        <f t="shared" si="16"/>
        <v>4.7614761904761896E-2</v>
      </c>
      <c r="AI47" s="931">
        <v>0</v>
      </c>
      <c r="AJ47" s="21">
        <f t="shared" si="17"/>
        <v>0</v>
      </c>
      <c r="AK47" s="931">
        <v>0</v>
      </c>
      <c r="AL47" s="21">
        <f t="shared" si="18"/>
        <v>0</v>
      </c>
      <c r="AM47" s="931">
        <v>0</v>
      </c>
      <c r="AN47" s="21">
        <f t="shared" si="19"/>
        <v>0</v>
      </c>
      <c r="AO47" s="931">
        <v>0</v>
      </c>
      <c r="AP47" s="21">
        <f t="shared" si="20"/>
        <v>0</v>
      </c>
      <c r="AQ47" s="931">
        <v>0</v>
      </c>
      <c r="AR47" s="191">
        <f t="shared" si="21"/>
        <v>0</v>
      </c>
    </row>
    <row r="48" spans="1:44">
      <c r="A48" s="545">
        <f>A47</f>
        <v>2006</v>
      </c>
      <c r="B48" s="310">
        <f t="shared" si="28"/>
        <v>11</v>
      </c>
      <c r="C48" s="62">
        <f t="shared" ca="1" si="22"/>
        <v>70268.785063632487</v>
      </c>
      <c r="D48" s="64">
        <f t="shared" ca="1" si="29"/>
        <v>3868.2966177529684</v>
      </c>
      <c r="E48" s="265">
        <f ca="1">IF($B48&gt;=F$31,C48,IF(F$33&gt;=$B48, 0, IF(C48&gt;1, CHOOSE(F$34,F$29/(F$31-F$33), -PMT(F$32/2,F$31-$B47,C48,0)-D48,F$29*$AH48), 0)))*Assm!$X$90</f>
        <v>5164.8294433806686</v>
      </c>
      <c r="F48" s="65">
        <f t="shared" ca="1" si="30"/>
        <v>65103.955620251822</v>
      </c>
      <c r="G48" s="62">
        <f t="shared" ca="1" si="23"/>
        <v>0</v>
      </c>
      <c r="H48" s="64">
        <f t="shared" ca="1" si="31"/>
        <v>0</v>
      </c>
      <c r="I48" s="64">
        <f t="shared" ca="1" si="11"/>
        <v>0</v>
      </c>
      <c r="J48" s="65">
        <f t="shared" ca="1" si="32"/>
        <v>0</v>
      </c>
      <c r="K48" s="62">
        <f t="shared" ca="1" si="24"/>
        <v>0</v>
      </c>
      <c r="L48" s="64">
        <f t="shared" ca="1" si="33"/>
        <v>0</v>
      </c>
      <c r="M48" s="64">
        <f t="shared" ca="1" si="12"/>
        <v>0</v>
      </c>
      <c r="N48" s="65">
        <f t="shared" ca="1" si="34"/>
        <v>0</v>
      </c>
      <c r="O48" s="62">
        <f t="shared" ca="1" si="25"/>
        <v>0</v>
      </c>
      <c r="P48" s="64">
        <f t="shared" ca="1" si="35"/>
        <v>0</v>
      </c>
      <c r="Q48" s="64">
        <f t="shared" ca="1" si="13"/>
        <v>0</v>
      </c>
      <c r="R48" s="65">
        <f t="shared" ca="1" si="36"/>
        <v>0</v>
      </c>
      <c r="S48" s="62">
        <f t="shared" ca="1" si="26"/>
        <v>0</v>
      </c>
      <c r="T48" s="64">
        <f t="shared" ca="1" si="37"/>
        <v>0</v>
      </c>
      <c r="U48" s="64">
        <f t="shared" ca="1" si="14"/>
        <v>0</v>
      </c>
      <c r="V48" s="65">
        <f t="shared" ca="1" si="38"/>
        <v>0</v>
      </c>
      <c r="W48" s="62">
        <f t="shared" ca="1" si="27"/>
        <v>1844.1507954933727</v>
      </c>
      <c r="X48" s="64">
        <f t="shared" ca="1" si="39"/>
        <v>119.86980170706923</v>
      </c>
      <c r="Y48" s="64">
        <f t="shared" ca="1" si="15"/>
        <v>94.572768542145866</v>
      </c>
      <c r="Z48" s="65">
        <f t="shared" ca="1" si="40"/>
        <v>1749.5780269512268</v>
      </c>
      <c r="AA48" s="64">
        <f ca="1">SUM(D47:D48,H47:H48,L47:L48, P47:P48, T47:T48)</f>
        <v>7982.2263920456498</v>
      </c>
      <c r="AB48" s="546">
        <f ca="1">SUM(E47:E48, I47:I48, M47:M48, Q47:Q48, U47:U48)</f>
        <v>9626.8304704417478</v>
      </c>
      <c r="AC48" s="64">
        <f ca="1">SUM( X47:X48)</f>
        <v>245.51165032046663</v>
      </c>
      <c r="AD48" s="546">
        <f ca="1">SUM(Y47:Y48)</f>
        <v>183.37349017796362</v>
      </c>
      <c r="AE48" s="1264">
        <f ca="1">(C47+W47)*IF([4]RAROC!$B$103=1,VLOOKUP(A48,[4]!Guar_Fee_Table,2),IF([4]RAROC!$B$103=2,VLOOKUP(A48,[4]!Guar_Fee_Table,3),IF([4]RAROC!$B$103=3,VLOOKUP(A48,[4]!Guar_Fee_Table,4))))</f>
        <v>0</v>
      </c>
      <c r="AG48" s="889">
        <f>8362.95238095238+2660</f>
        <v>11022.95238095238</v>
      </c>
      <c r="AH48" s="191">
        <f t="shared" si="16"/>
        <v>5.5114761904761903E-2</v>
      </c>
      <c r="AI48" s="931">
        <v>0</v>
      </c>
      <c r="AJ48" s="21">
        <f t="shared" si="17"/>
        <v>0</v>
      </c>
      <c r="AK48" s="931">
        <v>0</v>
      </c>
      <c r="AL48" s="21">
        <f t="shared" si="18"/>
        <v>0</v>
      </c>
      <c r="AM48" s="931">
        <v>0</v>
      </c>
      <c r="AN48" s="21">
        <f t="shared" si="19"/>
        <v>0</v>
      </c>
      <c r="AO48" s="931">
        <v>0</v>
      </c>
      <c r="AP48" s="21">
        <f t="shared" si="20"/>
        <v>0</v>
      </c>
      <c r="AQ48" s="931">
        <v>0</v>
      </c>
      <c r="AR48" s="191">
        <f t="shared" si="21"/>
        <v>0</v>
      </c>
    </row>
    <row r="49" spans="1:44">
      <c r="A49" s="359">
        <f t="shared" si="41"/>
        <v>2007</v>
      </c>
      <c r="B49" s="44">
        <f t="shared" si="28"/>
        <v>12</v>
      </c>
      <c r="C49" s="60">
        <f t="shared" ca="1" si="22"/>
        <v>65103.955620251822</v>
      </c>
      <c r="D49" s="53">
        <f t="shared" ca="1" si="29"/>
        <v>3583.9727568948629</v>
      </c>
      <c r="E49" s="259">
        <f ca="1">IF($B49&gt;=F$31,C49,IF(F$33&gt;=$B49, 0, IF(C49&gt;1, CHOOSE(F$34,F$29/(F$31-F$33), -PMT(F$32/2,F$31-$B48,C49,0)-D49,F$29*$AH49), 0)))*Assm!$X$90</f>
        <v>5164.8294433806686</v>
      </c>
      <c r="F49" s="61">
        <f t="shared" ca="1" si="30"/>
        <v>59939.126176871156</v>
      </c>
      <c r="G49" s="60">
        <f t="shared" ca="1" si="23"/>
        <v>0</v>
      </c>
      <c r="H49" s="53">
        <f t="shared" ca="1" si="31"/>
        <v>0</v>
      </c>
      <c r="I49" s="53">
        <f t="shared" ca="1" si="11"/>
        <v>0</v>
      </c>
      <c r="J49" s="61">
        <f t="shared" ca="1" si="32"/>
        <v>0</v>
      </c>
      <c r="K49" s="60">
        <f t="shared" ca="1" si="24"/>
        <v>0</v>
      </c>
      <c r="L49" s="53">
        <f t="shared" ca="1" si="33"/>
        <v>0</v>
      </c>
      <c r="M49" s="53">
        <f t="shared" ca="1" si="12"/>
        <v>0</v>
      </c>
      <c r="N49" s="61">
        <f t="shared" ca="1" si="34"/>
        <v>0</v>
      </c>
      <c r="O49" s="60">
        <f t="shared" ca="1" si="25"/>
        <v>0</v>
      </c>
      <c r="P49" s="53">
        <f t="shared" ca="1" si="35"/>
        <v>0</v>
      </c>
      <c r="Q49" s="53">
        <f t="shared" ca="1" si="13"/>
        <v>0</v>
      </c>
      <c r="R49" s="61">
        <f t="shared" ca="1" si="36"/>
        <v>0</v>
      </c>
      <c r="S49" s="60">
        <f t="shared" ca="1" si="26"/>
        <v>0</v>
      </c>
      <c r="T49" s="53">
        <f t="shared" ca="1" si="37"/>
        <v>0</v>
      </c>
      <c r="U49" s="53">
        <f t="shared" ca="1" si="14"/>
        <v>0</v>
      </c>
      <c r="V49" s="61">
        <f t="shared" ca="1" si="38"/>
        <v>0</v>
      </c>
      <c r="W49" s="60">
        <f t="shared" ca="1" si="27"/>
        <v>1749.5780269512268</v>
      </c>
      <c r="X49" s="53">
        <f t="shared" ca="1" si="39"/>
        <v>113.72257175182975</v>
      </c>
      <c r="Y49" s="53">
        <f t="shared" ca="1" si="15"/>
        <v>100.71999849738535</v>
      </c>
      <c r="Z49" s="61">
        <f t="shared" ca="1" si="40"/>
        <v>1648.8580284538414</v>
      </c>
      <c r="AA49" s="53"/>
      <c r="AB49" s="183"/>
      <c r="AC49" s="53"/>
      <c r="AD49" s="183"/>
      <c r="AE49" s="1263"/>
      <c r="AG49" s="889">
        <f>8362.95238095238+2660</f>
        <v>11022.95238095238</v>
      </c>
      <c r="AH49" s="191">
        <f t="shared" si="16"/>
        <v>5.5114761904761903E-2</v>
      </c>
      <c r="AI49" s="931">
        <v>0</v>
      </c>
      <c r="AJ49" s="21">
        <f t="shared" si="17"/>
        <v>0</v>
      </c>
      <c r="AK49" s="931">
        <v>0</v>
      </c>
      <c r="AL49" s="21">
        <f t="shared" si="18"/>
        <v>0</v>
      </c>
      <c r="AM49" s="931">
        <v>0</v>
      </c>
      <c r="AN49" s="21">
        <f t="shared" si="19"/>
        <v>0</v>
      </c>
      <c r="AO49" s="931">
        <v>0</v>
      </c>
      <c r="AP49" s="21">
        <f t="shared" si="20"/>
        <v>0</v>
      </c>
      <c r="AQ49" s="931">
        <v>0</v>
      </c>
      <c r="AR49" s="191">
        <f t="shared" si="21"/>
        <v>0</v>
      </c>
    </row>
    <row r="50" spans="1:44">
      <c r="A50" s="545">
        <f>A49</f>
        <v>2007</v>
      </c>
      <c r="B50" s="310">
        <f t="shared" si="28"/>
        <v>13</v>
      </c>
      <c r="C50" s="62">
        <f t="shared" ca="1" si="22"/>
        <v>59939.126176871156</v>
      </c>
      <c r="D50" s="64">
        <f t="shared" ca="1" si="29"/>
        <v>3299.6488960367574</v>
      </c>
      <c r="E50" s="265">
        <f ca="1">IF($B50&gt;=F$31,C50,IF(F$33&gt;=$B50, 0, IF(C50&gt;1, CHOOSE(F$34,F$29/(F$31-F$33), -PMT(F$32/2,F$31-$B49,C50,0)-D50,F$29*$AH50), 0)))*Assm!$X$90</f>
        <v>5164.8294433806686</v>
      </c>
      <c r="F50" s="65">
        <f t="shared" ca="1" si="30"/>
        <v>54774.29673349049</v>
      </c>
      <c r="G50" s="62">
        <f t="shared" ca="1" si="23"/>
        <v>0</v>
      </c>
      <c r="H50" s="64">
        <f t="shared" ca="1" si="31"/>
        <v>0</v>
      </c>
      <c r="I50" s="64">
        <f t="shared" ca="1" si="11"/>
        <v>0</v>
      </c>
      <c r="J50" s="65">
        <f t="shared" ca="1" si="32"/>
        <v>0</v>
      </c>
      <c r="K50" s="62">
        <f t="shared" ca="1" si="24"/>
        <v>0</v>
      </c>
      <c r="L50" s="64">
        <f t="shared" ca="1" si="33"/>
        <v>0</v>
      </c>
      <c r="M50" s="64">
        <f t="shared" ca="1" si="12"/>
        <v>0</v>
      </c>
      <c r="N50" s="65">
        <f t="shared" ca="1" si="34"/>
        <v>0</v>
      </c>
      <c r="O50" s="62">
        <f t="shared" ca="1" si="25"/>
        <v>0</v>
      </c>
      <c r="P50" s="64">
        <f t="shared" ca="1" si="35"/>
        <v>0</v>
      </c>
      <c r="Q50" s="64">
        <f t="shared" ca="1" si="13"/>
        <v>0</v>
      </c>
      <c r="R50" s="65">
        <f t="shared" ca="1" si="36"/>
        <v>0</v>
      </c>
      <c r="S50" s="62">
        <f t="shared" ca="1" si="26"/>
        <v>0</v>
      </c>
      <c r="T50" s="64">
        <f t="shared" ca="1" si="37"/>
        <v>0</v>
      </c>
      <c r="U50" s="64">
        <f t="shared" ca="1" si="14"/>
        <v>0</v>
      </c>
      <c r="V50" s="65">
        <f t="shared" ca="1" si="38"/>
        <v>0</v>
      </c>
      <c r="W50" s="62">
        <f t="shared" ca="1" si="27"/>
        <v>1648.8580284538414</v>
      </c>
      <c r="X50" s="64">
        <f t="shared" ca="1" si="39"/>
        <v>107.1757718494997</v>
      </c>
      <c r="Y50" s="64">
        <f t="shared" ca="1" si="15"/>
        <v>107.2667983997154</v>
      </c>
      <c r="Z50" s="65">
        <f t="shared" ca="1" si="40"/>
        <v>1541.5912300541261</v>
      </c>
      <c r="AA50" s="64">
        <f ca="1">SUM(D49:D50,H49:H50,L49:L50, P49:P50, T49:T50)</f>
        <v>6883.6216529316207</v>
      </c>
      <c r="AB50" s="546">
        <f ca="1">SUM(E49:E50, I49:I50, M49:M50, Q49:Q50, U49:U50)</f>
        <v>10329.658886761337</v>
      </c>
      <c r="AC50" s="64">
        <f ca="1">SUM( X49:X50)</f>
        <v>220.89834360132943</v>
      </c>
      <c r="AD50" s="546">
        <f ca="1">SUM(Y49:Y50)</f>
        <v>207.98679689710076</v>
      </c>
      <c r="AE50" s="1264">
        <f ca="1">(C49+W49)*IF([4]RAROC!$B$103=1,VLOOKUP(A50,[4]!Guar_Fee_Table,2),IF([4]RAROC!$B$103=2,VLOOKUP(A50,[4]!Guar_Fee_Table,3),IF([4]RAROC!$B$103=3,VLOOKUP(A50,[4]!Guar_Fee_Table,4))))</f>
        <v>0</v>
      </c>
      <c r="AG50" s="889">
        <f>8362.95238095238+2660</f>
        <v>11022.95238095238</v>
      </c>
      <c r="AH50" s="191">
        <f t="shared" si="16"/>
        <v>5.5114761904761903E-2</v>
      </c>
      <c r="AI50" s="931">
        <v>0</v>
      </c>
      <c r="AJ50" s="21">
        <f t="shared" si="17"/>
        <v>0</v>
      </c>
      <c r="AK50" s="931">
        <v>0</v>
      </c>
      <c r="AL50" s="21">
        <f t="shared" si="18"/>
        <v>0</v>
      </c>
      <c r="AM50" s="931">
        <v>0</v>
      </c>
      <c r="AN50" s="21">
        <f t="shared" si="19"/>
        <v>0</v>
      </c>
      <c r="AO50" s="931">
        <v>0</v>
      </c>
      <c r="AP50" s="21">
        <f t="shared" si="20"/>
        <v>0</v>
      </c>
      <c r="AQ50" s="931">
        <v>0</v>
      </c>
      <c r="AR50" s="191">
        <f t="shared" si="21"/>
        <v>0</v>
      </c>
    </row>
    <row r="51" spans="1:44">
      <c r="A51" s="359">
        <f t="shared" si="41"/>
        <v>2008</v>
      </c>
      <c r="B51" s="44">
        <f t="shared" si="28"/>
        <v>14</v>
      </c>
      <c r="C51" s="60">
        <f t="shared" ca="1" si="22"/>
        <v>54774.29673349049</v>
      </c>
      <c r="D51" s="53">
        <f t="shared" ca="1" si="29"/>
        <v>3015.3250351786514</v>
      </c>
      <c r="E51" s="259">
        <f ca="1">IF($B51&gt;=F$31,C51,IF(F$33&gt;=$B51, 0, IF(C51&gt;1, CHOOSE(F$34,F$29/(F$31-F$33), -PMT(F$32/2,F$31-$B50,C51,0)-D51,F$29*$AH51), 0)))*Assm!$X$90</f>
        <v>5164.8294433806686</v>
      </c>
      <c r="F51" s="61">
        <f t="shared" ca="1" si="30"/>
        <v>49609.467290109824</v>
      </c>
      <c r="G51" s="60">
        <f t="shared" ca="1" si="23"/>
        <v>0</v>
      </c>
      <c r="H51" s="53">
        <f t="shared" ca="1" si="31"/>
        <v>0</v>
      </c>
      <c r="I51" s="53">
        <f t="shared" ca="1" si="11"/>
        <v>0</v>
      </c>
      <c r="J51" s="61">
        <f t="shared" ca="1" si="32"/>
        <v>0</v>
      </c>
      <c r="K51" s="60">
        <f t="shared" ca="1" si="24"/>
        <v>0</v>
      </c>
      <c r="L51" s="53">
        <f t="shared" ca="1" si="33"/>
        <v>0</v>
      </c>
      <c r="M51" s="53">
        <f t="shared" ca="1" si="12"/>
        <v>0</v>
      </c>
      <c r="N51" s="61">
        <f t="shared" ca="1" si="34"/>
        <v>0</v>
      </c>
      <c r="O51" s="60">
        <f t="shared" ca="1" si="25"/>
        <v>0</v>
      </c>
      <c r="P51" s="53">
        <f t="shared" ca="1" si="35"/>
        <v>0</v>
      </c>
      <c r="Q51" s="53">
        <f t="shared" ca="1" si="13"/>
        <v>0</v>
      </c>
      <c r="R51" s="61">
        <f t="shared" ca="1" si="36"/>
        <v>0</v>
      </c>
      <c r="S51" s="60">
        <f t="shared" ca="1" si="26"/>
        <v>0</v>
      </c>
      <c r="T51" s="53">
        <f t="shared" ca="1" si="37"/>
        <v>0</v>
      </c>
      <c r="U51" s="53">
        <f t="shared" ca="1" si="14"/>
        <v>0</v>
      </c>
      <c r="V51" s="61">
        <f t="shared" ca="1" si="38"/>
        <v>0</v>
      </c>
      <c r="W51" s="60">
        <f t="shared" ca="1" si="27"/>
        <v>1541.5912300541261</v>
      </c>
      <c r="X51" s="53">
        <f t="shared" ca="1" si="39"/>
        <v>100.2034299535182</v>
      </c>
      <c r="Y51" s="53">
        <f t="shared" ca="1" si="15"/>
        <v>114.23914029569687</v>
      </c>
      <c r="Z51" s="61">
        <f t="shared" ca="1" si="40"/>
        <v>1427.3520897584292</v>
      </c>
      <c r="AA51" s="53"/>
      <c r="AB51" s="183"/>
      <c r="AC51" s="53"/>
      <c r="AD51" s="183"/>
      <c r="AE51" s="1263"/>
      <c r="AG51" s="889">
        <f>8362.95238095238+2660</f>
        <v>11022.95238095238</v>
      </c>
      <c r="AH51" s="191">
        <f t="shared" si="16"/>
        <v>5.5114761904761903E-2</v>
      </c>
      <c r="AI51" s="931">
        <v>0</v>
      </c>
      <c r="AJ51" s="21">
        <f t="shared" si="17"/>
        <v>0</v>
      </c>
      <c r="AK51" s="931">
        <v>0</v>
      </c>
      <c r="AL51" s="21">
        <f t="shared" si="18"/>
        <v>0</v>
      </c>
      <c r="AM51" s="931">
        <v>0</v>
      </c>
      <c r="AN51" s="21">
        <f t="shared" si="19"/>
        <v>0</v>
      </c>
      <c r="AO51" s="931">
        <v>0</v>
      </c>
      <c r="AP51" s="21">
        <f t="shared" si="20"/>
        <v>0</v>
      </c>
      <c r="AQ51" s="931">
        <v>0</v>
      </c>
      <c r="AR51" s="191">
        <f t="shared" si="21"/>
        <v>0</v>
      </c>
    </row>
    <row r="52" spans="1:44">
      <c r="A52" s="545">
        <f>A51</f>
        <v>2008</v>
      </c>
      <c r="B52" s="310">
        <f t="shared" si="28"/>
        <v>15</v>
      </c>
      <c r="C52" s="62">
        <f t="shared" ca="1" si="22"/>
        <v>49609.467290109824</v>
      </c>
      <c r="D52" s="64">
        <f t="shared" ca="1" si="29"/>
        <v>2731.0011743205459</v>
      </c>
      <c r="E52" s="265">
        <f ca="1">IF($B52&gt;=F$31,C52,IF(F$33&gt;=$B52, 0, IF(C52&gt;1, CHOOSE(F$34,F$29/(F$31-F$33), -PMT(F$32/2,F$31-$B51,C52,0)-D52,F$29*$AH52), 0)))*Assm!$X$90</f>
        <v>2672.1313268338599</v>
      </c>
      <c r="F52" s="65">
        <f t="shared" ca="1" si="30"/>
        <v>46937.335963275968</v>
      </c>
      <c r="G52" s="62">
        <f t="shared" ca="1" si="23"/>
        <v>0</v>
      </c>
      <c r="H52" s="64">
        <f t="shared" ca="1" si="31"/>
        <v>0</v>
      </c>
      <c r="I52" s="64">
        <f t="shared" ca="1" si="11"/>
        <v>0</v>
      </c>
      <c r="J52" s="65">
        <f t="shared" ca="1" si="32"/>
        <v>0</v>
      </c>
      <c r="K52" s="62">
        <f t="shared" ca="1" si="24"/>
        <v>0</v>
      </c>
      <c r="L52" s="64">
        <f t="shared" ca="1" si="33"/>
        <v>0</v>
      </c>
      <c r="M52" s="64">
        <f t="shared" ca="1" si="12"/>
        <v>0</v>
      </c>
      <c r="N52" s="65">
        <f t="shared" ca="1" si="34"/>
        <v>0</v>
      </c>
      <c r="O52" s="62">
        <f t="shared" ca="1" si="25"/>
        <v>0</v>
      </c>
      <c r="P52" s="64">
        <f t="shared" ca="1" si="35"/>
        <v>0</v>
      </c>
      <c r="Q52" s="64">
        <f t="shared" ca="1" si="13"/>
        <v>0</v>
      </c>
      <c r="R52" s="65">
        <f t="shared" ca="1" si="36"/>
        <v>0</v>
      </c>
      <c r="S52" s="62">
        <f t="shared" ca="1" si="26"/>
        <v>0</v>
      </c>
      <c r="T52" s="64">
        <f t="shared" ca="1" si="37"/>
        <v>0</v>
      </c>
      <c r="U52" s="64">
        <f t="shared" ca="1" si="14"/>
        <v>0</v>
      </c>
      <c r="V52" s="65">
        <f t="shared" ca="1" si="38"/>
        <v>0</v>
      </c>
      <c r="W52" s="62">
        <f t="shared" ca="1" si="27"/>
        <v>1427.3520897584292</v>
      </c>
      <c r="X52" s="64">
        <f t="shared" ca="1" si="39"/>
        <v>92.777885834297905</v>
      </c>
      <c r="Y52" s="64">
        <f t="shared" ca="1" si="15"/>
        <v>121.66468441491713</v>
      </c>
      <c r="Z52" s="65">
        <f t="shared" ca="1" si="40"/>
        <v>1305.6874053435122</v>
      </c>
      <c r="AA52" s="64">
        <f ca="1">SUM(D51:D52,H51:H52,L51:L52, P51:P52, T51:T52)</f>
        <v>5746.3262094991969</v>
      </c>
      <c r="AB52" s="546">
        <f ca="1">SUM(E51:E52, I51:I52, M51:M52, Q51:Q52, U51:U52)</f>
        <v>7836.9607702145286</v>
      </c>
      <c r="AC52" s="64">
        <f ca="1">SUM( X51:X52)</f>
        <v>192.9813157878161</v>
      </c>
      <c r="AD52" s="546">
        <f ca="1">SUM(Y51:Y52)</f>
        <v>235.903824710614</v>
      </c>
      <c r="AE52" s="1264">
        <f ca="1">(C51+W51)*IF([4]RAROC!$B$103=1,VLOOKUP(A52,[4]!Guar_Fee_Table,2),IF([4]RAROC!$B$103=2,VLOOKUP(A52,[4]!Guar_Fee_Table,3),IF([4]RAROC!$B$103=3,VLOOKUP(A52,[4]!Guar_Fee_Table,4))))</f>
        <v>0</v>
      </c>
      <c r="AG52" s="889">
        <f t="shared" ref="AG52:AG57" si="42">8362.95238095238-2660</f>
        <v>5702.9523809523798</v>
      </c>
      <c r="AH52" s="191">
        <f t="shared" si="16"/>
        <v>2.85147619047619E-2</v>
      </c>
      <c r="AI52" s="931">
        <v>0</v>
      </c>
      <c r="AJ52" s="21">
        <f t="shared" si="17"/>
        <v>0</v>
      </c>
      <c r="AK52" s="931">
        <v>0</v>
      </c>
      <c r="AL52" s="21">
        <f t="shared" si="18"/>
        <v>0</v>
      </c>
      <c r="AM52" s="931">
        <v>0</v>
      </c>
      <c r="AN52" s="21">
        <f t="shared" si="19"/>
        <v>0</v>
      </c>
      <c r="AO52" s="931">
        <v>0</v>
      </c>
      <c r="AP52" s="21">
        <f t="shared" si="20"/>
        <v>0</v>
      </c>
      <c r="AQ52" s="931">
        <v>0</v>
      </c>
      <c r="AR52" s="191">
        <f t="shared" si="21"/>
        <v>0</v>
      </c>
    </row>
    <row r="53" spans="1:44">
      <c r="A53" s="359">
        <f t="shared" si="41"/>
        <v>2009</v>
      </c>
      <c r="B53" s="44">
        <f t="shared" si="28"/>
        <v>16</v>
      </c>
      <c r="C53" s="60">
        <f t="shared" ca="1" si="22"/>
        <v>46937.335963275968</v>
      </c>
      <c r="D53" s="53">
        <f t="shared" ca="1" si="29"/>
        <v>2583.9003447783421</v>
      </c>
      <c r="E53" s="259">
        <f ca="1">IF($B53&gt;=F$31,C53,IF(F$33&gt;=$B53, 0, IF(C53&gt;1, CHOOSE(F$34,F$29/(F$31-F$33), -PMT(F$32/2,F$31-$B52,C53,0)-D53,F$29*$AH53), 0)))*Assm!$X$90</f>
        <v>2672.1313268338599</v>
      </c>
      <c r="F53" s="61">
        <f t="shared" ca="1" si="30"/>
        <v>44265.204636442111</v>
      </c>
      <c r="G53" s="60">
        <f t="shared" ca="1" si="23"/>
        <v>0</v>
      </c>
      <c r="H53" s="53">
        <f t="shared" ca="1" si="31"/>
        <v>0</v>
      </c>
      <c r="I53" s="53">
        <f t="shared" ca="1" si="11"/>
        <v>0</v>
      </c>
      <c r="J53" s="61">
        <f t="shared" ca="1" si="32"/>
        <v>0</v>
      </c>
      <c r="K53" s="60">
        <f t="shared" ca="1" si="24"/>
        <v>0</v>
      </c>
      <c r="L53" s="53">
        <f t="shared" ca="1" si="33"/>
        <v>0</v>
      </c>
      <c r="M53" s="53">
        <f t="shared" ca="1" si="12"/>
        <v>0</v>
      </c>
      <c r="N53" s="61">
        <f t="shared" ca="1" si="34"/>
        <v>0</v>
      </c>
      <c r="O53" s="60">
        <f t="shared" ca="1" si="25"/>
        <v>0</v>
      </c>
      <c r="P53" s="53">
        <f t="shared" ca="1" si="35"/>
        <v>0</v>
      </c>
      <c r="Q53" s="53">
        <f t="shared" ca="1" si="13"/>
        <v>0</v>
      </c>
      <c r="R53" s="61">
        <f t="shared" ca="1" si="36"/>
        <v>0</v>
      </c>
      <c r="S53" s="60">
        <f t="shared" ca="1" si="26"/>
        <v>0</v>
      </c>
      <c r="T53" s="53">
        <f t="shared" ca="1" si="37"/>
        <v>0</v>
      </c>
      <c r="U53" s="53">
        <f t="shared" ca="1" si="14"/>
        <v>0</v>
      </c>
      <c r="V53" s="61">
        <f t="shared" ca="1" si="38"/>
        <v>0</v>
      </c>
      <c r="W53" s="60">
        <f t="shared" ca="1" si="27"/>
        <v>1305.6874053435122</v>
      </c>
      <c r="X53" s="53">
        <f t="shared" ca="1" si="39"/>
        <v>84.869681347328296</v>
      </c>
      <c r="Y53" s="53">
        <f t="shared" ca="1" si="15"/>
        <v>129.5728889018867</v>
      </c>
      <c r="Z53" s="61">
        <f t="shared" ca="1" si="40"/>
        <v>1176.1145164416255</v>
      </c>
      <c r="AA53" s="53"/>
      <c r="AB53" s="183"/>
      <c r="AC53" s="53"/>
      <c r="AD53" s="183"/>
      <c r="AE53" s="1263"/>
      <c r="AG53" s="889">
        <f t="shared" si="42"/>
        <v>5702.9523809523798</v>
      </c>
      <c r="AH53" s="191">
        <f t="shared" si="16"/>
        <v>2.85147619047619E-2</v>
      </c>
      <c r="AI53" s="931">
        <v>0</v>
      </c>
      <c r="AJ53" s="21">
        <f t="shared" si="17"/>
        <v>0</v>
      </c>
      <c r="AK53" s="931">
        <v>0</v>
      </c>
      <c r="AL53" s="21">
        <f t="shared" si="18"/>
        <v>0</v>
      </c>
      <c r="AM53" s="931">
        <v>0</v>
      </c>
      <c r="AN53" s="21">
        <f t="shared" si="19"/>
        <v>0</v>
      </c>
      <c r="AO53" s="931">
        <v>0</v>
      </c>
      <c r="AP53" s="21">
        <f t="shared" si="20"/>
        <v>0</v>
      </c>
      <c r="AQ53" s="931">
        <v>0</v>
      </c>
      <c r="AR53" s="191">
        <f t="shared" si="21"/>
        <v>0</v>
      </c>
    </row>
    <row r="54" spans="1:44">
      <c r="A54" s="545">
        <f>A53</f>
        <v>2009</v>
      </c>
      <c r="B54" s="310">
        <f t="shared" si="28"/>
        <v>17</v>
      </c>
      <c r="C54" s="62">
        <f t="shared" ca="1" si="22"/>
        <v>44265.204636442111</v>
      </c>
      <c r="D54" s="64">
        <f t="shared" ca="1" si="29"/>
        <v>2436.7995152361382</v>
      </c>
      <c r="E54" s="265">
        <f ca="1">IF($B54&gt;=F$31,C54,IF(F$33&gt;=$B54, 0, IF(C54&gt;1, CHOOSE(F$34,F$29/(F$31-F$33), -PMT(F$32/2,F$31-$B53,C54,0)-D54,F$29*$AH54), 0)))*Assm!$X$90</f>
        <v>2672.1313268338599</v>
      </c>
      <c r="F54" s="65">
        <f t="shared" ca="1" si="30"/>
        <v>41593.073309608255</v>
      </c>
      <c r="G54" s="62">
        <f t="shared" ca="1" si="23"/>
        <v>0</v>
      </c>
      <c r="H54" s="64">
        <f t="shared" ca="1" si="31"/>
        <v>0</v>
      </c>
      <c r="I54" s="64">
        <f t="shared" ca="1" si="11"/>
        <v>0</v>
      </c>
      <c r="J54" s="65">
        <f t="shared" ca="1" si="32"/>
        <v>0</v>
      </c>
      <c r="K54" s="62">
        <f t="shared" ca="1" si="24"/>
        <v>0</v>
      </c>
      <c r="L54" s="64">
        <f t="shared" ca="1" si="33"/>
        <v>0</v>
      </c>
      <c r="M54" s="64">
        <f t="shared" ca="1" si="12"/>
        <v>0</v>
      </c>
      <c r="N54" s="65">
        <f t="shared" ca="1" si="34"/>
        <v>0</v>
      </c>
      <c r="O54" s="62">
        <f t="shared" ca="1" si="25"/>
        <v>0</v>
      </c>
      <c r="P54" s="64">
        <f t="shared" ca="1" si="35"/>
        <v>0</v>
      </c>
      <c r="Q54" s="64">
        <f t="shared" ca="1" si="13"/>
        <v>0</v>
      </c>
      <c r="R54" s="65">
        <f t="shared" ca="1" si="36"/>
        <v>0</v>
      </c>
      <c r="S54" s="62">
        <f t="shared" ca="1" si="26"/>
        <v>0</v>
      </c>
      <c r="T54" s="64">
        <f t="shared" ca="1" si="37"/>
        <v>0</v>
      </c>
      <c r="U54" s="64">
        <f t="shared" ca="1" si="14"/>
        <v>0</v>
      </c>
      <c r="V54" s="65">
        <f t="shared" ca="1" si="38"/>
        <v>0</v>
      </c>
      <c r="W54" s="62">
        <f t="shared" ca="1" si="27"/>
        <v>1176.1145164416255</v>
      </c>
      <c r="X54" s="64">
        <f t="shared" ca="1" si="39"/>
        <v>76.447443568705665</v>
      </c>
      <c r="Y54" s="64">
        <f t="shared" ca="1" si="15"/>
        <v>137.99512668050937</v>
      </c>
      <c r="Z54" s="65">
        <f t="shared" ca="1" si="40"/>
        <v>1038.1193897611161</v>
      </c>
      <c r="AA54" s="64">
        <f ca="1">SUM(D53:D54,H53:H54,L53:L54, P53:P54, T53:T54)</f>
        <v>5020.6998600144798</v>
      </c>
      <c r="AB54" s="546">
        <f ca="1">SUM(E53:E54, I53:I54, M53:M54, Q53:Q54, U53:U54)</f>
        <v>5344.2626536677199</v>
      </c>
      <c r="AC54" s="64">
        <f ca="1">SUM( X53:X54)</f>
        <v>161.31712491603395</v>
      </c>
      <c r="AD54" s="546">
        <f ca="1">SUM(Y53:Y54)</f>
        <v>267.56801558239607</v>
      </c>
      <c r="AE54" s="1264">
        <f ca="1">(C53+W53)*IF([4]RAROC!$B$103=1,VLOOKUP(A54,[4]!Guar_Fee_Table,2),IF([4]RAROC!$B$103=2,VLOOKUP(A54,[4]!Guar_Fee_Table,3),IF([4]RAROC!$B$103=3,VLOOKUP(A54,[4]!Guar_Fee_Table,4))))</f>
        <v>0</v>
      </c>
      <c r="AG54" s="889">
        <f t="shared" si="42"/>
        <v>5702.9523809523798</v>
      </c>
      <c r="AH54" s="191">
        <f t="shared" si="16"/>
        <v>2.85147619047619E-2</v>
      </c>
      <c r="AI54" s="931">
        <v>0</v>
      </c>
      <c r="AJ54" s="21">
        <f t="shared" si="17"/>
        <v>0</v>
      </c>
      <c r="AK54" s="931">
        <v>0</v>
      </c>
      <c r="AL54" s="21">
        <f t="shared" si="18"/>
        <v>0</v>
      </c>
      <c r="AM54" s="931">
        <v>0</v>
      </c>
      <c r="AN54" s="21">
        <f t="shared" si="19"/>
        <v>0</v>
      </c>
      <c r="AO54" s="931">
        <v>0</v>
      </c>
      <c r="AP54" s="21">
        <f t="shared" si="20"/>
        <v>0</v>
      </c>
      <c r="AQ54" s="931">
        <v>0</v>
      </c>
      <c r="AR54" s="191">
        <f t="shared" si="21"/>
        <v>0</v>
      </c>
    </row>
    <row r="55" spans="1:44">
      <c r="A55" s="359">
        <f t="shared" si="41"/>
        <v>2010</v>
      </c>
      <c r="B55" s="44">
        <f t="shared" ref="B55:B70" si="43">B54+1</f>
        <v>18</v>
      </c>
      <c r="C55" s="60">
        <f t="shared" ca="1" si="22"/>
        <v>41593.073309608255</v>
      </c>
      <c r="D55" s="53">
        <f t="shared" ca="1" si="29"/>
        <v>2289.6986856939343</v>
      </c>
      <c r="E55" s="259">
        <f ca="1">IF($B55&gt;=F$31,C55,IF(F$33&gt;=$B55, 0, IF(C55&gt;1, CHOOSE(F$34,F$29/(F$31-F$33), -PMT(F$32/2,F$31-$B54,C55,0)-D55,F$29*$AH55), 0)))*Assm!$X$90</f>
        <v>2672.1313268338599</v>
      </c>
      <c r="F55" s="61">
        <f t="shared" ref="F55:F70" ca="1" si="44">C55-E55</f>
        <v>38920.941982774399</v>
      </c>
      <c r="G55" s="60">
        <f t="shared" ca="1" si="23"/>
        <v>0</v>
      </c>
      <c r="H55" s="53">
        <f t="shared" ca="1" si="31"/>
        <v>0</v>
      </c>
      <c r="I55" s="53">
        <f t="shared" ca="1" si="11"/>
        <v>0</v>
      </c>
      <c r="J55" s="61">
        <f t="shared" ca="1" si="32"/>
        <v>0</v>
      </c>
      <c r="K55" s="60">
        <f t="shared" ca="1" si="24"/>
        <v>0</v>
      </c>
      <c r="L55" s="53">
        <f t="shared" ca="1" si="33"/>
        <v>0</v>
      </c>
      <c r="M55" s="53">
        <f t="shared" ca="1" si="12"/>
        <v>0</v>
      </c>
      <c r="N55" s="61">
        <f t="shared" ca="1" si="34"/>
        <v>0</v>
      </c>
      <c r="O55" s="60">
        <f t="shared" ca="1" si="25"/>
        <v>0</v>
      </c>
      <c r="P55" s="53">
        <f t="shared" ca="1" si="35"/>
        <v>0</v>
      </c>
      <c r="Q55" s="53">
        <f t="shared" ca="1" si="13"/>
        <v>0</v>
      </c>
      <c r="R55" s="61">
        <f t="shared" ca="1" si="36"/>
        <v>0</v>
      </c>
      <c r="S55" s="60">
        <f t="shared" ca="1" si="26"/>
        <v>0</v>
      </c>
      <c r="T55" s="53">
        <f t="shared" ca="1" si="37"/>
        <v>0</v>
      </c>
      <c r="U55" s="53">
        <f t="shared" ca="1" si="14"/>
        <v>0</v>
      </c>
      <c r="V55" s="61">
        <f t="shared" ca="1" si="38"/>
        <v>0</v>
      </c>
      <c r="W55" s="60">
        <f t="shared" ca="1" si="27"/>
        <v>1038.1193897611161</v>
      </c>
      <c r="X55" s="53">
        <f t="shared" ca="1" si="39"/>
        <v>67.477760334472549</v>
      </c>
      <c r="Y55" s="53">
        <f t="shared" ca="1" si="15"/>
        <v>146.9648099147424</v>
      </c>
      <c r="Z55" s="61">
        <f t="shared" ca="1" si="40"/>
        <v>891.15457984637362</v>
      </c>
      <c r="AA55" s="53"/>
      <c r="AB55" s="183"/>
      <c r="AC55" s="53"/>
      <c r="AD55" s="183"/>
      <c r="AE55" s="1263"/>
      <c r="AG55" s="889">
        <f t="shared" si="42"/>
        <v>5702.9523809523798</v>
      </c>
      <c r="AH55" s="191">
        <f t="shared" si="16"/>
        <v>2.85147619047619E-2</v>
      </c>
      <c r="AI55" s="931">
        <v>0</v>
      </c>
      <c r="AJ55" s="21">
        <f t="shared" si="17"/>
        <v>0</v>
      </c>
      <c r="AK55" s="931">
        <v>0</v>
      </c>
      <c r="AL55" s="21">
        <f t="shared" si="18"/>
        <v>0</v>
      </c>
      <c r="AM55" s="931">
        <v>0</v>
      </c>
      <c r="AN55" s="21">
        <f t="shared" si="19"/>
        <v>0</v>
      </c>
      <c r="AO55" s="931">
        <v>0</v>
      </c>
      <c r="AP55" s="21">
        <f t="shared" si="20"/>
        <v>0</v>
      </c>
      <c r="AQ55" s="931">
        <v>0</v>
      </c>
      <c r="AR55" s="191">
        <f t="shared" si="21"/>
        <v>0</v>
      </c>
    </row>
    <row r="56" spans="1:44">
      <c r="A56" s="545">
        <f>A55</f>
        <v>2010</v>
      </c>
      <c r="B56" s="310">
        <f t="shared" si="43"/>
        <v>19</v>
      </c>
      <c r="C56" s="62">
        <f t="shared" ca="1" si="22"/>
        <v>38920.941982774399</v>
      </c>
      <c r="D56" s="64">
        <f t="shared" ca="1" si="29"/>
        <v>2142.5978561517309</v>
      </c>
      <c r="E56" s="265">
        <f ca="1">IF($B56&gt;=F$31,C56,IF(F$33&gt;=$B56, 0, IF(C56&gt;1, CHOOSE(F$34,F$29/(F$31-F$33), -PMT(F$32/2,F$31-$B55,C56,0)-D56,F$29*$AH56), 0)))*Assm!$X$90</f>
        <v>2672.1313268338599</v>
      </c>
      <c r="F56" s="65">
        <f t="shared" ca="1" si="44"/>
        <v>36248.810655940542</v>
      </c>
      <c r="G56" s="62">
        <f t="shared" ca="1" si="23"/>
        <v>0</v>
      </c>
      <c r="H56" s="64">
        <f t="shared" ca="1" si="31"/>
        <v>0</v>
      </c>
      <c r="I56" s="64">
        <f t="shared" ca="1" si="11"/>
        <v>0</v>
      </c>
      <c r="J56" s="65">
        <f t="shared" ca="1" si="32"/>
        <v>0</v>
      </c>
      <c r="K56" s="62">
        <f t="shared" ca="1" si="24"/>
        <v>0</v>
      </c>
      <c r="L56" s="64">
        <f t="shared" ca="1" si="33"/>
        <v>0</v>
      </c>
      <c r="M56" s="64">
        <f t="shared" ca="1" si="12"/>
        <v>0</v>
      </c>
      <c r="N56" s="65">
        <f t="shared" ca="1" si="34"/>
        <v>0</v>
      </c>
      <c r="O56" s="62">
        <f t="shared" ca="1" si="25"/>
        <v>0</v>
      </c>
      <c r="P56" s="64">
        <f t="shared" ca="1" si="35"/>
        <v>0</v>
      </c>
      <c r="Q56" s="64">
        <f t="shared" ca="1" si="13"/>
        <v>0</v>
      </c>
      <c r="R56" s="65">
        <f t="shared" ca="1" si="36"/>
        <v>0</v>
      </c>
      <c r="S56" s="62">
        <f t="shared" ca="1" si="26"/>
        <v>0</v>
      </c>
      <c r="T56" s="64">
        <f t="shared" ca="1" si="37"/>
        <v>0</v>
      </c>
      <c r="U56" s="64">
        <f t="shared" ca="1" si="14"/>
        <v>0</v>
      </c>
      <c r="V56" s="65">
        <f t="shared" ca="1" si="38"/>
        <v>0</v>
      </c>
      <c r="W56" s="62">
        <f t="shared" ca="1" si="27"/>
        <v>891.15457984637362</v>
      </c>
      <c r="X56" s="64">
        <f t="shared" ca="1" si="39"/>
        <v>57.925047690014289</v>
      </c>
      <c r="Y56" s="64">
        <f t="shared" ca="1" si="15"/>
        <v>156.51752255920056</v>
      </c>
      <c r="Z56" s="65">
        <f t="shared" ca="1" si="40"/>
        <v>734.63705728717309</v>
      </c>
      <c r="AA56" s="64">
        <f ca="1">SUM(D55:D56,H55:H56,L55:L56, P55:P56, T55:T56)</f>
        <v>4432.2965418456652</v>
      </c>
      <c r="AB56" s="546">
        <f ca="1">SUM(E55:E56, I55:I56, M55:M56, Q55:Q56, U55:U56)</f>
        <v>5344.2626536677199</v>
      </c>
      <c r="AC56" s="64">
        <f ca="1">SUM( X55:X56)</f>
        <v>125.40280802448683</v>
      </c>
      <c r="AD56" s="546">
        <f ca="1">SUM(Y55:Y56)</f>
        <v>303.48233247394296</v>
      </c>
      <c r="AE56" s="1264">
        <f ca="1">(C55+W55)*IF([4]RAROC!$B$103=1,VLOOKUP(A56,[4]!Guar_Fee_Table,2),IF([4]RAROC!$B$103=2,VLOOKUP(A56,[4]!Guar_Fee_Table,3),IF([4]RAROC!$B$103=3,VLOOKUP(A56,[4]!Guar_Fee_Table,4))))</f>
        <v>0</v>
      </c>
      <c r="AG56" s="889">
        <f t="shared" si="42"/>
        <v>5702.9523809523798</v>
      </c>
      <c r="AH56" s="191">
        <f t="shared" si="16"/>
        <v>2.85147619047619E-2</v>
      </c>
      <c r="AI56" s="931">
        <v>0</v>
      </c>
      <c r="AJ56" s="21">
        <f t="shared" si="17"/>
        <v>0</v>
      </c>
      <c r="AK56" s="931">
        <v>0</v>
      </c>
      <c r="AL56" s="21">
        <f t="shared" si="18"/>
        <v>0</v>
      </c>
      <c r="AM56" s="931">
        <v>0</v>
      </c>
      <c r="AN56" s="21">
        <f t="shared" si="19"/>
        <v>0</v>
      </c>
      <c r="AO56" s="931">
        <v>0</v>
      </c>
      <c r="AP56" s="21">
        <f t="shared" si="20"/>
        <v>0</v>
      </c>
      <c r="AQ56" s="931">
        <v>0</v>
      </c>
      <c r="AR56" s="191">
        <f t="shared" si="21"/>
        <v>0</v>
      </c>
    </row>
    <row r="57" spans="1:44">
      <c r="A57" s="359">
        <f t="shared" si="41"/>
        <v>2011</v>
      </c>
      <c r="B57" s="44">
        <f t="shared" si="43"/>
        <v>20</v>
      </c>
      <c r="C57" s="60">
        <f t="shared" ca="1" si="22"/>
        <v>36248.810655940542</v>
      </c>
      <c r="D57" s="53">
        <f t="shared" ca="1" si="29"/>
        <v>1995.497026609527</v>
      </c>
      <c r="E57" s="259">
        <f ca="1">IF($B57&gt;=F$31,C57,IF(F$33&gt;=$B57, 0, IF(C57&gt;1, CHOOSE(F$34,F$29/(F$31-F$33), -PMT(F$32/2,F$31-$B56,C57,0)-D57,F$29*$AH57), 0)))*Assm!$X$90</f>
        <v>2672.1313268338599</v>
      </c>
      <c r="F57" s="61">
        <f t="shared" ca="1" si="44"/>
        <v>33576.679329106686</v>
      </c>
      <c r="G57" s="60">
        <f t="shared" ca="1" si="23"/>
        <v>0</v>
      </c>
      <c r="H57" s="53">
        <f t="shared" ca="1" si="31"/>
        <v>0</v>
      </c>
      <c r="I57" s="53">
        <f t="shared" ca="1" si="11"/>
        <v>0</v>
      </c>
      <c r="J57" s="61">
        <f t="shared" ca="1" si="32"/>
        <v>0</v>
      </c>
      <c r="K57" s="60">
        <f t="shared" ca="1" si="24"/>
        <v>0</v>
      </c>
      <c r="L57" s="53">
        <f t="shared" ca="1" si="33"/>
        <v>0</v>
      </c>
      <c r="M57" s="53">
        <f t="shared" ca="1" si="12"/>
        <v>0</v>
      </c>
      <c r="N57" s="61">
        <f t="shared" ca="1" si="34"/>
        <v>0</v>
      </c>
      <c r="O57" s="60">
        <f t="shared" ca="1" si="25"/>
        <v>0</v>
      </c>
      <c r="P57" s="53">
        <f t="shared" ca="1" si="35"/>
        <v>0</v>
      </c>
      <c r="Q57" s="53">
        <f t="shared" ca="1" si="13"/>
        <v>0</v>
      </c>
      <c r="R57" s="61">
        <f t="shared" ca="1" si="36"/>
        <v>0</v>
      </c>
      <c r="S57" s="60">
        <f t="shared" ca="1" si="26"/>
        <v>0</v>
      </c>
      <c r="T57" s="53">
        <f t="shared" ca="1" si="37"/>
        <v>0</v>
      </c>
      <c r="U57" s="53">
        <f t="shared" ca="1" si="14"/>
        <v>0</v>
      </c>
      <c r="V57" s="61">
        <f t="shared" ca="1" si="38"/>
        <v>0</v>
      </c>
      <c r="W57" s="60">
        <f t="shared" ca="1" si="27"/>
        <v>734.63705728717309</v>
      </c>
      <c r="X57" s="53">
        <f t="shared" ca="1" si="39"/>
        <v>47.751408723666252</v>
      </c>
      <c r="Y57" s="53">
        <f t="shared" ca="1" si="15"/>
        <v>166.69116152554861</v>
      </c>
      <c r="Z57" s="61">
        <f t="shared" ca="1" si="40"/>
        <v>567.94589576162446</v>
      </c>
      <c r="AA57" s="53"/>
      <c r="AB57" s="183"/>
      <c r="AC57" s="53"/>
      <c r="AD57" s="183"/>
      <c r="AE57" s="1263"/>
      <c r="AG57" s="889">
        <f t="shared" si="42"/>
        <v>5702.9523809523798</v>
      </c>
      <c r="AH57" s="191">
        <f t="shared" si="16"/>
        <v>2.85147619047619E-2</v>
      </c>
      <c r="AI57" s="931">
        <v>0</v>
      </c>
      <c r="AJ57" s="21">
        <f t="shared" si="17"/>
        <v>0</v>
      </c>
      <c r="AK57" s="931">
        <v>0</v>
      </c>
      <c r="AL57" s="21">
        <f t="shared" si="18"/>
        <v>0</v>
      </c>
      <c r="AM57" s="931">
        <v>0</v>
      </c>
      <c r="AN57" s="21">
        <f t="shared" si="19"/>
        <v>0</v>
      </c>
      <c r="AO57" s="931">
        <v>0</v>
      </c>
      <c r="AP57" s="21">
        <f t="shared" si="20"/>
        <v>0</v>
      </c>
      <c r="AQ57" s="931">
        <v>0</v>
      </c>
      <c r="AR57" s="191">
        <f t="shared" si="21"/>
        <v>0</v>
      </c>
    </row>
    <row r="58" spans="1:44">
      <c r="A58" s="545">
        <f>A57</f>
        <v>2011</v>
      </c>
      <c r="B58" s="310">
        <f t="shared" si="43"/>
        <v>21</v>
      </c>
      <c r="C58" s="62">
        <f t="shared" ca="1" si="22"/>
        <v>33576.679329106686</v>
      </c>
      <c r="D58" s="64">
        <f t="shared" ca="1" si="29"/>
        <v>1848.3961970673231</v>
      </c>
      <c r="E58" s="265">
        <f ca="1">IF($B58&gt;=F$31,C58,IF(F$33&gt;=$B58, 0, IF(C58&gt;1, CHOOSE(F$34,F$29/(F$31-F$33), -PMT(F$32/2,F$31-$B57,C58,0)-D58,F$29*$AH58), 0)))*Assm!$X$90</f>
        <v>3918.4803851072652</v>
      </c>
      <c r="F58" s="65">
        <f t="shared" ca="1" si="44"/>
        <v>29658.198943999421</v>
      </c>
      <c r="G58" s="62">
        <f t="shared" ca="1" si="23"/>
        <v>0</v>
      </c>
      <c r="H58" s="64">
        <f t="shared" ca="1" si="31"/>
        <v>0</v>
      </c>
      <c r="I58" s="64">
        <f t="shared" ca="1" si="11"/>
        <v>0</v>
      </c>
      <c r="J58" s="65">
        <f t="shared" ca="1" si="32"/>
        <v>0</v>
      </c>
      <c r="K58" s="62">
        <f t="shared" ca="1" si="24"/>
        <v>0</v>
      </c>
      <c r="L58" s="64">
        <f t="shared" ca="1" si="33"/>
        <v>0</v>
      </c>
      <c r="M58" s="64">
        <f t="shared" ca="1" si="12"/>
        <v>0</v>
      </c>
      <c r="N58" s="65">
        <f t="shared" ca="1" si="34"/>
        <v>0</v>
      </c>
      <c r="O58" s="62">
        <f t="shared" ca="1" si="25"/>
        <v>0</v>
      </c>
      <c r="P58" s="64">
        <f t="shared" ca="1" si="35"/>
        <v>0</v>
      </c>
      <c r="Q58" s="64">
        <f t="shared" ca="1" si="13"/>
        <v>0</v>
      </c>
      <c r="R58" s="65">
        <f t="shared" ca="1" si="36"/>
        <v>0</v>
      </c>
      <c r="S58" s="62">
        <f t="shared" ca="1" si="26"/>
        <v>0</v>
      </c>
      <c r="T58" s="64">
        <f t="shared" ca="1" si="37"/>
        <v>0</v>
      </c>
      <c r="U58" s="64">
        <f t="shared" ca="1" si="14"/>
        <v>0</v>
      </c>
      <c r="V58" s="65">
        <f t="shared" ca="1" si="38"/>
        <v>0</v>
      </c>
      <c r="W58" s="62">
        <f t="shared" ca="1" si="27"/>
        <v>567.94589576162446</v>
      </c>
      <c r="X58" s="64">
        <f t="shared" ca="1" si="39"/>
        <v>36.91648322450559</v>
      </c>
      <c r="Y58" s="64">
        <f t="shared" ca="1" si="15"/>
        <v>177.5260870247092</v>
      </c>
      <c r="Z58" s="65">
        <f t="shared" ca="1" si="40"/>
        <v>390.41980873691523</v>
      </c>
      <c r="AA58" s="64">
        <f ca="1">SUM(D57:D58,H57:H58,L57:L58, P57:P58, T57:T58)</f>
        <v>3843.8932236768501</v>
      </c>
      <c r="AB58" s="546">
        <f ca="1">SUM(E57:E58, I57:I58, M57:M58, Q57:Q58, U57:U58)</f>
        <v>6590.6117119411247</v>
      </c>
      <c r="AC58" s="64">
        <f ca="1">SUM( X57:X58)</f>
        <v>84.667891948171842</v>
      </c>
      <c r="AD58" s="546">
        <f ca="1">SUM(Y57:Y58)</f>
        <v>344.21724855025781</v>
      </c>
      <c r="AE58" s="1264">
        <f ca="1">(C57+W57)*IF([4]RAROC!$B$103=1,VLOOKUP(A58,[4]!Guar_Fee_Table,2),IF([4]RAROC!$B$103=2,VLOOKUP(A58,[4]!Guar_Fee_Table,3),IF([4]RAROC!$B$103=3,VLOOKUP(A58,[4]!Guar_Fee_Table,4))))</f>
        <v>0</v>
      </c>
      <c r="AG58" s="889">
        <v>8362.9523809523816</v>
      </c>
      <c r="AH58" s="191">
        <f t="shared" si="16"/>
        <v>4.181476190476191E-2</v>
      </c>
      <c r="AI58" s="931">
        <v>0</v>
      </c>
      <c r="AJ58" s="21">
        <f t="shared" si="17"/>
        <v>0</v>
      </c>
      <c r="AK58" s="931">
        <v>0</v>
      </c>
      <c r="AL58" s="21">
        <f t="shared" si="18"/>
        <v>0</v>
      </c>
      <c r="AM58" s="931">
        <v>0</v>
      </c>
      <c r="AN58" s="21">
        <f t="shared" si="19"/>
        <v>0</v>
      </c>
      <c r="AO58" s="931">
        <v>0</v>
      </c>
      <c r="AP58" s="21">
        <f t="shared" si="20"/>
        <v>0</v>
      </c>
      <c r="AQ58" s="931">
        <v>0</v>
      </c>
      <c r="AR58" s="191">
        <f t="shared" si="21"/>
        <v>0</v>
      </c>
    </row>
    <row r="59" spans="1:44">
      <c r="A59" s="359">
        <f t="shared" ref="A59:A73" si="45">A57+1</f>
        <v>2012</v>
      </c>
      <c r="B59" s="44">
        <f t="shared" si="43"/>
        <v>22</v>
      </c>
      <c r="C59" s="60">
        <f t="shared" ca="1" si="22"/>
        <v>29658.198943999421</v>
      </c>
      <c r="D59" s="53">
        <f t="shared" ca="1" si="29"/>
        <v>1632.6838518671682</v>
      </c>
      <c r="E59" s="259">
        <f ca="1">IF($B59&gt;=F$31,C59,IF(F$33&gt;=$B59, 0, IF(C59&gt;1, CHOOSE(F$34,F$29/(F$31-F$33), -PMT(F$32/2,F$31-$B58,C59,0)-D59,F$29*$AH59), 0)))*Assm!$X$90</f>
        <v>3918.4803851072652</v>
      </c>
      <c r="F59" s="61">
        <f t="shared" ca="1" si="44"/>
        <v>25739.718558892157</v>
      </c>
      <c r="G59" s="60">
        <f t="shared" ca="1" si="23"/>
        <v>0</v>
      </c>
      <c r="H59" s="53">
        <f t="shared" ca="1" si="31"/>
        <v>0</v>
      </c>
      <c r="I59" s="53">
        <f t="shared" ca="1" si="11"/>
        <v>0</v>
      </c>
      <c r="J59" s="61">
        <f t="shared" ca="1" si="32"/>
        <v>0</v>
      </c>
      <c r="K59" s="60">
        <f t="shared" ca="1" si="24"/>
        <v>0</v>
      </c>
      <c r="L59" s="53">
        <f t="shared" ca="1" si="33"/>
        <v>0</v>
      </c>
      <c r="M59" s="53">
        <f t="shared" ca="1" si="12"/>
        <v>0</v>
      </c>
      <c r="N59" s="61">
        <f t="shared" ca="1" si="34"/>
        <v>0</v>
      </c>
      <c r="O59" s="60">
        <f t="shared" ca="1" si="25"/>
        <v>0</v>
      </c>
      <c r="P59" s="53">
        <f t="shared" ca="1" si="35"/>
        <v>0</v>
      </c>
      <c r="Q59" s="53">
        <f t="shared" ca="1" si="13"/>
        <v>0</v>
      </c>
      <c r="R59" s="61">
        <f t="shared" ca="1" si="36"/>
        <v>0</v>
      </c>
      <c r="S59" s="60">
        <f t="shared" ca="1" si="26"/>
        <v>0</v>
      </c>
      <c r="T59" s="53">
        <f t="shared" ca="1" si="37"/>
        <v>0</v>
      </c>
      <c r="U59" s="53">
        <f t="shared" ca="1" si="14"/>
        <v>0</v>
      </c>
      <c r="V59" s="61">
        <f t="shared" ca="1" si="38"/>
        <v>0</v>
      </c>
      <c r="W59" s="60">
        <f t="shared" ca="1" si="27"/>
        <v>390.41980873691523</v>
      </c>
      <c r="X59" s="53">
        <f t="shared" ca="1" si="39"/>
        <v>25.37728756789949</v>
      </c>
      <c r="Y59" s="53">
        <f t="shared" ca="1" si="15"/>
        <v>189.06528268131515</v>
      </c>
      <c r="Z59" s="61">
        <f t="shared" ca="1" si="40"/>
        <v>201.35452605560008</v>
      </c>
      <c r="AA59" s="53"/>
      <c r="AB59" s="183"/>
      <c r="AC59" s="53"/>
      <c r="AD59" s="183"/>
      <c r="AE59" s="1264"/>
      <c r="AG59" s="889">
        <v>8362.9523809523816</v>
      </c>
      <c r="AH59" s="191">
        <f t="shared" si="16"/>
        <v>4.181476190476191E-2</v>
      </c>
      <c r="AI59" s="931">
        <v>0</v>
      </c>
      <c r="AJ59" s="21">
        <f t="shared" si="17"/>
        <v>0</v>
      </c>
      <c r="AK59" s="931">
        <v>0</v>
      </c>
      <c r="AL59" s="21">
        <f t="shared" si="18"/>
        <v>0</v>
      </c>
      <c r="AM59" s="931">
        <v>0</v>
      </c>
      <c r="AN59" s="21">
        <f t="shared" si="19"/>
        <v>0</v>
      </c>
      <c r="AO59" s="931">
        <v>0</v>
      </c>
      <c r="AP59" s="21">
        <f t="shared" si="20"/>
        <v>0</v>
      </c>
      <c r="AQ59" s="931">
        <v>0</v>
      </c>
      <c r="AR59" s="191">
        <f t="shared" si="21"/>
        <v>0</v>
      </c>
    </row>
    <row r="60" spans="1:44">
      <c r="A60" s="545">
        <f>A59</f>
        <v>2012</v>
      </c>
      <c r="B60" s="310">
        <f t="shared" si="43"/>
        <v>23</v>
      </c>
      <c r="C60" s="62">
        <f t="shared" ca="1" si="22"/>
        <v>25739.718558892157</v>
      </c>
      <c r="D60" s="64">
        <f t="shared" ca="1" si="29"/>
        <v>1416.9715066670133</v>
      </c>
      <c r="E60" s="265">
        <f ca="1">IF($B60&gt;=F$31,C60,IF(F$33&gt;=$B60, 0, IF(C60&gt;1, CHOOSE(F$34,F$29/(F$31-F$33), -PMT(F$32/2,F$31-$B59,C60,0)-D60,F$29*$AH60), 0)))*Assm!$X$90</f>
        <v>3918.4803851072652</v>
      </c>
      <c r="F60" s="65">
        <f t="shared" ca="1" si="44"/>
        <v>21821.238173784892</v>
      </c>
      <c r="G60" s="62">
        <f t="shared" ca="1" si="23"/>
        <v>0</v>
      </c>
      <c r="H60" s="64">
        <f t="shared" ca="1" si="31"/>
        <v>0</v>
      </c>
      <c r="I60" s="64">
        <f t="shared" ca="1" si="11"/>
        <v>0</v>
      </c>
      <c r="J60" s="65">
        <f t="shared" ca="1" si="32"/>
        <v>0</v>
      </c>
      <c r="K60" s="62">
        <f t="shared" ca="1" si="24"/>
        <v>0</v>
      </c>
      <c r="L60" s="64">
        <f t="shared" ca="1" si="33"/>
        <v>0</v>
      </c>
      <c r="M60" s="64">
        <f t="shared" ca="1" si="12"/>
        <v>0</v>
      </c>
      <c r="N60" s="65">
        <f t="shared" ca="1" si="34"/>
        <v>0</v>
      </c>
      <c r="O60" s="62">
        <f t="shared" ca="1" si="25"/>
        <v>0</v>
      </c>
      <c r="P60" s="64">
        <f t="shared" ca="1" si="35"/>
        <v>0</v>
      </c>
      <c r="Q60" s="64">
        <f t="shared" ca="1" si="13"/>
        <v>0</v>
      </c>
      <c r="R60" s="65">
        <f t="shared" ca="1" si="36"/>
        <v>0</v>
      </c>
      <c r="S60" s="62">
        <f t="shared" ca="1" si="26"/>
        <v>0</v>
      </c>
      <c r="T60" s="64">
        <f t="shared" ca="1" si="37"/>
        <v>0</v>
      </c>
      <c r="U60" s="64">
        <f t="shared" ca="1" si="14"/>
        <v>0</v>
      </c>
      <c r="V60" s="65">
        <f t="shared" ca="1" si="38"/>
        <v>0</v>
      </c>
      <c r="W60" s="62">
        <f t="shared" ca="1" si="27"/>
        <v>201.35452605560008</v>
      </c>
      <c r="X60" s="64">
        <f t="shared" ca="1" si="39"/>
        <v>13.088044193614005</v>
      </c>
      <c r="Y60" s="64">
        <f t="shared" ca="1" si="15"/>
        <v>201.35452605560008</v>
      </c>
      <c r="Z60" s="65">
        <f t="shared" ca="1" si="40"/>
        <v>0</v>
      </c>
      <c r="AA60" s="64">
        <f ca="1">SUM(D59:D60,H59:H60,L59:L60, P59:P60, T59:T60)</f>
        <v>3049.6553585341817</v>
      </c>
      <c r="AB60" s="546">
        <f ca="1">SUM(E59:E60, I59:I60, M59:M60, Q59:Q60, U59:U60)</f>
        <v>7836.9607702145304</v>
      </c>
      <c r="AC60" s="64">
        <f ca="1">SUM( X59:X60)</f>
        <v>38.465331761513497</v>
      </c>
      <c r="AD60" s="546">
        <f ca="1">SUM(Y59:Y60)</f>
        <v>390.41980873691523</v>
      </c>
      <c r="AE60" s="1264">
        <f ca="1">(C59+W59)*IF([4]RAROC!$B$103=1,VLOOKUP(A60,[4]!Guar_Fee_Table,2),IF([4]RAROC!$B$103=2,VLOOKUP(A60,[4]!Guar_Fee_Table,3),IF([4]RAROC!$B$103=3,VLOOKUP(A60,[4]!Guar_Fee_Table,4))))</f>
        <v>0</v>
      </c>
      <c r="AG60" s="889">
        <v>8362.9523809523816</v>
      </c>
      <c r="AH60" s="191">
        <f t="shared" si="16"/>
        <v>4.181476190476191E-2</v>
      </c>
      <c r="AI60" s="931">
        <v>0</v>
      </c>
      <c r="AJ60" s="21">
        <f t="shared" si="17"/>
        <v>0</v>
      </c>
      <c r="AK60" s="931">
        <v>0</v>
      </c>
      <c r="AL60" s="21">
        <f t="shared" si="18"/>
        <v>0</v>
      </c>
      <c r="AM60" s="931">
        <v>0</v>
      </c>
      <c r="AN60" s="21">
        <f t="shared" si="19"/>
        <v>0</v>
      </c>
      <c r="AO60" s="931">
        <v>0</v>
      </c>
      <c r="AP60" s="21">
        <f t="shared" si="20"/>
        <v>0</v>
      </c>
      <c r="AQ60" s="931">
        <v>0</v>
      </c>
      <c r="AR60" s="191">
        <f t="shared" si="21"/>
        <v>0</v>
      </c>
    </row>
    <row r="61" spans="1:44">
      <c r="A61" s="359">
        <f t="shared" si="45"/>
        <v>2013</v>
      </c>
      <c r="B61" s="44">
        <f t="shared" si="43"/>
        <v>24</v>
      </c>
      <c r="C61" s="60">
        <f t="shared" ca="1" si="22"/>
        <v>21821.238173784892</v>
      </c>
      <c r="D61" s="53">
        <f t="shared" ca="1" si="29"/>
        <v>1201.2591614668584</v>
      </c>
      <c r="E61" s="259">
        <f ca="1">IF($B61&gt;=F$31,C61,IF(F$33&gt;=$B61, 0, IF(C61&gt;1, CHOOSE(F$34,F$29/(F$31-F$33), -PMT(F$32/2,F$31-$B60,C61,0)-D61,F$29*$AH61), 0)))*Assm!$X$90</f>
        <v>3918.4803851072652</v>
      </c>
      <c r="F61" s="61">
        <f t="shared" ca="1" si="44"/>
        <v>17902.757788677627</v>
      </c>
      <c r="G61" s="60">
        <f t="shared" ca="1" si="23"/>
        <v>0</v>
      </c>
      <c r="H61" s="53">
        <f t="shared" ca="1" si="31"/>
        <v>0</v>
      </c>
      <c r="I61" s="53">
        <f t="shared" ca="1" si="11"/>
        <v>0</v>
      </c>
      <c r="J61" s="61">
        <f t="shared" ca="1" si="32"/>
        <v>0</v>
      </c>
      <c r="K61" s="60">
        <f t="shared" ca="1" si="24"/>
        <v>0</v>
      </c>
      <c r="L61" s="53">
        <f t="shared" ca="1" si="33"/>
        <v>0</v>
      </c>
      <c r="M61" s="53">
        <f t="shared" ca="1" si="12"/>
        <v>0</v>
      </c>
      <c r="N61" s="61">
        <f t="shared" ca="1" si="34"/>
        <v>0</v>
      </c>
      <c r="O61" s="60">
        <f t="shared" ca="1" si="25"/>
        <v>0</v>
      </c>
      <c r="P61" s="53">
        <f t="shared" ca="1" si="35"/>
        <v>0</v>
      </c>
      <c r="Q61" s="53">
        <f t="shared" ca="1" si="13"/>
        <v>0</v>
      </c>
      <c r="R61" s="61">
        <f t="shared" ca="1" si="36"/>
        <v>0</v>
      </c>
      <c r="S61" s="60">
        <f t="shared" ca="1" si="26"/>
        <v>0</v>
      </c>
      <c r="T61" s="53">
        <f t="shared" ca="1" si="37"/>
        <v>0</v>
      </c>
      <c r="U61" s="53">
        <f t="shared" ca="1" si="14"/>
        <v>0</v>
      </c>
      <c r="V61" s="61">
        <f t="shared" ca="1" si="38"/>
        <v>0</v>
      </c>
      <c r="W61" s="60">
        <f t="shared" ca="1" si="27"/>
        <v>0</v>
      </c>
      <c r="X61" s="53">
        <f t="shared" ca="1" si="39"/>
        <v>0</v>
      </c>
      <c r="Y61" s="53">
        <f t="shared" ca="1" si="15"/>
        <v>0</v>
      </c>
      <c r="Z61" s="61">
        <f t="shared" ca="1" si="40"/>
        <v>0</v>
      </c>
      <c r="AA61" s="53"/>
      <c r="AB61" s="183"/>
      <c r="AC61" s="53"/>
      <c r="AD61" s="183"/>
      <c r="AE61" s="1264"/>
      <c r="AG61" s="889">
        <v>8362.9523809523816</v>
      </c>
      <c r="AH61" s="191">
        <f t="shared" si="16"/>
        <v>4.181476190476191E-2</v>
      </c>
      <c r="AI61" s="931">
        <v>0</v>
      </c>
      <c r="AJ61" s="21">
        <f t="shared" si="17"/>
        <v>0</v>
      </c>
      <c r="AK61" s="931">
        <v>0</v>
      </c>
      <c r="AL61" s="21">
        <f t="shared" si="18"/>
        <v>0</v>
      </c>
      <c r="AM61" s="931">
        <v>0</v>
      </c>
      <c r="AN61" s="21">
        <f t="shared" si="19"/>
        <v>0</v>
      </c>
      <c r="AO61" s="931">
        <v>0</v>
      </c>
      <c r="AP61" s="21">
        <f t="shared" si="20"/>
        <v>0</v>
      </c>
      <c r="AQ61" s="931">
        <v>0</v>
      </c>
      <c r="AR61" s="191">
        <f t="shared" si="21"/>
        <v>0</v>
      </c>
    </row>
    <row r="62" spans="1:44">
      <c r="A62" s="545">
        <f>A61</f>
        <v>2013</v>
      </c>
      <c r="B62" s="310">
        <f t="shared" si="43"/>
        <v>25</v>
      </c>
      <c r="C62" s="62">
        <f t="shared" ca="1" si="22"/>
        <v>17902.757788677627</v>
      </c>
      <c r="D62" s="64">
        <f t="shared" ca="1" si="29"/>
        <v>985.54681626670344</v>
      </c>
      <c r="E62" s="265">
        <f ca="1">IF($B62&gt;=F$31,C62,IF(F$33&gt;=$B62, 0, IF(C62&gt;1, CHOOSE(F$34,F$29/(F$31-F$33), -PMT(F$32/2,F$31-$B61,C62,0)-D62,F$29*$AH62), 0)))*Assm!$X$90</f>
        <v>3918.4803851072652</v>
      </c>
      <c r="F62" s="65">
        <f t="shared" ca="1" si="44"/>
        <v>13984.277403570362</v>
      </c>
      <c r="G62" s="62">
        <f t="shared" ca="1" si="23"/>
        <v>0</v>
      </c>
      <c r="H62" s="64">
        <f t="shared" ca="1" si="31"/>
        <v>0</v>
      </c>
      <c r="I62" s="64">
        <f t="shared" ca="1" si="11"/>
        <v>0</v>
      </c>
      <c r="J62" s="65">
        <f t="shared" ca="1" si="32"/>
        <v>0</v>
      </c>
      <c r="K62" s="62">
        <f t="shared" ca="1" si="24"/>
        <v>0</v>
      </c>
      <c r="L62" s="64">
        <f t="shared" ca="1" si="33"/>
        <v>0</v>
      </c>
      <c r="M62" s="64">
        <f t="shared" ca="1" si="12"/>
        <v>0</v>
      </c>
      <c r="N62" s="65">
        <f t="shared" ca="1" si="34"/>
        <v>0</v>
      </c>
      <c r="O62" s="62">
        <f t="shared" ca="1" si="25"/>
        <v>0</v>
      </c>
      <c r="P62" s="64">
        <f t="shared" ca="1" si="35"/>
        <v>0</v>
      </c>
      <c r="Q62" s="64">
        <f t="shared" ca="1" si="13"/>
        <v>0</v>
      </c>
      <c r="R62" s="65">
        <f t="shared" ca="1" si="36"/>
        <v>0</v>
      </c>
      <c r="S62" s="62">
        <f t="shared" ca="1" si="26"/>
        <v>0</v>
      </c>
      <c r="T62" s="64">
        <f t="shared" ca="1" si="37"/>
        <v>0</v>
      </c>
      <c r="U62" s="64">
        <f t="shared" ca="1" si="14"/>
        <v>0</v>
      </c>
      <c r="V62" s="65">
        <f t="shared" ca="1" si="38"/>
        <v>0</v>
      </c>
      <c r="W62" s="62">
        <f t="shared" ca="1" si="27"/>
        <v>0</v>
      </c>
      <c r="X62" s="64">
        <f t="shared" ca="1" si="39"/>
        <v>0</v>
      </c>
      <c r="Y62" s="64">
        <f t="shared" ca="1" si="15"/>
        <v>0</v>
      </c>
      <c r="Z62" s="65">
        <f t="shared" ca="1" si="40"/>
        <v>0</v>
      </c>
      <c r="AA62" s="64">
        <f ca="1">SUM(D61:D62,H61:H62,L61:L62, P61:P62, T61:T62)</f>
        <v>2186.805977733562</v>
      </c>
      <c r="AB62" s="546">
        <f ca="1">SUM(E61:E62, I61:I62, M61:M62, Q61:Q62, U61:U62)</f>
        <v>7836.9607702145304</v>
      </c>
      <c r="AC62" s="64">
        <f ca="1">SUM( X61:X62)</f>
        <v>0</v>
      </c>
      <c r="AD62" s="546">
        <f ca="1">SUM(Y61:Y62)</f>
        <v>0</v>
      </c>
      <c r="AE62" s="1264">
        <f ca="1">(C61+W61)*IF([4]RAROC!$B$103=1,VLOOKUP(A62,[4]!Guar_Fee_Table,2),IF([4]RAROC!$B$103=2,VLOOKUP(A62,[4]!Guar_Fee_Table,3),IF([4]RAROC!$B$103=3,VLOOKUP(A62,[4]!Guar_Fee_Table,4))))</f>
        <v>0</v>
      </c>
      <c r="AG62" s="889">
        <v>8362.9523809523816</v>
      </c>
      <c r="AH62" s="191">
        <f t="shared" si="16"/>
        <v>4.181476190476191E-2</v>
      </c>
      <c r="AI62" s="931">
        <v>0</v>
      </c>
      <c r="AJ62" s="21">
        <f t="shared" si="17"/>
        <v>0</v>
      </c>
      <c r="AK62" s="931">
        <v>0</v>
      </c>
      <c r="AL62" s="21">
        <f t="shared" si="18"/>
        <v>0</v>
      </c>
      <c r="AM62" s="931">
        <v>0</v>
      </c>
      <c r="AN62" s="21">
        <f t="shared" si="19"/>
        <v>0</v>
      </c>
      <c r="AO62" s="931">
        <v>0</v>
      </c>
      <c r="AP62" s="21">
        <f t="shared" si="20"/>
        <v>0</v>
      </c>
      <c r="AQ62" s="931">
        <v>0</v>
      </c>
      <c r="AR62" s="191">
        <f t="shared" si="21"/>
        <v>0</v>
      </c>
    </row>
    <row r="63" spans="1:44">
      <c r="A63" s="359">
        <f t="shared" si="45"/>
        <v>2014</v>
      </c>
      <c r="B63" s="44">
        <f t="shared" si="43"/>
        <v>26</v>
      </c>
      <c r="C63" s="60">
        <f t="shared" ca="1" si="22"/>
        <v>13984.277403570362</v>
      </c>
      <c r="D63" s="53">
        <f t="shared" ca="1" si="29"/>
        <v>769.83447106654842</v>
      </c>
      <c r="E63" s="259">
        <f ca="1">IF($B63&gt;=F$31,C63,IF(F$33&gt;=$B63, 0, IF(C63&gt;1, CHOOSE(F$34,F$29/(F$31-F$33), -PMT(F$32/2,F$31-$B62,C63,0)-D63,F$29*$AH63), 0)))*Assm!$X$90</f>
        <v>3918.4803851072652</v>
      </c>
      <c r="F63" s="61">
        <f t="shared" ca="1" si="44"/>
        <v>10065.797018463098</v>
      </c>
      <c r="G63" s="60">
        <f t="shared" ca="1" si="23"/>
        <v>0</v>
      </c>
      <c r="H63" s="53">
        <f t="shared" ca="1" si="31"/>
        <v>0</v>
      </c>
      <c r="I63" s="53">
        <f t="shared" ca="1" si="11"/>
        <v>0</v>
      </c>
      <c r="J63" s="61">
        <f t="shared" ca="1" si="32"/>
        <v>0</v>
      </c>
      <c r="K63" s="60">
        <f t="shared" ca="1" si="24"/>
        <v>0</v>
      </c>
      <c r="L63" s="53">
        <f t="shared" ca="1" si="33"/>
        <v>0</v>
      </c>
      <c r="M63" s="53">
        <f t="shared" ca="1" si="12"/>
        <v>0</v>
      </c>
      <c r="N63" s="61">
        <f t="shared" ca="1" si="34"/>
        <v>0</v>
      </c>
      <c r="O63" s="60">
        <f t="shared" ca="1" si="25"/>
        <v>0</v>
      </c>
      <c r="P63" s="53">
        <f t="shared" ca="1" si="35"/>
        <v>0</v>
      </c>
      <c r="Q63" s="53">
        <f t="shared" ca="1" si="13"/>
        <v>0</v>
      </c>
      <c r="R63" s="61">
        <f t="shared" ca="1" si="36"/>
        <v>0</v>
      </c>
      <c r="S63" s="60">
        <f t="shared" ca="1" si="26"/>
        <v>0</v>
      </c>
      <c r="T63" s="53">
        <f t="shared" ca="1" si="37"/>
        <v>0</v>
      </c>
      <c r="U63" s="53">
        <f t="shared" ca="1" si="14"/>
        <v>0</v>
      </c>
      <c r="V63" s="61">
        <f t="shared" ca="1" si="38"/>
        <v>0</v>
      </c>
      <c r="W63" s="60">
        <f t="shared" ca="1" si="27"/>
        <v>0</v>
      </c>
      <c r="X63" s="53">
        <f t="shared" ca="1" si="39"/>
        <v>0</v>
      </c>
      <c r="Y63" s="53">
        <f t="shared" ca="1" si="15"/>
        <v>0</v>
      </c>
      <c r="Z63" s="61">
        <f t="shared" ca="1" si="40"/>
        <v>0</v>
      </c>
      <c r="AA63" s="53"/>
      <c r="AB63" s="183"/>
      <c r="AC63" s="53"/>
      <c r="AD63" s="183"/>
      <c r="AE63" s="1263"/>
      <c r="AG63" s="889">
        <v>8362.9523809523816</v>
      </c>
      <c r="AH63" s="191">
        <f t="shared" si="16"/>
        <v>4.181476190476191E-2</v>
      </c>
      <c r="AI63" s="931">
        <v>0</v>
      </c>
      <c r="AJ63" s="21">
        <f t="shared" si="17"/>
        <v>0</v>
      </c>
      <c r="AK63" s="931">
        <v>0</v>
      </c>
      <c r="AL63" s="21">
        <f t="shared" si="18"/>
        <v>0</v>
      </c>
      <c r="AM63" s="931">
        <v>0</v>
      </c>
      <c r="AN63" s="21">
        <f t="shared" si="19"/>
        <v>0</v>
      </c>
      <c r="AO63" s="931">
        <v>0</v>
      </c>
      <c r="AP63" s="21">
        <f t="shared" si="20"/>
        <v>0</v>
      </c>
      <c r="AQ63" s="931">
        <v>0</v>
      </c>
      <c r="AR63" s="191">
        <f t="shared" si="21"/>
        <v>0</v>
      </c>
    </row>
    <row r="64" spans="1:44">
      <c r="A64" s="545">
        <f>A63</f>
        <v>2014</v>
      </c>
      <c r="B64" s="310">
        <f t="shared" si="43"/>
        <v>27</v>
      </c>
      <c r="C64" s="62">
        <f t="shared" ca="1" si="22"/>
        <v>10065.797018463098</v>
      </c>
      <c r="D64" s="64">
        <f t="shared" ca="1" si="29"/>
        <v>554.1221258663935</v>
      </c>
      <c r="E64" s="265">
        <f ca="1">IF($B64&gt;=F$31,C64,IF(F$33&gt;=$B64, 0, IF(C64&gt;1, CHOOSE(F$34,F$29/(F$31-F$33), -PMT(F$32/2,F$31-$B63,C64,0)-D64,F$29*$AH64), 0)))*Assm!$X$90</f>
        <v>4199.6117516350996</v>
      </c>
      <c r="F64" s="65">
        <f t="shared" ca="1" si="44"/>
        <v>5866.185266827998</v>
      </c>
      <c r="G64" s="62">
        <f t="shared" ca="1" si="23"/>
        <v>0</v>
      </c>
      <c r="H64" s="64">
        <f t="shared" ca="1" si="31"/>
        <v>0</v>
      </c>
      <c r="I64" s="64">
        <f t="shared" ca="1" si="11"/>
        <v>0</v>
      </c>
      <c r="J64" s="65">
        <f t="shared" ca="1" si="32"/>
        <v>0</v>
      </c>
      <c r="K64" s="62">
        <f t="shared" ca="1" si="24"/>
        <v>0</v>
      </c>
      <c r="L64" s="64">
        <f t="shared" ca="1" si="33"/>
        <v>0</v>
      </c>
      <c r="M64" s="64">
        <f t="shared" ca="1" si="12"/>
        <v>0</v>
      </c>
      <c r="N64" s="65">
        <f t="shared" ca="1" si="34"/>
        <v>0</v>
      </c>
      <c r="O64" s="62">
        <f t="shared" ca="1" si="25"/>
        <v>0</v>
      </c>
      <c r="P64" s="64">
        <f t="shared" ca="1" si="35"/>
        <v>0</v>
      </c>
      <c r="Q64" s="64">
        <f t="shared" ca="1" si="13"/>
        <v>0</v>
      </c>
      <c r="R64" s="65">
        <f t="shared" ca="1" si="36"/>
        <v>0</v>
      </c>
      <c r="S64" s="62">
        <f t="shared" ca="1" si="26"/>
        <v>0</v>
      </c>
      <c r="T64" s="64">
        <f t="shared" ca="1" si="37"/>
        <v>0</v>
      </c>
      <c r="U64" s="64">
        <f t="shared" ca="1" si="14"/>
        <v>0</v>
      </c>
      <c r="V64" s="65">
        <f t="shared" ca="1" si="38"/>
        <v>0</v>
      </c>
      <c r="W64" s="62">
        <f t="shared" ca="1" si="27"/>
        <v>0</v>
      </c>
      <c r="X64" s="64">
        <f t="shared" ca="1" si="39"/>
        <v>0</v>
      </c>
      <c r="Y64" s="64">
        <f t="shared" ca="1" si="15"/>
        <v>0</v>
      </c>
      <c r="Z64" s="65">
        <f t="shared" ca="1" si="40"/>
        <v>0</v>
      </c>
      <c r="AA64" s="64">
        <f ca="1">SUM(D63:D64,H63:H64,L63:L64, P63:P64, T63:T64)</f>
        <v>1323.9565969329419</v>
      </c>
      <c r="AB64" s="546">
        <f ca="1">SUM(E63:E64, I63:I64, M63:M64, Q63:Q64, U63:U64)</f>
        <v>8118.0921367423653</v>
      </c>
      <c r="AC64" s="64">
        <f ca="1">SUM( X63:X64)</f>
        <v>0</v>
      </c>
      <c r="AD64" s="546">
        <f ca="1">SUM(Y63:Y64)</f>
        <v>0</v>
      </c>
      <c r="AE64" s="1264">
        <f ca="1">(C63+W63)*IF([4]RAROC!$B$103=1,VLOOKUP(A64,[4]!Guar_Fee_Table,2),IF([4]RAROC!$B$103=2,VLOOKUP(A64,[4]!Guar_Fee_Table,3),IF([4]RAROC!$B$103=3,VLOOKUP(A64,[4]!Guar_Fee_Table,4))))</f>
        <v>0</v>
      </c>
      <c r="AG64" s="889">
        <f>8362.95238095238+200+400</f>
        <v>8962.9523809523798</v>
      </c>
      <c r="AH64" s="191">
        <f t="shared" si="16"/>
        <v>4.4814761904761899E-2</v>
      </c>
      <c r="AI64" s="931">
        <v>0</v>
      </c>
      <c r="AJ64" s="21">
        <f t="shared" si="17"/>
        <v>0</v>
      </c>
      <c r="AK64" s="931">
        <v>0</v>
      </c>
      <c r="AL64" s="21">
        <f t="shared" si="18"/>
        <v>0</v>
      </c>
      <c r="AM64" s="931">
        <v>0</v>
      </c>
      <c r="AN64" s="21">
        <f t="shared" si="19"/>
        <v>0</v>
      </c>
      <c r="AO64" s="931">
        <v>0</v>
      </c>
      <c r="AP64" s="21">
        <f t="shared" si="20"/>
        <v>0</v>
      </c>
      <c r="AQ64" s="931">
        <v>0</v>
      </c>
      <c r="AR64" s="191">
        <f t="shared" si="21"/>
        <v>0</v>
      </c>
    </row>
    <row r="65" spans="1:44">
      <c r="A65" s="359">
        <f t="shared" si="45"/>
        <v>2015</v>
      </c>
      <c r="B65" s="44">
        <f t="shared" si="43"/>
        <v>28</v>
      </c>
      <c r="C65" s="60">
        <f t="shared" ca="1" si="22"/>
        <v>5866.185266827998</v>
      </c>
      <c r="D65" s="53">
        <f t="shared" ca="1" si="29"/>
        <v>322.93349893888131</v>
      </c>
      <c r="E65" s="53">
        <f ca="1">IF($B65&gt;=F$31,C65,IF(F$33&gt;=$B65, 0, IF(C65&gt;1, CHOOSE(F$34,F$29/(F$31-F$33), -PMT(F$32/2,F$31-$B64,C65,0)-D65,F$29*$AH65), 0)))*Assm!$X$90</f>
        <v>4410.4602765310228</v>
      </c>
      <c r="F65" s="61">
        <f t="shared" ca="1" si="44"/>
        <v>1455.7249902969752</v>
      </c>
      <c r="G65" s="60">
        <f t="shared" ca="1" si="23"/>
        <v>0</v>
      </c>
      <c r="H65" s="53">
        <f t="shared" ca="1" si="31"/>
        <v>0</v>
      </c>
      <c r="I65" s="53">
        <f t="shared" ca="1" si="11"/>
        <v>0</v>
      </c>
      <c r="J65" s="61">
        <f t="shared" ca="1" si="32"/>
        <v>0</v>
      </c>
      <c r="K65" s="60">
        <f t="shared" ca="1" si="24"/>
        <v>0</v>
      </c>
      <c r="L65" s="53">
        <f t="shared" ca="1" si="33"/>
        <v>0</v>
      </c>
      <c r="M65" s="53">
        <f t="shared" ca="1" si="12"/>
        <v>0</v>
      </c>
      <c r="N65" s="61">
        <f t="shared" ca="1" si="34"/>
        <v>0</v>
      </c>
      <c r="O65" s="60">
        <f t="shared" ca="1" si="25"/>
        <v>0</v>
      </c>
      <c r="P65" s="53">
        <f t="shared" ca="1" si="35"/>
        <v>0</v>
      </c>
      <c r="Q65" s="53">
        <f t="shared" ca="1" si="13"/>
        <v>0</v>
      </c>
      <c r="R65" s="61">
        <f t="shared" ca="1" si="36"/>
        <v>0</v>
      </c>
      <c r="S65" s="60">
        <f t="shared" ca="1" si="26"/>
        <v>0</v>
      </c>
      <c r="T65" s="53">
        <f t="shared" ca="1" si="37"/>
        <v>0</v>
      </c>
      <c r="U65" s="53">
        <f t="shared" ca="1" si="14"/>
        <v>0</v>
      </c>
      <c r="V65" s="61">
        <f t="shared" ca="1" si="38"/>
        <v>0</v>
      </c>
      <c r="W65" s="60">
        <f t="shared" ca="1" si="27"/>
        <v>0</v>
      </c>
      <c r="X65" s="53">
        <f t="shared" ca="1" si="39"/>
        <v>0</v>
      </c>
      <c r="Y65" s="53">
        <f t="shared" ca="1" si="15"/>
        <v>0</v>
      </c>
      <c r="Z65" s="61">
        <f t="shared" ca="1" si="40"/>
        <v>0</v>
      </c>
      <c r="AA65" s="53"/>
      <c r="AB65" s="183"/>
      <c r="AC65" s="53"/>
      <c r="AD65" s="183"/>
      <c r="AE65" s="1263"/>
      <c r="AG65" s="889">
        <v>9412.9523809524781</v>
      </c>
      <c r="AH65" s="191">
        <f t="shared" si="16"/>
        <v>4.7064761904762394E-2</v>
      </c>
      <c r="AI65" s="931">
        <v>0</v>
      </c>
      <c r="AJ65" s="21">
        <f t="shared" si="17"/>
        <v>0</v>
      </c>
      <c r="AK65" s="931">
        <v>0</v>
      </c>
      <c r="AL65" s="21">
        <f t="shared" si="18"/>
        <v>0</v>
      </c>
      <c r="AM65" s="931">
        <v>0</v>
      </c>
      <c r="AN65" s="21">
        <f t="shared" si="19"/>
        <v>0</v>
      </c>
      <c r="AO65" s="931">
        <v>0</v>
      </c>
      <c r="AP65" s="21">
        <f t="shared" si="20"/>
        <v>0</v>
      </c>
      <c r="AQ65" s="931">
        <v>0</v>
      </c>
      <c r="AR65" s="191">
        <f t="shared" si="21"/>
        <v>0</v>
      </c>
    </row>
    <row r="66" spans="1:44">
      <c r="A66" s="545">
        <f>A65</f>
        <v>2015</v>
      </c>
      <c r="B66" s="310">
        <f t="shared" si="43"/>
        <v>29</v>
      </c>
      <c r="C66" s="62">
        <f t="shared" ca="1" si="22"/>
        <v>1455.7249902969752</v>
      </c>
      <c r="D66" s="64">
        <f t="shared" ca="1" si="29"/>
        <v>80.137660715848483</v>
      </c>
      <c r="E66" s="64">
        <f ca="1">IF($B66&gt;=F$31,C66,IF(F$33&gt;=$B66, 0, IF(C66&gt;1, CHOOSE(F$34,F$29/(F$31-F$33), -PMT(F$32/2,F$31-$B65,C66,0)-D66,F$29*$AH66), 0)))*Assm!$X$90</f>
        <v>1455.7249902969752</v>
      </c>
      <c r="F66" s="65">
        <f t="shared" ca="1" si="44"/>
        <v>0</v>
      </c>
      <c r="G66" s="62">
        <f t="shared" ca="1" si="23"/>
        <v>0</v>
      </c>
      <c r="H66" s="64">
        <f t="shared" ca="1" si="31"/>
        <v>0</v>
      </c>
      <c r="I66" s="64">
        <f t="shared" ca="1" si="11"/>
        <v>0</v>
      </c>
      <c r="J66" s="65">
        <f t="shared" ca="1" si="32"/>
        <v>0</v>
      </c>
      <c r="K66" s="62">
        <f t="shared" ca="1" si="24"/>
        <v>0</v>
      </c>
      <c r="L66" s="64">
        <f t="shared" ca="1" si="33"/>
        <v>0</v>
      </c>
      <c r="M66" s="64">
        <f t="shared" ca="1" si="12"/>
        <v>0</v>
      </c>
      <c r="N66" s="65">
        <f t="shared" ca="1" si="34"/>
        <v>0</v>
      </c>
      <c r="O66" s="62">
        <f t="shared" ca="1" si="25"/>
        <v>0</v>
      </c>
      <c r="P66" s="64">
        <f t="shared" ca="1" si="35"/>
        <v>0</v>
      </c>
      <c r="Q66" s="64">
        <f t="shared" ca="1" si="13"/>
        <v>0</v>
      </c>
      <c r="R66" s="65">
        <f t="shared" ca="1" si="36"/>
        <v>0</v>
      </c>
      <c r="S66" s="62">
        <f t="shared" ca="1" si="26"/>
        <v>0</v>
      </c>
      <c r="T66" s="64">
        <f t="shared" ca="1" si="37"/>
        <v>0</v>
      </c>
      <c r="U66" s="64">
        <f t="shared" ca="1" si="14"/>
        <v>0</v>
      </c>
      <c r="V66" s="65">
        <f t="shared" ca="1" si="38"/>
        <v>0</v>
      </c>
      <c r="W66" s="62">
        <f t="shared" ca="1" si="27"/>
        <v>0</v>
      </c>
      <c r="X66" s="64">
        <f t="shared" ca="1" si="39"/>
        <v>0</v>
      </c>
      <c r="Y66" s="64">
        <f t="shared" ca="1" si="15"/>
        <v>0</v>
      </c>
      <c r="Z66" s="65">
        <f t="shared" ca="1" si="40"/>
        <v>0</v>
      </c>
      <c r="AA66" s="64">
        <f ca="1">SUM(D65:D66,H65:H66,L65:L66, P65:P66, T65:T66)</f>
        <v>403.0711596547298</v>
      </c>
      <c r="AB66" s="546">
        <f ca="1">SUM(E65:E66, I65:I66, M65:M66, Q65:Q66, U65:U66)</f>
        <v>5866.185266827998</v>
      </c>
      <c r="AC66" s="64">
        <f ca="1">SUM( X65:X66)</f>
        <v>0</v>
      </c>
      <c r="AD66" s="546">
        <f ca="1">SUM(Y65:Y66)</f>
        <v>0</v>
      </c>
      <c r="AE66" s="1264">
        <f ca="1">(C65+W65)*IF([4]RAROC!$B$103=1,VLOOKUP(A66,[4]!Guar_Fee_Table,2),IF([4]RAROC!$B$103=2,VLOOKUP(A66,[4]!Guar_Fee_Table,3),IF([4]RAROC!$B$103=3,VLOOKUP(A66,[4]!Guar_Fee_Table,4))))</f>
        <v>0</v>
      </c>
      <c r="AG66" s="889">
        <v>0</v>
      </c>
      <c r="AH66" s="191">
        <f t="shared" si="16"/>
        <v>0</v>
      </c>
      <c r="AI66" s="931">
        <v>0</v>
      </c>
      <c r="AJ66" s="21">
        <f t="shared" si="17"/>
        <v>0</v>
      </c>
      <c r="AK66" s="931">
        <v>0</v>
      </c>
      <c r="AL66" s="21">
        <f t="shared" si="18"/>
        <v>0</v>
      </c>
      <c r="AM66" s="931">
        <v>0</v>
      </c>
      <c r="AN66" s="21">
        <f t="shared" si="19"/>
        <v>0</v>
      </c>
      <c r="AO66" s="931">
        <v>0</v>
      </c>
      <c r="AP66" s="21">
        <f t="shared" si="20"/>
        <v>0</v>
      </c>
      <c r="AQ66" s="931">
        <v>0</v>
      </c>
      <c r="AR66" s="191">
        <f t="shared" si="21"/>
        <v>0</v>
      </c>
    </row>
    <row r="67" spans="1:44">
      <c r="A67" s="359">
        <f t="shared" si="45"/>
        <v>2016</v>
      </c>
      <c r="B67" s="44">
        <f t="shared" si="43"/>
        <v>30</v>
      </c>
      <c r="C67" s="60">
        <f t="shared" ca="1" si="22"/>
        <v>0</v>
      </c>
      <c r="D67" s="53">
        <f t="shared" ca="1" si="29"/>
        <v>0</v>
      </c>
      <c r="E67" s="53">
        <f ca="1">IF($B67&gt;=F$31,C67,IF(F$33&gt;=$B67, 0, IF(C67&gt;1, CHOOSE(F$34,F$29/(F$31-F$33), -PMT(F$32/2,F$31-$B66,C67,0)-D67,F$29*$AH67), 0)))*Assm!$X$90</f>
        <v>0</v>
      </c>
      <c r="F67" s="61">
        <f t="shared" ca="1" si="44"/>
        <v>0</v>
      </c>
      <c r="G67" s="60">
        <f t="shared" ca="1" si="23"/>
        <v>0</v>
      </c>
      <c r="H67" s="53">
        <f t="shared" ca="1" si="31"/>
        <v>0</v>
      </c>
      <c r="I67" s="53">
        <f t="shared" ca="1" si="11"/>
        <v>0</v>
      </c>
      <c r="J67" s="61">
        <f t="shared" ca="1" si="32"/>
        <v>0</v>
      </c>
      <c r="K67" s="60">
        <f t="shared" ca="1" si="24"/>
        <v>0</v>
      </c>
      <c r="L67" s="53">
        <f t="shared" ca="1" si="33"/>
        <v>0</v>
      </c>
      <c r="M67" s="53">
        <f t="shared" ca="1" si="12"/>
        <v>0</v>
      </c>
      <c r="N67" s="61">
        <f t="shared" ca="1" si="34"/>
        <v>0</v>
      </c>
      <c r="O67" s="60">
        <f t="shared" ca="1" si="25"/>
        <v>0</v>
      </c>
      <c r="P67" s="53">
        <f t="shared" ca="1" si="35"/>
        <v>0</v>
      </c>
      <c r="Q67" s="53">
        <f t="shared" ca="1" si="13"/>
        <v>0</v>
      </c>
      <c r="R67" s="61">
        <f t="shared" ca="1" si="36"/>
        <v>0</v>
      </c>
      <c r="S67" s="60">
        <f t="shared" ca="1" si="26"/>
        <v>0</v>
      </c>
      <c r="T67" s="53">
        <f t="shared" ca="1" si="37"/>
        <v>0</v>
      </c>
      <c r="U67" s="53">
        <f t="shared" ca="1" si="14"/>
        <v>0</v>
      </c>
      <c r="V67" s="61">
        <f t="shared" ca="1" si="38"/>
        <v>0</v>
      </c>
      <c r="W67" s="60">
        <f t="shared" ca="1" si="27"/>
        <v>0</v>
      </c>
      <c r="X67" s="53">
        <f t="shared" ca="1" si="39"/>
        <v>0</v>
      </c>
      <c r="Y67" s="53">
        <f t="shared" ca="1" si="15"/>
        <v>0</v>
      </c>
      <c r="Z67" s="61">
        <f t="shared" ca="1" si="40"/>
        <v>0</v>
      </c>
      <c r="AA67" s="53"/>
      <c r="AB67" s="183"/>
      <c r="AC67" s="53"/>
      <c r="AD67" s="183"/>
      <c r="AE67" s="1263"/>
      <c r="AG67" s="889">
        <v>0</v>
      </c>
      <c r="AH67" s="191">
        <f t="shared" si="16"/>
        <v>0</v>
      </c>
      <c r="AI67" s="931">
        <v>0</v>
      </c>
      <c r="AJ67" s="21">
        <f t="shared" si="17"/>
        <v>0</v>
      </c>
      <c r="AK67" s="931">
        <v>0</v>
      </c>
      <c r="AL67" s="21">
        <f t="shared" si="18"/>
        <v>0</v>
      </c>
      <c r="AM67" s="931">
        <v>0</v>
      </c>
      <c r="AN67" s="21">
        <f t="shared" si="19"/>
        <v>0</v>
      </c>
      <c r="AO67" s="931">
        <v>0</v>
      </c>
      <c r="AP67" s="21">
        <f t="shared" si="20"/>
        <v>0</v>
      </c>
      <c r="AQ67" s="931">
        <v>0</v>
      </c>
      <c r="AR67" s="191">
        <f t="shared" si="21"/>
        <v>0</v>
      </c>
    </row>
    <row r="68" spans="1:44">
      <c r="A68" s="545">
        <f>A67</f>
        <v>2016</v>
      </c>
      <c r="B68" s="310">
        <f t="shared" si="43"/>
        <v>31</v>
      </c>
      <c r="C68" s="62">
        <f t="shared" ca="1" si="22"/>
        <v>0</v>
      </c>
      <c r="D68" s="64">
        <f t="shared" ca="1" si="29"/>
        <v>0</v>
      </c>
      <c r="E68" s="64">
        <f ca="1">IF($B68&gt;=F$31,C68,IF(F$33&gt;=$B68, 0, IF(C68&gt;1, CHOOSE(F$34,F$29/(F$31-F$33), -PMT(F$32/2,F$31-$B67,C68,0)-D68,F$29*$AH68), 0)))*Assm!$X$90</f>
        <v>0</v>
      </c>
      <c r="F68" s="65">
        <f t="shared" ca="1" si="44"/>
        <v>0</v>
      </c>
      <c r="G68" s="62">
        <f t="shared" ca="1" si="23"/>
        <v>0</v>
      </c>
      <c r="H68" s="64">
        <f t="shared" ca="1" si="31"/>
        <v>0</v>
      </c>
      <c r="I68" s="64">
        <f t="shared" ca="1" si="11"/>
        <v>0</v>
      </c>
      <c r="J68" s="65">
        <f t="shared" ca="1" si="32"/>
        <v>0</v>
      </c>
      <c r="K68" s="62">
        <f t="shared" ca="1" si="24"/>
        <v>0</v>
      </c>
      <c r="L68" s="64">
        <f t="shared" ca="1" si="33"/>
        <v>0</v>
      </c>
      <c r="M68" s="64">
        <f t="shared" ca="1" si="12"/>
        <v>0</v>
      </c>
      <c r="N68" s="65">
        <f t="shared" ca="1" si="34"/>
        <v>0</v>
      </c>
      <c r="O68" s="62">
        <f t="shared" ca="1" si="25"/>
        <v>0</v>
      </c>
      <c r="P68" s="64">
        <f t="shared" ca="1" si="35"/>
        <v>0</v>
      </c>
      <c r="Q68" s="64">
        <f t="shared" ca="1" si="13"/>
        <v>0</v>
      </c>
      <c r="R68" s="65">
        <f t="shared" ca="1" si="36"/>
        <v>0</v>
      </c>
      <c r="S68" s="62">
        <f t="shared" ca="1" si="26"/>
        <v>0</v>
      </c>
      <c r="T68" s="64">
        <f t="shared" ca="1" si="37"/>
        <v>0</v>
      </c>
      <c r="U68" s="64">
        <f t="shared" ca="1" si="14"/>
        <v>0</v>
      </c>
      <c r="V68" s="65">
        <f t="shared" ca="1" si="38"/>
        <v>0</v>
      </c>
      <c r="W68" s="62">
        <f t="shared" ca="1" si="27"/>
        <v>0</v>
      </c>
      <c r="X68" s="64">
        <f t="shared" ca="1" si="39"/>
        <v>0</v>
      </c>
      <c r="Y68" s="64">
        <f t="shared" ca="1" si="15"/>
        <v>0</v>
      </c>
      <c r="Z68" s="65">
        <f t="shared" ca="1" si="40"/>
        <v>0</v>
      </c>
      <c r="AA68" s="64">
        <f ca="1">SUM(D67:D68,H67:H68,L67:L68, P67:P68, T67:T68)</f>
        <v>0</v>
      </c>
      <c r="AB68" s="546">
        <f ca="1">SUM(E67:E68, I67:I68, M67:M68, Q67:Q68, U67:U68)</f>
        <v>0</v>
      </c>
      <c r="AC68" s="64">
        <f ca="1">SUM( X67:X68)</f>
        <v>0</v>
      </c>
      <c r="AD68" s="546">
        <f ca="1">SUM(Y67:Y68)</f>
        <v>0</v>
      </c>
      <c r="AE68" s="1264">
        <f ca="1">(C67+W67)*IF([4]RAROC!$B$103=1,VLOOKUP(A68,[4]!Guar_Fee_Table,2),IF([4]RAROC!$B$103=2,VLOOKUP(A68,[4]!Guar_Fee_Table,3),IF([4]RAROC!$B$103=3,VLOOKUP(A68,[4]!Guar_Fee_Table,4))))</f>
        <v>0</v>
      </c>
      <c r="AG68" s="889">
        <v>0</v>
      </c>
      <c r="AH68" s="191">
        <f t="shared" si="16"/>
        <v>0</v>
      </c>
      <c r="AI68" s="931">
        <v>0</v>
      </c>
      <c r="AJ68" s="21">
        <f t="shared" si="17"/>
        <v>0</v>
      </c>
      <c r="AK68" s="931">
        <v>0</v>
      </c>
      <c r="AL68" s="21">
        <f t="shared" si="18"/>
        <v>0</v>
      </c>
      <c r="AM68" s="931">
        <v>0</v>
      </c>
      <c r="AN68" s="21">
        <f t="shared" si="19"/>
        <v>0</v>
      </c>
      <c r="AO68" s="931">
        <v>0</v>
      </c>
      <c r="AP68" s="21">
        <f t="shared" si="20"/>
        <v>0</v>
      </c>
      <c r="AQ68" s="931">
        <v>0</v>
      </c>
      <c r="AR68" s="191">
        <f t="shared" si="21"/>
        <v>0</v>
      </c>
    </row>
    <row r="69" spans="1:44">
      <c r="A69" s="359">
        <f t="shared" si="45"/>
        <v>2017</v>
      </c>
      <c r="B69" s="44">
        <f t="shared" si="43"/>
        <v>32</v>
      </c>
      <c r="C69" s="60">
        <f t="shared" ca="1" si="22"/>
        <v>0</v>
      </c>
      <c r="D69" s="53">
        <f t="shared" ca="1" si="29"/>
        <v>0</v>
      </c>
      <c r="E69" s="53">
        <f ca="1">IF($B69&gt;=F$31,C69,IF(F$33&gt;=$B69, 0, IF(C69&gt;1, CHOOSE(F$34,F$29/(F$31-F$33), -PMT(F$32/2,F$31-$B68,C69,0)-D69,F$29*$AH69), 0)))*Assm!$X$90</f>
        <v>0</v>
      </c>
      <c r="F69" s="61">
        <f t="shared" ca="1" si="44"/>
        <v>0</v>
      </c>
      <c r="G69" s="60">
        <f t="shared" ca="1" si="23"/>
        <v>0</v>
      </c>
      <c r="H69" s="53">
        <f t="shared" ca="1" si="31"/>
        <v>0</v>
      </c>
      <c r="I69" s="53">
        <f t="shared" ca="1" si="11"/>
        <v>0</v>
      </c>
      <c r="J69" s="61">
        <f t="shared" ca="1" si="32"/>
        <v>0</v>
      </c>
      <c r="K69" s="60">
        <f t="shared" ca="1" si="24"/>
        <v>0</v>
      </c>
      <c r="L69" s="53">
        <f t="shared" ca="1" si="33"/>
        <v>0</v>
      </c>
      <c r="M69" s="53">
        <f t="shared" ca="1" si="12"/>
        <v>0</v>
      </c>
      <c r="N69" s="61">
        <f t="shared" ca="1" si="34"/>
        <v>0</v>
      </c>
      <c r="O69" s="60">
        <f t="shared" ca="1" si="25"/>
        <v>0</v>
      </c>
      <c r="P69" s="53">
        <f t="shared" ca="1" si="35"/>
        <v>0</v>
      </c>
      <c r="Q69" s="53">
        <f t="shared" ca="1" si="13"/>
        <v>0</v>
      </c>
      <c r="R69" s="61">
        <f t="shared" ca="1" si="36"/>
        <v>0</v>
      </c>
      <c r="S69" s="60">
        <f t="shared" ca="1" si="26"/>
        <v>0</v>
      </c>
      <c r="T69" s="53">
        <f t="shared" ca="1" si="37"/>
        <v>0</v>
      </c>
      <c r="U69" s="53">
        <f t="shared" ca="1" si="14"/>
        <v>0</v>
      </c>
      <c r="V69" s="61">
        <f t="shared" ca="1" si="38"/>
        <v>0</v>
      </c>
      <c r="W69" s="60">
        <f t="shared" ca="1" si="27"/>
        <v>0</v>
      </c>
      <c r="X69" s="53">
        <f t="shared" ca="1" si="39"/>
        <v>0</v>
      </c>
      <c r="Y69" s="53">
        <f t="shared" ca="1" si="15"/>
        <v>0</v>
      </c>
      <c r="Z69" s="61">
        <f t="shared" ca="1" si="40"/>
        <v>0</v>
      </c>
      <c r="AA69" s="53"/>
      <c r="AB69" s="183"/>
      <c r="AC69" s="53"/>
      <c r="AD69" s="183"/>
      <c r="AE69" s="1263"/>
      <c r="AG69" s="889">
        <v>0</v>
      </c>
      <c r="AH69" s="191">
        <f t="shared" si="16"/>
        <v>0</v>
      </c>
      <c r="AI69" s="931">
        <v>0</v>
      </c>
      <c r="AJ69" s="21">
        <f t="shared" si="17"/>
        <v>0</v>
      </c>
      <c r="AK69" s="931">
        <v>0</v>
      </c>
      <c r="AL69" s="21">
        <f t="shared" si="18"/>
        <v>0</v>
      </c>
      <c r="AM69" s="931">
        <v>0</v>
      </c>
      <c r="AN69" s="21">
        <f t="shared" si="19"/>
        <v>0</v>
      </c>
      <c r="AO69" s="931">
        <v>0</v>
      </c>
      <c r="AP69" s="21">
        <f t="shared" si="20"/>
        <v>0</v>
      </c>
      <c r="AQ69" s="931">
        <v>0</v>
      </c>
      <c r="AR69" s="191">
        <f t="shared" si="21"/>
        <v>0</v>
      </c>
    </row>
    <row r="70" spans="1:44">
      <c r="A70" s="545">
        <f>A69</f>
        <v>2017</v>
      </c>
      <c r="B70" s="310">
        <f t="shared" si="43"/>
        <v>33</v>
      </c>
      <c r="C70" s="62">
        <f t="shared" ca="1" si="22"/>
        <v>0</v>
      </c>
      <c r="D70" s="64">
        <f t="shared" ca="1" si="29"/>
        <v>0</v>
      </c>
      <c r="E70" s="64">
        <f ca="1">IF($B70&gt;=F$31,C70,IF(F$33&gt;=$B70, 0, IF(C70&gt;1, CHOOSE(F$34,F$29/(F$31-F$33), -PMT(F$32/2,F$31-$B69,C70,0)-D70,F$29*$AH70), 0)))*Assm!$X$90</f>
        <v>0</v>
      </c>
      <c r="F70" s="65">
        <f t="shared" ca="1" si="44"/>
        <v>0</v>
      </c>
      <c r="G70" s="62">
        <f t="shared" ca="1" si="23"/>
        <v>0</v>
      </c>
      <c r="H70" s="64">
        <f t="shared" ca="1" si="31"/>
        <v>0</v>
      </c>
      <c r="I70" s="64">
        <f t="shared" ca="1" si="11"/>
        <v>0</v>
      </c>
      <c r="J70" s="65">
        <f t="shared" ca="1" si="32"/>
        <v>0</v>
      </c>
      <c r="K70" s="62">
        <f t="shared" ca="1" si="24"/>
        <v>0</v>
      </c>
      <c r="L70" s="64">
        <f t="shared" ca="1" si="33"/>
        <v>0</v>
      </c>
      <c r="M70" s="64">
        <f t="shared" ca="1" si="12"/>
        <v>0</v>
      </c>
      <c r="N70" s="65">
        <f t="shared" ca="1" si="34"/>
        <v>0</v>
      </c>
      <c r="O70" s="62">
        <f t="shared" ca="1" si="25"/>
        <v>0</v>
      </c>
      <c r="P70" s="64">
        <f t="shared" ca="1" si="35"/>
        <v>0</v>
      </c>
      <c r="Q70" s="64">
        <f t="shared" ca="1" si="13"/>
        <v>0</v>
      </c>
      <c r="R70" s="65">
        <f t="shared" ca="1" si="36"/>
        <v>0</v>
      </c>
      <c r="S70" s="62">
        <f t="shared" ca="1" si="26"/>
        <v>0</v>
      </c>
      <c r="T70" s="64">
        <f t="shared" ca="1" si="37"/>
        <v>0</v>
      </c>
      <c r="U70" s="64">
        <f t="shared" ca="1" si="14"/>
        <v>0</v>
      </c>
      <c r="V70" s="65">
        <f t="shared" ca="1" si="38"/>
        <v>0</v>
      </c>
      <c r="W70" s="62">
        <f t="shared" ca="1" si="27"/>
        <v>0</v>
      </c>
      <c r="X70" s="64">
        <f t="shared" ca="1" si="39"/>
        <v>0</v>
      </c>
      <c r="Y70" s="64">
        <f t="shared" ca="1" si="15"/>
        <v>0</v>
      </c>
      <c r="Z70" s="65">
        <f t="shared" ca="1" si="40"/>
        <v>0</v>
      </c>
      <c r="AA70" s="64">
        <f ca="1">SUM(D69:D70,H69:H70,L69:L70, P69:P70, T69:T70)</f>
        <v>0</v>
      </c>
      <c r="AB70" s="546">
        <f ca="1">SUM(E69:E70, I69:I70, M69:M70, Q69:Q70, U69:U70)</f>
        <v>0</v>
      </c>
      <c r="AC70" s="64">
        <f ca="1">SUM( X69:X70)</f>
        <v>0</v>
      </c>
      <c r="AD70" s="546">
        <f ca="1">SUM(Y69:Y70)</f>
        <v>0</v>
      </c>
      <c r="AE70" s="1264">
        <f ca="1">(C69+W69)*IF([4]RAROC!$B$103=1,VLOOKUP(A70,[4]!Guar_Fee_Table,2),IF([4]RAROC!$B$103=2,VLOOKUP(A70,[4]!Guar_Fee_Table,3),IF([4]RAROC!$B$103=3,VLOOKUP(A70,[4]!Guar_Fee_Table,4))))</f>
        <v>0</v>
      </c>
      <c r="AG70" s="889">
        <v>0</v>
      </c>
      <c r="AH70" s="191">
        <f t="shared" si="16"/>
        <v>0</v>
      </c>
      <c r="AI70" s="931">
        <v>0</v>
      </c>
      <c r="AJ70" s="21">
        <f t="shared" si="17"/>
        <v>0</v>
      </c>
      <c r="AK70" s="931">
        <v>0</v>
      </c>
      <c r="AL70" s="21">
        <f t="shared" si="18"/>
        <v>0</v>
      </c>
      <c r="AM70" s="931">
        <v>0</v>
      </c>
      <c r="AN70" s="21">
        <f t="shared" si="19"/>
        <v>0</v>
      </c>
      <c r="AO70" s="931">
        <v>0</v>
      </c>
      <c r="AP70" s="21">
        <f t="shared" si="20"/>
        <v>0</v>
      </c>
      <c r="AQ70" s="931">
        <v>0</v>
      </c>
      <c r="AR70" s="191">
        <f t="shared" si="21"/>
        <v>0</v>
      </c>
    </row>
    <row r="71" spans="1:44">
      <c r="A71" s="359">
        <f t="shared" si="45"/>
        <v>2018</v>
      </c>
      <c r="B71" s="44">
        <f t="shared" ref="B71:B76" si="46">B70+1</f>
        <v>34</v>
      </c>
      <c r="C71" s="60">
        <f t="shared" ca="1" si="22"/>
        <v>0</v>
      </c>
      <c r="D71" s="53">
        <f t="shared" ca="1" si="29"/>
        <v>0</v>
      </c>
      <c r="E71" s="53">
        <f ca="1">IF($B71&gt;=F$31,C71,IF(F$33&gt;=$B71, 0, IF(C71&gt;1, CHOOSE(F$34,F$29/(F$31-F$33), -PMT(F$32/2,F$31-$B70,C71,0)-D71,F$29*$AH71), 0)))*Assm!$X$90</f>
        <v>0</v>
      </c>
      <c r="F71" s="61">
        <f t="shared" ref="F71:F76" ca="1" si="47">C71-E71</f>
        <v>0</v>
      </c>
      <c r="G71" s="60">
        <f t="shared" ca="1" si="23"/>
        <v>0</v>
      </c>
      <c r="H71" s="53">
        <f t="shared" ca="1" si="31"/>
        <v>0</v>
      </c>
      <c r="I71" s="53">
        <f t="shared" ca="1" si="11"/>
        <v>0</v>
      </c>
      <c r="J71" s="61">
        <f t="shared" ca="1" si="32"/>
        <v>0</v>
      </c>
      <c r="K71" s="60">
        <f t="shared" ca="1" si="24"/>
        <v>0</v>
      </c>
      <c r="L71" s="53">
        <f t="shared" ca="1" si="33"/>
        <v>0</v>
      </c>
      <c r="M71" s="53">
        <f t="shared" ca="1" si="12"/>
        <v>0</v>
      </c>
      <c r="N71" s="61">
        <f t="shared" ca="1" si="34"/>
        <v>0</v>
      </c>
      <c r="O71" s="60">
        <f t="shared" ca="1" si="25"/>
        <v>0</v>
      </c>
      <c r="P71" s="53">
        <f t="shared" ca="1" si="35"/>
        <v>0</v>
      </c>
      <c r="Q71" s="53">
        <f t="shared" ca="1" si="13"/>
        <v>0</v>
      </c>
      <c r="R71" s="61">
        <f t="shared" ca="1" si="36"/>
        <v>0</v>
      </c>
      <c r="S71" s="60">
        <f t="shared" ca="1" si="26"/>
        <v>0</v>
      </c>
      <c r="T71" s="53">
        <f t="shared" ca="1" si="37"/>
        <v>0</v>
      </c>
      <c r="U71" s="53">
        <f t="shared" ca="1" si="14"/>
        <v>0</v>
      </c>
      <c r="V71" s="61">
        <f t="shared" ca="1" si="38"/>
        <v>0</v>
      </c>
      <c r="W71" s="60">
        <f t="shared" ca="1" si="27"/>
        <v>0</v>
      </c>
      <c r="X71" s="53">
        <f t="shared" ca="1" si="39"/>
        <v>0</v>
      </c>
      <c r="Y71" s="53">
        <f t="shared" ca="1" si="15"/>
        <v>0</v>
      </c>
      <c r="Z71" s="61">
        <f t="shared" ca="1" si="40"/>
        <v>0</v>
      </c>
      <c r="AA71" s="53"/>
      <c r="AB71" s="183"/>
      <c r="AC71" s="53"/>
      <c r="AD71" s="183"/>
      <c r="AE71" s="1263"/>
      <c r="AG71" s="889">
        <v>0</v>
      </c>
      <c r="AH71" s="191">
        <f t="shared" si="16"/>
        <v>0</v>
      </c>
      <c r="AI71" s="931">
        <v>0</v>
      </c>
      <c r="AJ71" s="21">
        <f t="shared" si="17"/>
        <v>0</v>
      </c>
      <c r="AK71" s="931">
        <v>0</v>
      </c>
      <c r="AL71" s="21">
        <f t="shared" si="18"/>
        <v>0</v>
      </c>
      <c r="AM71" s="931">
        <v>0</v>
      </c>
      <c r="AN71" s="21">
        <f t="shared" si="19"/>
        <v>0</v>
      </c>
      <c r="AO71" s="931">
        <v>0</v>
      </c>
      <c r="AP71" s="21">
        <f t="shared" si="20"/>
        <v>0</v>
      </c>
      <c r="AQ71" s="931">
        <v>0</v>
      </c>
      <c r="AR71" s="191">
        <f t="shared" si="21"/>
        <v>0</v>
      </c>
    </row>
    <row r="72" spans="1:44">
      <c r="A72" s="545">
        <f>A71</f>
        <v>2018</v>
      </c>
      <c r="B72" s="310">
        <f t="shared" si="46"/>
        <v>35</v>
      </c>
      <c r="C72" s="62">
        <f t="shared" ca="1" si="22"/>
        <v>0</v>
      </c>
      <c r="D72" s="64">
        <f t="shared" ca="1" si="29"/>
        <v>0</v>
      </c>
      <c r="E72" s="64">
        <f ca="1">IF($B72&gt;=F$31,C72,IF(F$33&gt;=$B72, 0, IF(C72&gt;1, CHOOSE(F$34,F$29/(F$31-F$33), -PMT(F$32/2,F$31-$B71,C72,0)-D72,F$29*$AH72), 0)))*Assm!$X$90</f>
        <v>0</v>
      </c>
      <c r="F72" s="65">
        <f t="shared" ca="1" si="47"/>
        <v>0</v>
      </c>
      <c r="G72" s="62">
        <f t="shared" ca="1" si="23"/>
        <v>0</v>
      </c>
      <c r="H72" s="64">
        <f t="shared" ca="1" si="31"/>
        <v>0</v>
      </c>
      <c r="I72" s="64">
        <f t="shared" ca="1" si="11"/>
        <v>0</v>
      </c>
      <c r="J72" s="65">
        <f t="shared" ca="1" si="32"/>
        <v>0</v>
      </c>
      <c r="K72" s="62">
        <f t="shared" ca="1" si="24"/>
        <v>0</v>
      </c>
      <c r="L72" s="64">
        <f t="shared" ca="1" si="33"/>
        <v>0</v>
      </c>
      <c r="M72" s="64">
        <f t="shared" ca="1" si="12"/>
        <v>0</v>
      </c>
      <c r="N72" s="65">
        <f t="shared" ca="1" si="34"/>
        <v>0</v>
      </c>
      <c r="O72" s="62">
        <f t="shared" ca="1" si="25"/>
        <v>0</v>
      </c>
      <c r="P72" s="64">
        <f t="shared" ca="1" si="35"/>
        <v>0</v>
      </c>
      <c r="Q72" s="64">
        <f t="shared" ca="1" si="13"/>
        <v>0</v>
      </c>
      <c r="R72" s="65">
        <f t="shared" ca="1" si="36"/>
        <v>0</v>
      </c>
      <c r="S72" s="62">
        <f t="shared" ca="1" si="26"/>
        <v>0</v>
      </c>
      <c r="T72" s="64">
        <f t="shared" ca="1" si="37"/>
        <v>0</v>
      </c>
      <c r="U72" s="64">
        <f t="shared" ca="1" si="14"/>
        <v>0</v>
      </c>
      <c r="V72" s="65">
        <f t="shared" ca="1" si="38"/>
        <v>0</v>
      </c>
      <c r="W72" s="62">
        <f t="shared" ca="1" si="27"/>
        <v>0</v>
      </c>
      <c r="X72" s="64">
        <f t="shared" ca="1" si="39"/>
        <v>0</v>
      </c>
      <c r="Y72" s="64">
        <f t="shared" ca="1" si="15"/>
        <v>0</v>
      </c>
      <c r="Z72" s="65">
        <f t="shared" ca="1" si="40"/>
        <v>0</v>
      </c>
      <c r="AA72" s="64">
        <f ca="1">SUM(D71:D72,H71:H72,L71:L72, P71:P72, T71:T72)</f>
        <v>0</v>
      </c>
      <c r="AB72" s="546">
        <f ca="1">SUM(E71:E72, I71:I72, M71:M72, Q71:Q72, U71:U72)</f>
        <v>0</v>
      </c>
      <c r="AC72" s="64">
        <f ca="1">SUM( X71:X72)</f>
        <v>0</v>
      </c>
      <c r="AD72" s="546">
        <f ca="1">SUM(Y71:Y72)</f>
        <v>0</v>
      </c>
      <c r="AE72" s="1264">
        <f ca="1">(C71+W71)*IF([4]RAROC!$B$103=1,VLOOKUP(A72,[4]!Guar_Fee_Table,2),IF([4]RAROC!$B$103=2,VLOOKUP(A72,[4]!Guar_Fee_Table,3),IF([4]RAROC!$B$103=3,VLOOKUP(A72,[4]!Guar_Fee_Table,4))))</f>
        <v>0</v>
      </c>
      <c r="AG72" s="889">
        <v>0</v>
      </c>
      <c r="AH72" s="191">
        <f t="shared" si="16"/>
        <v>0</v>
      </c>
      <c r="AI72" s="931">
        <v>0</v>
      </c>
      <c r="AJ72" s="21">
        <f t="shared" si="17"/>
        <v>0</v>
      </c>
      <c r="AK72" s="931">
        <v>0</v>
      </c>
      <c r="AL72" s="21">
        <f t="shared" si="18"/>
        <v>0</v>
      </c>
      <c r="AM72" s="931">
        <v>0</v>
      </c>
      <c r="AN72" s="21">
        <f t="shared" si="19"/>
        <v>0</v>
      </c>
      <c r="AO72" s="931">
        <v>0</v>
      </c>
      <c r="AP72" s="21">
        <f t="shared" si="20"/>
        <v>0</v>
      </c>
      <c r="AQ72" s="931">
        <v>0</v>
      </c>
      <c r="AR72" s="191">
        <f t="shared" si="21"/>
        <v>0</v>
      </c>
    </row>
    <row r="73" spans="1:44">
      <c r="A73" s="359">
        <f t="shared" si="45"/>
        <v>2019</v>
      </c>
      <c r="B73" s="44">
        <f t="shared" si="46"/>
        <v>36</v>
      </c>
      <c r="C73" s="60">
        <f t="shared" ca="1" si="22"/>
        <v>0</v>
      </c>
      <c r="D73" s="53">
        <f t="shared" ca="1" si="29"/>
        <v>0</v>
      </c>
      <c r="E73" s="53">
        <f ca="1">IF($B73&gt;=F$31,C73,IF(F$33&gt;=$B73, 0, IF(C73&gt;1, CHOOSE(F$34,F$29/(F$31-F$33), -PMT(F$32/2,F$31-$B72,C73,0)-D73,F$29*$AH73), 0)))*Assm!$X$90</f>
        <v>0</v>
      </c>
      <c r="F73" s="61">
        <f t="shared" ca="1" si="47"/>
        <v>0</v>
      </c>
      <c r="G73" s="60">
        <f t="shared" ca="1" si="23"/>
        <v>0</v>
      </c>
      <c r="H73" s="53">
        <f t="shared" ca="1" si="31"/>
        <v>0</v>
      </c>
      <c r="I73" s="53">
        <f t="shared" ca="1" si="11"/>
        <v>0</v>
      </c>
      <c r="J73" s="61">
        <f t="shared" ca="1" si="32"/>
        <v>0</v>
      </c>
      <c r="K73" s="60">
        <f t="shared" ca="1" si="24"/>
        <v>0</v>
      </c>
      <c r="L73" s="53">
        <f t="shared" ca="1" si="33"/>
        <v>0</v>
      </c>
      <c r="M73" s="53">
        <f t="shared" ca="1" si="12"/>
        <v>0</v>
      </c>
      <c r="N73" s="61">
        <f t="shared" ca="1" si="34"/>
        <v>0</v>
      </c>
      <c r="O73" s="60">
        <f t="shared" ca="1" si="25"/>
        <v>0</v>
      </c>
      <c r="P73" s="53">
        <f t="shared" ca="1" si="35"/>
        <v>0</v>
      </c>
      <c r="Q73" s="53">
        <f t="shared" ca="1" si="13"/>
        <v>0</v>
      </c>
      <c r="R73" s="61">
        <f t="shared" ca="1" si="36"/>
        <v>0</v>
      </c>
      <c r="S73" s="60">
        <f t="shared" ca="1" si="26"/>
        <v>0</v>
      </c>
      <c r="T73" s="53">
        <f t="shared" ca="1" si="37"/>
        <v>0</v>
      </c>
      <c r="U73" s="53">
        <f t="shared" ca="1" si="14"/>
        <v>0</v>
      </c>
      <c r="V73" s="61">
        <f t="shared" ca="1" si="38"/>
        <v>0</v>
      </c>
      <c r="W73" s="60">
        <f t="shared" ca="1" si="27"/>
        <v>0</v>
      </c>
      <c r="X73" s="53">
        <f t="shared" ca="1" si="39"/>
        <v>0</v>
      </c>
      <c r="Y73" s="53">
        <f t="shared" ca="1" si="15"/>
        <v>0</v>
      </c>
      <c r="Z73" s="61">
        <f t="shared" ca="1" si="40"/>
        <v>0</v>
      </c>
      <c r="AA73" s="53"/>
      <c r="AB73" s="183"/>
      <c r="AC73" s="53"/>
      <c r="AD73" s="183"/>
      <c r="AE73" s="1263"/>
      <c r="AG73" s="889">
        <v>0</v>
      </c>
      <c r="AH73" s="191">
        <f t="shared" si="16"/>
        <v>0</v>
      </c>
      <c r="AI73" s="931">
        <v>0</v>
      </c>
      <c r="AJ73" s="21">
        <f t="shared" si="17"/>
        <v>0</v>
      </c>
      <c r="AK73" s="931">
        <v>0</v>
      </c>
      <c r="AL73" s="21">
        <f t="shared" si="18"/>
        <v>0</v>
      </c>
      <c r="AM73" s="931">
        <v>0</v>
      </c>
      <c r="AN73" s="21">
        <f t="shared" si="19"/>
        <v>0</v>
      </c>
      <c r="AO73" s="931">
        <v>0</v>
      </c>
      <c r="AP73" s="21">
        <f t="shared" si="20"/>
        <v>0</v>
      </c>
      <c r="AQ73" s="931">
        <v>0</v>
      </c>
      <c r="AR73" s="191">
        <f t="shared" si="21"/>
        <v>0</v>
      </c>
    </row>
    <row r="74" spans="1:44">
      <c r="A74" s="545">
        <f>A73</f>
        <v>2019</v>
      </c>
      <c r="B74" s="310">
        <f t="shared" si="46"/>
        <v>37</v>
      </c>
      <c r="C74" s="62">
        <f t="shared" ca="1" si="22"/>
        <v>0</v>
      </c>
      <c r="D74" s="64">
        <f t="shared" ca="1" si="29"/>
        <v>0</v>
      </c>
      <c r="E74" s="64">
        <f ca="1">IF($B74&gt;=F$31,C74,IF(F$33&gt;=$B74, 0, IF(C74&gt;1, CHOOSE(F$34,F$29/(F$31-F$33), -PMT(F$32/2,F$31-$B73,C74,0)-D74,F$29*$AH74), 0)))*Assm!$X$90</f>
        <v>0</v>
      </c>
      <c r="F74" s="65">
        <f t="shared" ca="1" si="47"/>
        <v>0</v>
      </c>
      <c r="G74" s="62">
        <f t="shared" ca="1" si="23"/>
        <v>0</v>
      </c>
      <c r="H74" s="64">
        <f t="shared" ca="1" si="31"/>
        <v>0</v>
      </c>
      <c r="I74" s="64">
        <f t="shared" ca="1" si="11"/>
        <v>0</v>
      </c>
      <c r="J74" s="65">
        <f t="shared" ca="1" si="32"/>
        <v>0</v>
      </c>
      <c r="K74" s="62">
        <f t="shared" ca="1" si="24"/>
        <v>0</v>
      </c>
      <c r="L74" s="64">
        <f t="shared" ca="1" si="33"/>
        <v>0</v>
      </c>
      <c r="M74" s="64">
        <f t="shared" ca="1" si="12"/>
        <v>0</v>
      </c>
      <c r="N74" s="65">
        <f t="shared" ca="1" si="34"/>
        <v>0</v>
      </c>
      <c r="O74" s="62">
        <f t="shared" ca="1" si="25"/>
        <v>0</v>
      </c>
      <c r="P74" s="64">
        <f t="shared" ca="1" si="35"/>
        <v>0</v>
      </c>
      <c r="Q74" s="64">
        <f t="shared" ca="1" si="13"/>
        <v>0</v>
      </c>
      <c r="R74" s="65">
        <f t="shared" ca="1" si="36"/>
        <v>0</v>
      </c>
      <c r="S74" s="62">
        <f t="shared" ca="1" si="26"/>
        <v>0</v>
      </c>
      <c r="T74" s="64">
        <f t="shared" ca="1" si="37"/>
        <v>0</v>
      </c>
      <c r="U74" s="64">
        <f t="shared" ca="1" si="14"/>
        <v>0</v>
      </c>
      <c r="V74" s="65">
        <f t="shared" ca="1" si="38"/>
        <v>0</v>
      </c>
      <c r="W74" s="62">
        <f t="shared" ca="1" si="27"/>
        <v>0</v>
      </c>
      <c r="X74" s="64">
        <f t="shared" ca="1" si="39"/>
        <v>0</v>
      </c>
      <c r="Y74" s="64">
        <f t="shared" ca="1" si="15"/>
        <v>0</v>
      </c>
      <c r="Z74" s="65">
        <f t="shared" ca="1" si="40"/>
        <v>0</v>
      </c>
      <c r="AA74" s="64">
        <f ca="1">SUM(D73:D74,H73:H74,L73:L74, P73:P74, T73:T74)</f>
        <v>0</v>
      </c>
      <c r="AB74" s="546">
        <f ca="1">SUM(E73:E74, I73:I74, M73:M74, Q73:Q74, U73:U74)</f>
        <v>0</v>
      </c>
      <c r="AC74" s="64">
        <f ca="1">SUM( X73:X74)</f>
        <v>0</v>
      </c>
      <c r="AD74" s="546">
        <f ca="1">SUM(Y73:Y74)</f>
        <v>0</v>
      </c>
      <c r="AE74" s="1264">
        <f ca="1">(C73+W73)*IF([4]RAROC!$B$103=1,VLOOKUP(A74,[4]!Guar_Fee_Table,2),IF([4]RAROC!$B$103=2,VLOOKUP(A74,[4]!Guar_Fee_Table,3),IF([4]RAROC!$B$103=3,VLOOKUP(A74,[4]!Guar_Fee_Table,4))))</f>
        <v>0</v>
      </c>
      <c r="AG74" s="889">
        <v>0</v>
      </c>
      <c r="AH74" s="191">
        <f t="shared" si="16"/>
        <v>0</v>
      </c>
      <c r="AI74" s="931">
        <v>0</v>
      </c>
      <c r="AJ74" s="21">
        <f t="shared" si="17"/>
        <v>0</v>
      </c>
      <c r="AK74" s="931">
        <v>0</v>
      </c>
      <c r="AL74" s="21">
        <f t="shared" si="18"/>
        <v>0</v>
      </c>
      <c r="AM74" s="931">
        <v>0</v>
      </c>
      <c r="AN74" s="21">
        <f t="shared" si="19"/>
        <v>0</v>
      </c>
      <c r="AO74" s="931">
        <v>0</v>
      </c>
      <c r="AP74" s="21">
        <f t="shared" si="20"/>
        <v>0</v>
      </c>
      <c r="AQ74" s="931">
        <v>0</v>
      </c>
      <c r="AR74" s="191">
        <f t="shared" si="21"/>
        <v>0</v>
      </c>
    </row>
    <row r="75" spans="1:44">
      <c r="A75" s="359">
        <f>A73+1</f>
        <v>2020</v>
      </c>
      <c r="B75" s="44">
        <f t="shared" si="46"/>
        <v>38</v>
      </c>
      <c r="C75" s="60">
        <f t="shared" ca="1" si="22"/>
        <v>0</v>
      </c>
      <c r="D75" s="53">
        <f t="shared" ca="1" si="29"/>
        <v>0</v>
      </c>
      <c r="E75" s="53">
        <f ca="1">IF($B75&gt;=F$31,C75,IF(F$33&gt;=$B75, 0, IF(C75&gt;1, CHOOSE(F$34,F$29/(F$31-F$33), -PMT(F$32/2,F$31-$B74,C75,0)-D75,F$29*$AH75), 0)))*Assm!$X$90</f>
        <v>0</v>
      </c>
      <c r="F75" s="61">
        <f t="shared" ca="1" si="47"/>
        <v>0</v>
      </c>
      <c r="G75" s="60">
        <f t="shared" ca="1" si="23"/>
        <v>0</v>
      </c>
      <c r="H75" s="53">
        <f t="shared" ca="1" si="31"/>
        <v>0</v>
      </c>
      <c r="I75" s="53">
        <f t="shared" ca="1" si="11"/>
        <v>0</v>
      </c>
      <c r="J75" s="61">
        <f t="shared" ca="1" si="32"/>
        <v>0</v>
      </c>
      <c r="K75" s="60">
        <f t="shared" ca="1" si="24"/>
        <v>0</v>
      </c>
      <c r="L75" s="53">
        <f t="shared" ca="1" si="33"/>
        <v>0</v>
      </c>
      <c r="M75" s="53">
        <f t="shared" ca="1" si="12"/>
        <v>0</v>
      </c>
      <c r="N75" s="61">
        <f t="shared" ca="1" si="34"/>
        <v>0</v>
      </c>
      <c r="O75" s="60">
        <f t="shared" ca="1" si="25"/>
        <v>0</v>
      </c>
      <c r="P75" s="53">
        <f t="shared" ca="1" si="35"/>
        <v>0</v>
      </c>
      <c r="Q75" s="53">
        <f t="shared" ca="1" si="13"/>
        <v>0</v>
      </c>
      <c r="R75" s="61">
        <f t="shared" ca="1" si="36"/>
        <v>0</v>
      </c>
      <c r="S75" s="60">
        <f t="shared" ca="1" si="26"/>
        <v>0</v>
      </c>
      <c r="T75" s="53">
        <f t="shared" ca="1" si="37"/>
        <v>0</v>
      </c>
      <c r="U75" s="53">
        <f t="shared" ca="1" si="14"/>
        <v>0</v>
      </c>
      <c r="V75" s="61">
        <f t="shared" ca="1" si="38"/>
        <v>0</v>
      </c>
      <c r="W75" s="60">
        <f t="shared" ca="1" si="27"/>
        <v>0</v>
      </c>
      <c r="X75" s="53">
        <f t="shared" ca="1" si="39"/>
        <v>0</v>
      </c>
      <c r="Y75" s="53">
        <f t="shared" ca="1" si="15"/>
        <v>0</v>
      </c>
      <c r="Z75" s="61">
        <f t="shared" ca="1" si="40"/>
        <v>0</v>
      </c>
      <c r="AA75" s="53"/>
      <c r="AB75" s="183"/>
      <c r="AC75" s="53"/>
      <c r="AD75" s="183"/>
      <c r="AE75" s="1263"/>
      <c r="AG75" s="889">
        <v>0</v>
      </c>
      <c r="AH75" s="191">
        <f t="shared" si="16"/>
        <v>0</v>
      </c>
      <c r="AI75" s="931">
        <v>0</v>
      </c>
      <c r="AJ75" s="21">
        <f t="shared" si="17"/>
        <v>0</v>
      </c>
      <c r="AK75" s="931">
        <v>0</v>
      </c>
      <c r="AL75" s="21">
        <f t="shared" si="18"/>
        <v>0</v>
      </c>
      <c r="AM75" s="931">
        <v>0</v>
      </c>
      <c r="AN75" s="21">
        <f t="shared" si="19"/>
        <v>0</v>
      </c>
      <c r="AO75" s="931">
        <v>0</v>
      </c>
      <c r="AP75" s="21">
        <f t="shared" si="20"/>
        <v>0</v>
      </c>
      <c r="AQ75" s="931">
        <v>0</v>
      </c>
      <c r="AR75" s="191">
        <f t="shared" si="21"/>
        <v>0</v>
      </c>
    </row>
    <row r="76" spans="1:44" ht="13.5" thickBot="1">
      <c r="A76" s="359">
        <f>A75</f>
        <v>2020</v>
      </c>
      <c r="B76" s="44">
        <f t="shared" si="46"/>
        <v>39</v>
      </c>
      <c r="C76" s="60">
        <f t="shared" ca="1" si="22"/>
        <v>0</v>
      </c>
      <c r="D76" s="53">
        <f t="shared" ca="1" si="29"/>
        <v>0</v>
      </c>
      <c r="E76" s="53">
        <f ca="1">IF($B76&gt;=F$31,C76,IF(F$33&gt;=$B76, 0, IF(C76&gt;1, CHOOSE(F$34,F$29/(F$31-F$33), -PMT(F$32/2,F$31-$B75,C76,0)-D76,F$29*$AH76), 0)))*Assm!$X$90</f>
        <v>0</v>
      </c>
      <c r="F76" s="61">
        <f t="shared" ca="1" si="47"/>
        <v>0</v>
      </c>
      <c r="G76" s="60">
        <f t="shared" ca="1" si="23"/>
        <v>0</v>
      </c>
      <c r="H76" s="53">
        <f t="shared" ca="1" si="31"/>
        <v>0</v>
      </c>
      <c r="I76" s="53">
        <f t="shared" ca="1" si="11"/>
        <v>0</v>
      </c>
      <c r="J76" s="61">
        <f t="shared" ca="1" si="32"/>
        <v>0</v>
      </c>
      <c r="K76" s="60">
        <f t="shared" ca="1" si="24"/>
        <v>0</v>
      </c>
      <c r="L76" s="53">
        <f t="shared" ca="1" si="33"/>
        <v>0</v>
      </c>
      <c r="M76" s="53">
        <f t="shared" ca="1" si="12"/>
        <v>0</v>
      </c>
      <c r="N76" s="61">
        <f t="shared" ca="1" si="34"/>
        <v>0</v>
      </c>
      <c r="O76" s="60">
        <f t="shared" ca="1" si="25"/>
        <v>0</v>
      </c>
      <c r="P76" s="53">
        <f t="shared" ca="1" si="35"/>
        <v>0</v>
      </c>
      <c r="Q76" s="53">
        <f t="shared" ca="1" si="13"/>
        <v>0</v>
      </c>
      <c r="R76" s="61">
        <f t="shared" ca="1" si="36"/>
        <v>0</v>
      </c>
      <c r="S76" s="60">
        <f t="shared" ca="1" si="26"/>
        <v>0</v>
      </c>
      <c r="T76" s="53">
        <f t="shared" ca="1" si="37"/>
        <v>0</v>
      </c>
      <c r="U76" s="53">
        <f t="shared" ca="1" si="14"/>
        <v>0</v>
      </c>
      <c r="V76" s="61">
        <f t="shared" ca="1" si="38"/>
        <v>0</v>
      </c>
      <c r="W76" s="60">
        <f t="shared" ca="1" si="27"/>
        <v>0</v>
      </c>
      <c r="X76" s="53">
        <f t="shared" ca="1" si="39"/>
        <v>0</v>
      </c>
      <c r="Y76" s="53">
        <f t="shared" ca="1" si="15"/>
        <v>0</v>
      </c>
      <c r="Z76" s="61">
        <f t="shared" ca="1" si="40"/>
        <v>0</v>
      </c>
      <c r="AA76" s="53">
        <f ca="1">SUM(D75:D76,H75:H76,L75:L76, P75:P76, T75:T76)</f>
        <v>0</v>
      </c>
      <c r="AB76" s="183">
        <f ca="1">SUM(E75:E76, I75:I76, M75:M76, Q75:Q76, U75:U76)</f>
        <v>0</v>
      </c>
      <c r="AC76" s="53">
        <f ca="1">SUM( X75:X76)</f>
        <v>0</v>
      </c>
      <c r="AD76" s="183">
        <f ca="1">SUM(Y75:Y76)</f>
        <v>0</v>
      </c>
      <c r="AE76" s="1264">
        <f ca="1">(C75+W75)*IF([4]RAROC!$B$103=1,VLOOKUP(A76,[4]!Guar_Fee_Table,2),IF([4]RAROC!$B$103=2,VLOOKUP(A76,[4]!Guar_Fee_Table,3),IF([4]RAROC!$B$103=3,VLOOKUP(A76,[4]!Guar_Fee_Table,4))))</f>
        <v>0</v>
      </c>
      <c r="AG76" s="890">
        <v>0</v>
      </c>
      <c r="AH76" s="763">
        <f t="shared" si="16"/>
        <v>0</v>
      </c>
      <c r="AI76" s="932">
        <v>0</v>
      </c>
      <c r="AJ76" s="36">
        <f t="shared" si="17"/>
        <v>0</v>
      </c>
      <c r="AK76" s="932">
        <v>0</v>
      </c>
      <c r="AL76" s="36">
        <f t="shared" si="18"/>
        <v>0</v>
      </c>
      <c r="AM76" s="932">
        <v>0</v>
      </c>
      <c r="AN76" s="36">
        <f t="shared" si="19"/>
        <v>0</v>
      </c>
      <c r="AO76" s="932">
        <v>0</v>
      </c>
      <c r="AP76" s="36">
        <f t="shared" si="20"/>
        <v>0</v>
      </c>
      <c r="AQ76" s="932">
        <v>0</v>
      </c>
      <c r="AR76" s="763">
        <f t="shared" si="21"/>
        <v>0</v>
      </c>
    </row>
    <row r="77" spans="1:44" ht="13.5" thickBot="1">
      <c r="A77" s="313" t="s">
        <v>211</v>
      </c>
      <c r="B77" s="314"/>
      <c r="C77" s="547"/>
      <c r="D77" s="315">
        <f ca="1">SUM(D37:D76)</f>
        <v>84204.995827655846</v>
      </c>
      <c r="E77" s="315">
        <f ca="1">SUM(E37:E76)</f>
        <v>93710.455509278516</v>
      </c>
      <c r="F77" s="548"/>
      <c r="G77" s="547"/>
      <c r="H77" s="315">
        <f ca="1">SUM(H37:H76)</f>
        <v>0</v>
      </c>
      <c r="I77" s="315">
        <f ca="1">SUM(I37:I76)</f>
        <v>0</v>
      </c>
      <c r="J77" s="548"/>
      <c r="K77" s="547"/>
      <c r="L77" s="315">
        <f ca="1">SUM(L37:L76)</f>
        <v>0</v>
      </c>
      <c r="M77" s="315">
        <f ca="1">SUM(M37:M76)</f>
        <v>0</v>
      </c>
      <c r="N77" s="548"/>
      <c r="O77" s="547"/>
      <c r="P77" s="315">
        <f ca="1">SUM(P37:P76)</f>
        <v>0</v>
      </c>
      <c r="Q77" s="315">
        <f ca="1">SUM(Q37:Q76)</f>
        <v>0</v>
      </c>
      <c r="R77" s="548"/>
      <c r="S77" s="547"/>
      <c r="T77" s="315">
        <f ca="1">SUM(T37:T76)</f>
        <v>0</v>
      </c>
      <c r="U77" s="315">
        <f ca="1">SUM(U37:U76)</f>
        <v>0</v>
      </c>
      <c r="V77" s="548"/>
      <c r="W77" s="547"/>
      <c r="X77" s="315">
        <f ca="1">SUM(X37:X76)</f>
        <v>2378.0882199237712</v>
      </c>
      <c r="Y77" s="315">
        <f ca="1">SUM(Y37:Y76)</f>
        <v>2473.636996185684</v>
      </c>
      <c r="Z77" s="548"/>
      <c r="AA77" s="315">
        <f ca="1">SUM(AA37:AA76)</f>
        <v>84204.995827655803</v>
      </c>
      <c r="AB77" s="316">
        <f ca="1">SUM(AB37:AB76)</f>
        <v>93710.45550927853</v>
      </c>
      <c r="AC77" s="315">
        <f ca="1">SUM(AC37:AC76)</f>
        <v>2378.0882199237717</v>
      </c>
      <c r="AD77" s="316">
        <f ca="1">SUM(AD37:AD76)</f>
        <v>2473.6369961856835</v>
      </c>
      <c r="AE77" s="1265"/>
      <c r="AG77" s="764">
        <f t="shared" ref="AG77:AR77" si="48">SUM(AG37:AG76)</f>
        <v>200000</v>
      </c>
      <c r="AH77" s="191">
        <f t="shared" si="48"/>
        <v>1.0000000000000004</v>
      </c>
      <c r="AI77" s="60">
        <f t="shared" si="48"/>
        <v>0</v>
      </c>
      <c r="AJ77" s="21">
        <f t="shared" si="48"/>
        <v>0</v>
      </c>
      <c r="AK77" s="60">
        <f t="shared" si="48"/>
        <v>0</v>
      </c>
      <c r="AL77" s="21">
        <f t="shared" si="48"/>
        <v>0</v>
      </c>
      <c r="AM77" s="60">
        <f t="shared" si="48"/>
        <v>0</v>
      </c>
      <c r="AN77" s="21">
        <f t="shared" si="48"/>
        <v>0</v>
      </c>
      <c r="AO77" s="60">
        <f t="shared" si="48"/>
        <v>0</v>
      </c>
      <c r="AP77" s="21">
        <f t="shared" si="48"/>
        <v>0</v>
      </c>
      <c r="AQ77" s="60">
        <f t="shared" si="48"/>
        <v>0</v>
      </c>
      <c r="AR77" s="191">
        <f t="shared" si="48"/>
        <v>0</v>
      </c>
    </row>
    <row r="78" spans="1:44" ht="13.5" thickBot="1">
      <c r="AG78" s="141"/>
      <c r="AH78" s="588"/>
      <c r="AI78" s="564"/>
      <c r="AJ78" s="76"/>
      <c r="AK78" s="564"/>
      <c r="AL78" s="76"/>
      <c r="AM78" s="564"/>
      <c r="AN78" s="76"/>
      <c r="AO78" s="564"/>
      <c r="AP78" s="76"/>
      <c r="AQ78" s="564"/>
      <c r="AR78" s="151"/>
    </row>
    <row r="79" spans="1:44">
      <c r="B79" s="306">
        <f>A79+1</f>
        <v>1</v>
      </c>
      <c r="C79" s="306">
        <f t="shared" ref="C79:AE79" si="49">B79+1</f>
        <v>2</v>
      </c>
      <c r="D79" s="306">
        <f t="shared" si="49"/>
        <v>3</v>
      </c>
      <c r="E79" s="306">
        <f t="shared" si="49"/>
        <v>4</v>
      </c>
      <c r="F79" s="306">
        <f t="shared" si="49"/>
        <v>5</v>
      </c>
      <c r="G79" s="306">
        <f t="shared" si="49"/>
        <v>6</v>
      </c>
      <c r="H79" s="306">
        <f t="shared" si="49"/>
        <v>7</v>
      </c>
      <c r="I79" s="306">
        <f t="shared" si="49"/>
        <v>8</v>
      </c>
      <c r="J79" s="306">
        <f t="shared" si="49"/>
        <v>9</v>
      </c>
      <c r="K79" s="306">
        <f t="shared" si="49"/>
        <v>10</v>
      </c>
      <c r="L79" s="306">
        <f t="shared" si="49"/>
        <v>11</v>
      </c>
      <c r="M79" s="306">
        <f t="shared" si="49"/>
        <v>12</v>
      </c>
      <c r="N79" s="306">
        <f t="shared" si="49"/>
        <v>13</v>
      </c>
      <c r="O79" s="306">
        <f t="shared" si="49"/>
        <v>14</v>
      </c>
      <c r="P79" s="306">
        <f t="shared" si="49"/>
        <v>15</v>
      </c>
      <c r="Q79" s="306">
        <f t="shared" si="49"/>
        <v>16</v>
      </c>
      <c r="R79" s="306">
        <f t="shared" si="49"/>
        <v>17</v>
      </c>
      <c r="S79" s="306">
        <f t="shared" si="49"/>
        <v>18</v>
      </c>
      <c r="T79" s="306">
        <f t="shared" si="49"/>
        <v>19</v>
      </c>
      <c r="U79" s="306">
        <f t="shared" si="49"/>
        <v>20</v>
      </c>
      <c r="V79" s="306">
        <f t="shared" si="49"/>
        <v>21</v>
      </c>
      <c r="W79" s="306">
        <f t="shared" si="49"/>
        <v>22</v>
      </c>
      <c r="X79" s="306">
        <f t="shared" si="49"/>
        <v>23</v>
      </c>
      <c r="Y79" s="306">
        <f t="shared" si="49"/>
        <v>24</v>
      </c>
      <c r="Z79" s="306">
        <f t="shared" si="49"/>
        <v>25</v>
      </c>
      <c r="AA79" s="306">
        <f t="shared" si="49"/>
        <v>26</v>
      </c>
      <c r="AB79" s="306">
        <f t="shared" si="49"/>
        <v>27</v>
      </c>
      <c r="AC79" s="306">
        <f t="shared" si="49"/>
        <v>28</v>
      </c>
      <c r="AD79" s="306">
        <f t="shared" si="49"/>
        <v>29</v>
      </c>
      <c r="AE79" s="306">
        <f t="shared" si="49"/>
        <v>30</v>
      </c>
      <c r="AF79" s="1261" t="s">
        <v>871</v>
      </c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60"/>
  <sheetViews>
    <sheetView showGridLines="0" zoomScale="90" zoomScaleNormal="90" workbookViewId="0">
      <selection activeCell="G34" sqref="G34"/>
    </sheetView>
  </sheetViews>
  <sheetFormatPr defaultRowHeight="12.75"/>
  <cols>
    <col min="1" max="1" width="23.85546875" style="8" customWidth="1"/>
    <col min="2" max="24" width="10.7109375" style="5" customWidth="1"/>
    <col min="25" max="25" width="10.7109375" style="8" customWidth="1"/>
    <col min="26" max="16384" width="9.140625" style="5"/>
  </cols>
  <sheetData>
    <row r="1" spans="1:27" s="240" customFormat="1" ht="15.75">
      <c r="A1" s="987" t="str">
        <f>Assm!A1</f>
        <v>GAS ORIENTE BOLIVIANO S.A. (GASBOL) *** DRAFT COPY ***</v>
      </c>
      <c r="B1" s="239"/>
      <c r="C1" s="13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83"/>
    </row>
    <row r="2" spans="1:27" s="240" customFormat="1" ht="15.75">
      <c r="A2" s="987" t="str">
        <f>Assm!A2</f>
        <v>369 KM PIPELINE SPUR FOR CUIABA POWER PLANT (BOLIVIA)</v>
      </c>
      <c r="B2" s="239"/>
      <c r="C2" s="13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83"/>
    </row>
    <row r="3" spans="1:27" s="240" customFormat="1" ht="15.75">
      <c r="A3" s="244" t="str">
        <f>Assm!A3</f>
        <v>ENRON INTERNATIONAL</v>
      </c>
      <c r="B3" s="244"/>
      <c r="C3" s="13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83"/>
    </row>
    <row r="4" spans="1:27" s="240" customFormat="1" ht="15.75">
      <c r="A4" s="820" t="s">
        <v>907</v>
      </c>
      <c r="B4" s="881"/>
      <c r="C4" s="13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83"/>
    </row>
    <row r="5" spans="1:27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AA5" s="1036" t="s">
        <v>865</v>
      </c>
    </row>
    <row r="6" spans="1:27" s="8" customFormat="1">
      <c r="A6" s="411" t="s">
        <v>150</v>
      </c>
      <c r="B6" s="73"/>
      <c r="C6" s="73"/>
      <c r="D6" s="73">
        <f>CF!E6</f>
        <v>1</v>
      </c>
      <c r="E6" s="73">
        <f>CF!F6</f>
        <v>2</v>
      </c>
      <c r="F6" s="73">
        <f>CF!G6</f>
        <v>3</v>
      </c>
      <c r="G6" s="73">
        <f>CF!H6</f>
        <v>4</v>
      </c>
      <c r="H6" s="73">
        <f>CF!I6</f>
        <v>5</v>
      </c>
      <c r="I6" s="73">
        <f>CF!J6</f>
        <v>6</v>
      </c>
      <c r="J6" s="73">
        <f>CF!K6</f>
        <v>7</v>
      </c>
      <c r="K6" s="73">
        <f>CF!L6</f>
        <v>8</v>
      </c>
      <c r="L6" s="73">
        <f>CF!M6</f>
        <v>9</v>
      </c>
      <c r="M6" s="73">
        <f>CF!N6</f>
        <v>10</v>
      </c>
      <c r="N6" s="73">
        <f>CF!O6</f>
        <v>11</v>
      </c>
      <c r="O6" s="73">
        <f>CF!P6</f>
        <v>12</v>
      </c>
      <c r="P6" s="73">
        <f>CF!Q6</f>
        <v>13</v>
      </c>
      <c r="Q6" s="73">
        <f>CF!R6</f>
        <v>14</v>
      </c>
      <c r="R6" s="73">
        <f>CF!S6</f>
        <v>15</v>
      </c>
      <c r="S6" s="73">
        <f>CF!T6</f>
        <v>16</v>
      </c>
      <c r="T6" s="73">
        <f>CF!U6</f>
        <v>17</v>
      </c>
      <c r="U6" s="73">
        <f>CF!V6</f>
        <v>18</v>
      </c>
      <c r="V6" s="73">
        <f>CF!W6</f>
        <v>19</v>
      </c>
      <c r="W6" s="73">
        <f>CF!X6</f>
        <v>20</v>
      </c>
      <c r="X6" s="73">
        <f>CF!Y6</f>
        <v>21</v>
      </c>
      <c r="Y6" s="413"/>
      <c r="AA6" s="45" t="s">
        <v>872</v>
      </c>
    </row>
    <row r="7" spans="1:27" s="8" customFormat="1" ht="13.5" thickBot="1">
      <c r="A7" s="75" t="s">
        <v>151</v>
      </c>
      <c r="B7" s="76"/>
      <c r="C7" s="76"/>
      <c r="D7" s="284">
        <f>CF!E7</f>
        <v>1999</v>
      </c>
      <c r="E7" s="284">
        <f>CF!F7</f>
        <v>2000</v>
      </c>
      <c r="F7" s="284">
        <f>CF!G7</f>
        <v>2001</v>
      </c>
      <c r="G7" s="284">
        <f>CF!H7</f>
        <v>2002</v>
      </c>
      <c r="H7" s="284">
        <f>CF!I7</f>
        <v>2003</v>
      </c>
      <c r="I7" s="284">
        <f>CF!J7</f>
        <v>2004</v>
      </c>
      <c r="J7" s="284">
        <f>CF!K7</f>
        <v>2005</v>
      </c>
      <c r="K7" s="284">
        <f>CF!L7</f>
        <v>2006</v>
      </c>
      <c r="L7" s="284">
        <f>CF!M7</f>
        <v>2007</v>
      </c>
      <c r="M7" s="284">
        <f>CF!N7</f>
        <v>2008</v>
      </c>
      <c r="N7" s="284">
        <f>CF!O7</f>
        <v>2009</v>
      </c>
      <c r="O7" s="284">
        <f>CF!P7</f>
        <v>2010</v>
      </c>
      <c r="P7" s="284">
        <f>CF!Q7</f>
        <v>2011</v>
      </c>
      <c r="Q7" s="284">
        <f>CF!R7</f>
        <v>2012</v>
      </c>
      <c r="R7" s="284">
        <f>CF!S7</f>
        <v>2013</v>
      </c>
      <c r="S7" s="284">
        <f>CF!T7</f>
        <v>2014</v>
      </c>
      <c r="T7" s="284">
        <f>CF!U7</f>
        <v>2015</v>
      </c>
      <c r="U7" s="284">
        <f>CF!V7</f>
        <v>2016</v>
      </c>
      <c r="V7" s="284">
        <f>CF!W7</f>
        <v>2017</v>
      </c>
      <c r="W7" s="284">
        <f>CF!X7</f>
        <v>2018</v>
      </c>
      <c r="X7" s="284">
        <f>CF!Y7</f>
        <v>2019</v>
      </c>
      <c r="Y7" s="414" t="s">
        <v>200</v>
      </c>
      <c r="AA7" s="1007">
        <v>1</v>
      </c>
    </row>
    <row r="8" spans="1:27">
      <c r="A8" s="4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16"/>
      <c r="AA8" s="132">
        <f t="shared" ref="AA8:AA60" si="0">AA7+1</f>
        <v>2</v>
      </c>
    </row>
    <row r="9" spans="1:27" s="8" customFormat="1">
      <c r="A9" s="139" t="s">
        <v>323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6">
        <f>CF!Z9</f>
        <v>218</v>
      </c>
      <c r="AA9" s="132">
        <f t="shared" si="0"/>
        <v>3</v>
      </c>
    </row>
    <row r="10" spans="1:27">
      <c r="A10" s="13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6"/>
      <c r="AA10" s="132">
        <f t="shared" si="0"/>
        <v>4</v>
      </c>
    </row>
    <row r="11" spans="1:27" s="8" customFormat="1">
      <c r="A11" s="146" t="s">
        <v>458</v>
      </c>
      <c r="Y11" s="416"/>
      <c r="AA11" s="132">
        <f t="shared" si="0"/>
        <v>5</v>
      </c>
    </row>
    <row r="12" spans="1:27" s="8" customFormat="1">
      <c r="A12" s="74" t="s">
        <v>457</v>
      </c>
      <c r="B12" s="32"/>
      <c r="Y12" s="416"/>
      <c r="AA12" s="132">
        <f t="shared" si="0"/>
        <v>6</v>
      </c>
    </row>
    <row r="13" spans="1:27" s="8" customFormat="1">
      <c r="A13" s="139" t="s">
        <v>570</v>
      </c>
      <c r="D13" s="53">
        <f ca="1">CF!E46</f>
        <v>0</v>
      </c>
      <c r="E13" s="53">
        <f ca="1">CF!F46</f>
        <v>-13.275999937924599</v>
      </c>
      <c r="F13" s="53">
        <f ca="1">CF!G46</f>
        <v>8604.1962980564422</v>
      </c>
      <c r="G13" s="53">
        <f ca="1">CF!H46</f>
        <v>14220.938045161965</v>
      </c>
      <c r="H13" s="53">
        <f ca="1">CF!I46</f>
        <v>13565.64099964267</v>
      </c>
      <c r="I13" s="53">
        <f ca="1">CF!J46</f>
        <v>19099.431253024326</v>
      </c>
      <c r="J13" s="53">
        <f ca="1">CF!K46</f>
        <v>19379.61484794068</v>
      </c>
      <c r="K13" s="53">
        <f ca="1">CF!L46</f>
        <v>23437.1491854552</v>
      </c>
      <c r="L13" s="53">
        <f ca="1">CF!M46</f>
        <v>24344.707667100865</v>
      </c>
      <c r="M13" s="53">
        <f ca="1">CF!N46</f>
        <v>24485.488092459338</v>
      </c>
      <c r="N13" s="53">
        <f ca="1">CF!O46</f>
        <v>25830.153415031691</v>
      </c>
      <c r="O13" s="53">
        <f ca="1">CF!P46</f>
        <v>26597.155621630889</v>
      </c>
      <c r="P13" s="53">
        <f ca="1">CF!Q46</f>
        <v>27679.458534726189</v>
      </c>
      <c r="Q13" s="53">
        <f ca="1">CF!R46</f>
        <v>29538.859488661044</v>
      </c>
      <c r="R13" s="53">
        <f ca="1">CF!S46</f>
        <v>28010.230908751848</v>
      </c>
      <c r="S13" s="53">
        <f ca="1">CF!T46</f>
        <v>30595.117817383754</v>
      </c>
      <c r="T13" s="53">
        <f ca="1">CF!U46</f>
        <v>31458.567262612829</v>
      </c>
      <c r="U13" s="53">
        <f ca="1">CF!V46</f>
        <v>32306.082879734346</v>
      </c>
      <c r="V13" s="53">
        <f ca="1">CF!W46</f>
        <v>33381.813610301098</v>
      </c>
      <c r="W13" s="53">
        <f ca="1">CF!X46</f>
        <v>34547.704037227639</v>
      </c>
      <c r="X13" s="53">
        <f ca="1">CF!Y46</f>
        <v>11528.791954895343</v>
      </c>
      <c r="Y13" s="420">
        <f t="shared" ref="Y13:Y18" ca="1" si="1">SUM(D13:X13)</f>
        <v>458597.82591986028</v>
      </c>
      <c r="AA13" s="132">
        <f t="shared" si="0"/>
        <v>7</v>
      </c>
    </row>
    <row r="14" spans="1:27" s="8" customFormat="1">
      <c r="A14" s="139" t="s">
        <v>749</v>
      </c>
      <c r="D14" s="53">
        <f ca="1">Trapped!F60</f>
        <v>0</v>
      </c>
      <c r="E14" s="53">
        <f ca="1">Trapped!G60</f>
        <v>0</v>
      </c>
      <c r="F14" s="53">
        <f ca="1">Trapped!H60</f>
        <v>0</v>
      </c>
      <c r="G14" s="53">
        <f ca="1">Trapped!I60</f>
        <v>0</v>
      </c>
      <c r="H14" s="53">
        <f ca="1">Trapped!J60</f>
        <v>0</v>
      </c>
      <c r="I14" s="53">
        <f ca="1">Trapped!K60</f>
        <v>0</v>
      </c>
      <c r="J14" s="53">
        <f ca="1">Trapped!L60</f>
        <v>0</v>
      </c>
      <c r="K14" s="53">
        <f ca="1">Trapped!M60</f>
        <v>0</v>
      </c>
      <c r="L14" s="53">
        <f ca="1">Trapped!N60</f>
        <v>0</v>
      </c>
      <c r="M14" s="53">
        <f ca="1">Trapped!O60</f>
        <v>0</v>
      </c>
      <c r="N14" s="53">
        <f ca="1">Trapped!P60</f>
        <v>0</v>
      </c>
      <c r="O14" s="53">
        <f ca="1">Trapped!Q60</f>
        <v>0</v>
      </c>
      <c r="P14" s="53">
        <f ca="1">Trapped!R60</f>
        <v>0</v>
      </c>
      <c r="Q14" s="53">
        <f ca="1">Trapped!S60</f>
        <v>0</v>
      </c>
      <c r="R14" s="53">
        <f ca="1">Trapped!T60</f>
        <v>0</v>
      </c>
      <c r="S14" s="53">
        <f ca="1">Trapped!U60</f>
        <v>0</v>
      </c>
      <c r="T14" s="53">
        <f ca="1">Trapped!V60</f>
        <v>0</v>
      </c>
      <c r="U14" s="53">
        <f ca="1">Trapped!W60</f>
        <v>0</v>
      </c>
      <c r="V14" s="53">
        <f ca="1">Trapped!X60</f>
        <v>0</v>
      </c>
      <c r="W14" s="53">
        <f ca="1">Trapped!Y60</f>
        <v>0</v>
      </c>
      <c r="X14" s="53">
        <f ca="1">Trapped!Z60</f>
        <v>0</v>
      </c>
      <c r="Y14" s="420">
        <f t="shared" ca="1" si="1"/>
        <v>0</v>
      </c>
      <c r="AA14" s="132">
        <f t="shared" si="0"/>
        <v>8</v>
      </c>
    </row>
    <row r="15" spans="1:27" s="8" customFormat="1">
      <c r="A15" s="139" t="s">
        <v>455</v>
      </c>
      <c r="D15" s="53">
        <f ca="1">-Depr!H24</f>
        <v>0</v>
      </c>
      <c r="E15" s="53">
        <f ca="1">-Depr!I24</f>
        <v>0</v>
      </c>
      <c r="F15" s="53">
        <f ca="1">-Depr!J24</f>
        <v>-12017.498924717418</v>
      </c>
      <c r="G15" s="53">
        <f ca="1">-Depr!K24</f>
        <v>-14420.998709660902</v>
      </c>
      <c r="H15" s="53">
        <f ca="1">-Depr!L24</f>
        <v>-14420.998709660902</v>
      </c>
      <c r="I15" s="53">
        <f ca="1">-Depr!M24</f>
        <v>-14420.998709660902</v>
      </c>
      <c r="J15" s="53">
        <f ca="1">-Depr!N24</f>
        <v>-14420.998709660902</v>
      </c>
      <c r="K15" s="53">
        <f ca="1">-Depr!O24</f>
        <v>-14420.998709660902</v>
      </c>
      <c r="L15" s="53">
        <f ca="1">-Depr!P24</f>
        <v>-14420.998709660902</v>
      </c>
      <c r="M15" s="53">
        <f ca="1">-Depr!Q24</f>
        <v>-14420.998709660902</v>
      </c>
      <c r="N15" s="53">
        <f ca="1">-Depr!R24</f>
        <v>-14420.998709660902</v>
      </c>
      <c r="O15" s="53">
        <f ca="1">-Depr!S24</f>
        <v>-14420.998709660902</v>
      </c>
      <c r="P15" s="53">
        <f ca="1">-Depr!T24</f>
        <v>-2403.4997849435022</v>
      </c>
      <c r="Q15" s="53">
        <f ca="1">-Depr!U24</f>
        <v>0</v>
      </c>
      <c r="R15" s="53">
        <f ca="1">-Depr!V24</f>
        <v>0</v>
      </c>
      <c r="S15" s="53">
        <f ca="1">-Depr!W24</f>
        <v>0</v>
      </c>
      <c r="T15" s="53">
        <f ca="1">-Depr!X24</f>
        <v>0</v>
      </c>
      <c r="U15" s="53">
        <f ca="1">-Depr!Y24</f>
        <v>0</v>
      </c>
      <c r="V15" s="53">
        <f ca="1">-Depr!Z24</f>
        <v>0</v>
      </c>
      <c r="W15" s="53">
        <f ca="1">-Depr!AA24</f>
        <v>0</v>
      </c>
      <c r="X15" s="53">
        <f ca="1">-Depr!AB24</f>
        <v>0</v>
      </c>
      <c r="Y15" s="420">
        <f t="shared" ca="1" si="1"/>
        <v>-144209.98709660902</v>
      </c>
      <c r="AA15" s="132">
        <f t="shared" si="0"/>
        <v>9</v>
      </c>
    </row>
    <row r="16" spans="1:27" s="8" customFormat="1">
      <c r="A16" s="139" t="s">
        <v>186</v>
      </c>
      <c r="D16" s="53">
        <f ca="1">CF!E50</f>
        <v>0</v>
      </c>
      <c r="E16" s="53">
        <f ca="1">CF!F50</f>
        <v>0</v>
      </c>
      <c r="F16" s="53">
        <f ca="1">CF!G50</f>
        <v>-4298.9671464881521</v>
      </c>
      <c r="G16" s="53">
        <f ca="1">CF!H50</f>
        <v>-10278.834132082155</v>
      </c>
      <c r="H16" s="53">
        <f ca="1">CF!I50</f>
        <v>-10097.18311772179</v>
      </c>
      <c r="I16" s="53">
        <f ca="1">CF!J50</f>
        <v>-9716.1718009101805</v>
      </c>
      <c r="J16" s="53">
        <f ca="1">CF!K50</f>
        <v>-8941.2866575846747</v>
      </c>
      <c r="K16" s="53">
        <f ca="1">CF!L50</f>
        <v>-7982.2263920456498</v>
      </c>
      <c r="L16" s="53">
        <f ca="1">CF!M50</f>
        <v>-6883.6216529316207</v>
      </c>
      <c r="M16" s="53">
        <f ca="1">CF!N50</f>
        <v>-5746.3262094991969</v>
      </c>
      <c r="N16" s="53">
        <f ca="1">CF!O50</f>
        <v>-5020.6998600144798</v>
      </c>
      <c r="O16" s="53">
        <f ca="1">CF!P50</f>
        <v>-4432.2965418456652</v>
      </c>
      <c r="P16" s="53">
        <f ca="1">CF!Q50</f>
        <v>-3843.8932236768501</v>
      </c>
      <c r="Q16" s="53">
        <f ca="1">CF!R50</f>
        <v>-3049.6553585341817</v>
      </c>
      <c r="R16" s="53">
        <f ca="1">CF!S50</f>
        <v>-2186.805977733562</v>
      </c>
      <c r="S16" s="53">
        <f ca="1">CF!T50</f>
        <v>-1323.9565969329419</v>
      </c>
      <c r="T16" s="53">
        <f ca="1">CF!U50</f>
        <v>-403.0711596547298</v>
      </c>
      <c r="U16" s="53">
        <f ca="1">CF!V50</f>
        <v>0</v>
      </c>
      <c r="V16" s="53">
        <f ca="1">CF!W50</f>
        <v>0</v>
      </c>
      <c r="W16" s="53">
        <f ca="1">CF!X50</f>
        <v>0</v>
      </c>
      <c r="X16" s="53">
        <f ca="1">CF!Y50</f>
        <v>0</v>
      </c>
      <c r="Y16" s="420">
        <f t="shared" ca="1" si="1"/>
        <v>-84204.995827655803</v>
      </c>
      <c r="AA16" s="132">
        <f t="shared" si="0"/>
        <v>10</v>
      </c>
    </row>
    <row r="17" spans="1:27" s="8" customFormat="1">
      <c r="A17" s="139" t="s">
        <v>454</v>
      </c>
      <c r="D17" s="226">
        <f ca="1">CF!E52</f>
        <v>0</v>
      </c>
      <c r="E17" s="226">
        <f ca="1">CF!F52</f>
        <v>0</v>
      </c>
      <c r="F17" s="226">
        <f ca="1">CF!G52</f>
        <v>0</v>
      </c>
      <c r="G17" s="226">
        <f ca="1">CF!H52</f>
        <v>0</v>
      </c>
      <c r="H17" s="226">
        <f ca="1">CF!I52</f>
        <v>0</v>
      </c>
      <c r="I17" s="226">
        <f ca="1">CF!J52</f>
        <v>0</v>
      </c>
      <c r="J17" s="226">
        <f ca="1">CF!K52</f>
        <v>0</v>
      </c>
      <c r="K17" s="226">
        <f ca="1">CF!L52</f>
        <v>0</v>
      </c>
      <c r="L17" s="226">
        <f ca="1">CF!M52</f>
        <v>0</v>
      </c>
      <c r="M17" s="226">
        <f ca="1">CF!N52</f>
        <v>0</v>
      </c>
      <c r="N17" s="226">
        <f ca="1">CF!O52</f>
        <v>0</v>
      </c>
      <c r="O17" s="226">
        <f ca="1">CF!P52</f>
        <v>0</v>
      </c>
      <c r="P17" s="226">
        <f ca="1">CF!Q52</f>
        <v>0</v>
      </c>
      <c r="Q17" s="226">
        <f ca="1">CF!R52</f>
        <v>0</v>
      </c>
      <c r="R17" s="226">
        <f ca="1">CF!S52</f>
        <v>0</v>
      </c>
      <c r="S17" s="226">
        <f ca="1">CF!T52</f>
        <v>0</v>
      </c>
      <c r="T17" s="226">
        <f ca="1">CF!U52</f>
        <v>0</v>
      </c>
      <c r="U17" s="226">
        <f ca="1">CF!V52</f>
        <v>0</v>
      </c>
      <c r="V17" s="226">
        <f ca="1">CF!W52</f>
        <v>0</v>
      </c>
      <c r="W17" s="226">
        <f ca="1">CF!X52</f>
        <v>0</v>
      </c>
      <c r="X17" s="226">
        <f ca="1">CF!Y52</f>
        <v>0</v>
      </c>
      <c r="Y17" s="421">
        <f t="shared" ca="1" si="1"/>
        <v>0</v>
      </c>
      <c r="AA17" s="132">
        <f t="shared" si="0"/>
        <v>11</v>
      </c>
    </row>
    <row r="18" spans="1:27" s="8" customFormat="1">
      <c r="A18" s="139" t="s">
        <v>456</v>
      </c>
      <c r="D18" s="53">
        <f t="shared" ref="D18:X18" ca="1" si="2">SUM(D13:D17)</f>
        <v>0</v>
      </c>
      <c r="E18" s="53">
        <f t="shared" ca="1" si="2"/>
        <v>-13.275999937924599</v>
      </c>
      <c r="F18" s="53">
        <f t="shared" ca="1" si="2"/>
        <v>-7712.269773149128</v>
      </c>
      <c r="G18" s="53">
        <f t="shared" ca="1" si="2"/>
        <v>-10478.894796581091</v>
      </c>
      <c r="H18" s="53">
        <f t="shared" ca="1" si="2"/>
        <v>-10952.540827740022</v>
      </c>
      <c r="I18" s="53">
        <f t="shared" ca="1" si="2"/>
        <v>-5037.7392575467566</v>
      </c>
      <c r="J18" s="53">
        <f t="shared" ca="1" si="2"/>
        <v>-3982.6705193048965</v>
      </c>
      <c r="K18" s="53">
        <f t="shared" ca="1" si="2"/>
        <v>1033.9240837486486</v>
      </c>
      <c r="L18" s="53">
        <f t="shared" ca="1" si="2"/>
        <v>3040.0873045083426</v>
      </c>
      <c r="M18" s="53">
        <f t="shared" ca="1" si="2"/>
        <v>4318.1631732992391</v>
      </c>
      <c r="N18" s="53">
        <f t="shared" ca="1" si="2"/>
        <v>6388.4548453563093</v>
      </c>
      <c r="O18" s="53">
        <f t="shared" ca="1" si="2"/>
        <v>7743.8603701243219</v>
      </c>
      <c r="P18" s="53">
        <f t="shared" ca="1" si="2"/>
        <v>21432.065526105838</v>
      </c>
      <c r="Q18" s="53">
        <f t="shared" ca="1" si="2"/>
        <v>26489.204130126862</v>
      </c>
      <c r="R18" s="53">
        <f t="shared" ca="1" si="2"/>
        <v>25823.424931018286</v>
      </c>
      <c r="S18" s="53">
        <f t="shared" ca="1" si="2"/>
        <v>29271.161220450813</v>
      </c>
      <c r="T18" s="53">
        <f t="shared" ca="1" si="2"/>
        <v>31055.496102958099</v>
      </c>
      <c r="U18" s="53">
        <f t="shared" ca="1" si="2"/>
        <v>32306.082879734346</v>
      </c>
      <c r="V18" s="53">
        <f t="shared" ca="1" si="2"/>
        <v>33381.813610301098</v>
      </c>
      <c r="W18" s="53">
        <f t="shared" ca="1" si="2"/>
        <v>34547.704037227639</v>
      </c>
      <c r="X18" s="53">
        <f t="shared" ca="1" si="2"/>
        <v>11528.791954895343</v>
      </c>
      <c r="Y18" s="420">
        <f t="shared" ca="1" si="1"/>
        <v>230182.84299559536</v>
      </c>
      <c r="AA18" s="132">
        <f t="shared" si="0"/>
        <v>12</v>
      </c>
    </row>
    <row r="19" spans="1:27" s="8" customFormat="1">
      <c r="A19" s="139" t="s">
        <v>824</v>
      </c>
      <c r="D19" s="640">
        <f ca="1">-D27</f>
        <v>0</v>
      </c>
      <c r="E19" s="640">
        <f t="shared" ref="E19:X19" ca="1" si="3">-E27</f>
        <v>0</v>
      </c>
      <c r="F19" s="640">
        <f t="shared" ca="1" si="3"/>
        <v>0</v>
      </c>
      <c r="G19" s="640">
        <f t="shared" ca="1" si="3"/>
        <v>0</v>
      </c>
      <c r="H19" s="640">
        <f t="shared" ca="1" si="3"/>
        <v>0</v>
      </c>
      <c r="I19" s="640">
        <f t="shared" ca="1" si="3"/>
        <v>0</v>
      </c>
      <c r="J19" s="640">
        <f t="shared" ca="1" si="3"/>
        <v>0</v>
      </c>
      <c r="K19" s="640">
        <f t="shared" ca="1" si="3"/>
        <v>-1033.9240837486486</v>
      </c>
      <c r="L19" s="640">
        <f t="shared" ca="1" si="3"/>
        <v>-3040.0873045083426</v>
      </c>
      <c r="M19" s="640">
        <f t="shared" ca="1" si="3"/>
        <v>-4318.1631732992391</v>
      </c>
      <c r="N19" s="640">
        <f t="shared" ca="1" si="3"/>
        <v>-6388.4548453563093</v>
      </c>
      <c r="O19" s="640">
        <f t="shared" ca="1" si="3"/>
        <v>-7743.8603701243219</v>
      </c>
      <c r="P19" s="640">
        <f t="shared" ca="1" si="3"/>
        <v>-15652.901397222948</v>
      </c>
      <c r="Q19" s="640">
        <f t="shared" ca="1" si="3"/>
        <v>0</v>
      </c>
      <c r="R19" s="640">
        <f t="shared" ca="1" si="3"/>
        <v>0</v>
      </c>
      <c r="S19" s="640">
        <f t="shared" ca="1" si="3"/>
        <v>0</v>
      </c>
      <c r="T19" s="640">
        <f t="shared" ca="1" si="3"/>
        <v>0</v>
      </c>
      <c r="U19" s="640">
        <f t="shared" ca="1" si="3"/>
        <v>0</v>
      </c>
      <c r="V19" s="640">
        <f t="shared" ca="1" si="3"/>
        <v>0</v>
      </c>
      <c r="W19" s="640">
        <f t="shared" ca="1" si="3"/>
        <v>0</v>
      </c>
      <c r="X19" s="640">
        <f t="shared" ca="1" si="3"/>
        <v>0</v>
      </c>
      <c r="Y19" s="421"/>
      <c r="AA19" s="132">
        <f t="shared" si="0"/>
        <v>13</v>
      </c>
    </row>
    <row r="20" spans="1:27" s="8" customFormat="1">
      <c r="A20" s="139" t="s">
        <v>825</v>
      </c>
      <c r="D20" s="53">
        <f ca="1">IF(SUM(D18:D19)&lt;0,0,SUM(D18:D19))</f>
        <v>0</v>
      </c>
      <c r="E20" s="53">
        <f t="shared" ref="E20:X20" ca="1" si="4">IF(SUM(E18:E19)&lt;0,0,SUM(E18:E19))</f>
        <v>0</v>
      </c>
      <c r="F20" s="53">
        <f t="shared" ca="1" si="4"/>
        <v>0</v>
      </c>
      <c r="G20" s="53">
        <f t="shared" ca="1" si="4"/>
        <v>0</v>
      </c>
      <c r="H20" s="53">
        <f t="shared" ca="1" si="4"/>
        <v>0</v>
      </c>
      <c r="I20" s="53">
        <f t="shared" ca="1" si="4"/>
        <v>0</v>
      </c>
      <c r="J20" s="53">
        <f t="shared" ca="1" si="4"/>
        <v>0</v>
      </c>
      <c r="K20" s="53">
        <f t="shared" ca="1" si="4"/>
        <v>0</v>
      </c>
      <c r="L20" s="53">
        <f t="shared" ca="1" si="4"/>
        <v>0</v>
      </c>
      <c r="M20" s="53">
        <f t="shared" ca="1" si="4"/>
        <v>0</v>
      </c>
      <c r="N20" s="53">
        <f t="shared" ca="1" si="4"/>
        <v>0</v>
      </c>
      <c r="O20" s="53">
        <f t="shared" ca="1" si="4"/>
        <v>0</v>
      </c>
      <c r="P20" s="53">
        <f t="shared" ca="1" si="4"/>
        <v>5779.1641288828905</v>
      </c>
      <c r="Q20" s="53">
        <f t="shared" ca="1" si="4"/>
        <v>26489.204130126862</v>
      </c>
      <c r="R20" s="53">
        <f t="shared" ca="1" si="4"/>
        <v>25823.424931018286</v>
      </c>
      <c r="S20" s="53">
        <f t="shared" ca="1" si="4"/>
        <v>29271.161220450813</v>
      </c>
      <c r="T20" s="53">
        <f t="shared" ca="1" si="4"/>
        <v>31055.496102958099</v>
      </c>
      <c r="U20" s="53">
        <f t="shared" ca="1" si="4"/>
        <v>32306.082879734346</v>
      </c>
      <c r="V20" s="53">
        <f t="shared" ca="1" si="4"/>
        <v>33381.813610301098</v>
      </c>
      <c r="W20" s="53">
        <f t="shared" ca="1" si="4"/>
        <v>34547.704037227639</v>
      </c>
      <c r="X20" s="53">
        <f t="shared" ca="1" si="4"/>
        <v>11528.791954895343</v>
      </c>
      <c r="Y20" s="420">
        <f ca="1">SUM(D20:X20)</f>
        <v>230182.84299559536</v>
      </c>
      <c r="AA20" s="132">
        <f t="shared" si="0"/>
        <v>14</v>
      </c>
    </row>
    <row r="21" spans="1:27" s="8" customFormat="1">
      <c r="A21" s="139" t="s">
        <v>770</v>
      </c>
      <c r="D21" s="35">
        <f>Corp_Tax</f>
        <v>0.25</v>
      </c>
      <c r="E21" s="35">
        <f t="shared" ref="E21:X21" si="5">Corp_Tax</f>
        <v>0.25</v>
      </c>
      <c r="F21" s="35">
        <f t="shared" si="5"/>
        <v>0.25</v>
      </c>
      <c r="G21" s="35">
        <f t="shared" si="5"/>
        <v>0.25</v>
      </c>
      <c r="H21" s="35">
        <f t="shared" si="5"/>
        <v>0.25</v>
      </c>
      <c r="I21" s="35">
        <f t="shared" si="5"/>
        <v>0.25</v>
      </c>
      <c r="J21" s="35">
        <f t="shared" si="5"/>
        <v>0.25</v>
      </c>
      <c r="K21" s="35">
        <f t="shared" si="5"/>
        <v>0.25</v>
      </c>
      <c r="L21" s="35">
        <f t="shared" si="5"/>
        <v>0.25</v>
      </c>
      <c r="M21" s="35">
        <f t="shared" si="5"/>
        <v>0.25</v>
      </c>
      <c r="N21" s="35">
        <f t="shared" si="5"/>
        <v>0.25</v>
      </c>
      <c r="O21" s="35">
        <f t="shared" si="5"/>
        <v>0.25</v>
      </c>
      <c r="P21" s="35">
        <f t="shared" si="5"/>
        <v>0.25</v>
      </c>
      <c r="Q21" s="35">
        <f t="shared" si="5"/>
        <v>0.25</v>
      </c>
      <c r="R21" s="35">
        <f t="shared" si="5"/>
        <v>0.25</v>
      </c>
      <c r="S21" s="35">
        <f t="shared" si="5"/>
        <v>0.25</v>
      </c>
      <c r="T21" s="35">
        <f t="shared" si="5"/>
        <v>0.25</v>
      </c>
      <c r="U21" s="35">
        <f t="shared" si="5"/>
        <v>0.25</v>
      </c>
      <c r="V21" s="35">
        <f t="shared" si="5"/>
        <v>0.25</v>
      </c>
      <c r="W21" s="35">
        <f t="shared" si="5"/>
        <v>0.25</v>
      </c>
      <c r="X21" s="35">
        <f t="shared" si="5"/>
        <v>0.25</v>
      </c>
      <c r="Y21" s="460"/>
      <c r="AA21" s="132">
        <f t="shared" si="0"/>
        <v>15</v>
      </c>
    </row>
    <row r="22" spans="1:27">
      <c r="A22" s="139" t="s">
        <v>212</v>
      </c>
      <c r="B22" s="8"/>
      <c r="C22" s="8"/>
      <c r="D22" s="53">
        <f ca="1">D20*D21</f>
        <v>0</v>
      </c>
      <c r="E22" s="53">
        <f t="shared" ref="E22:X22" ca="1" si="6">E20*E21</f>
        <v>0</v>
      </c>
      <c r="F22" s="53">
        <f t="shared" ca="1" si="6"/>
        <v>0</v>
      </c>
      <c r="G22" s="53">
        <f t="shared" ca="1" si="6"/>
        <v>0</v>
      </c>
      <c r="H22" s="53">
        <f t="shared" ca="1" si="6"/>
        <v>0</v>
      </c>
      <c r="I22" s="53">
        <f t="shared" ca="1" si="6"/>
        <v>0</v>
      </c>
      <c r="J22" s="53">
        <f t="shared" ca="1" si="6"/>
        <v>0</v>
      </c>
      <c r="K22" s="53">
        <f t="shared" ca="1" si="6"/>
        <v>0</v>
      </c>
      <c r="L22" s="53">
        <f t="shared" ca="1" si="6"/>
        <v>0</v>
      </c>
      <c r="M22" s="53">
        <f t="shared" ca="1" si="6"/>
        <v>0</v>
      </c>
      <c r="N22" s="53">
        <f t="shared" ca="1" si="6"/>
        <v>0</v>
      </c>
      <c r="O22" s="53">
        <f t="shared" ca="1" si="6"/>
        <v>0</v>
      </c>
      <c r="P22" s="53">
        <f t="shared" ca="1" si="6"/>
        <v>1444.7910322207226</v>
      </c>
      <c r="Q22" s="53">
        <f t="shared" ca="1" si="6"/>
        <v>6622.3010325317155</v>
      </c>
      <c r="R22" s="53">
        <f t="shared" ca="1" si="6"/>
        <v>6455.8562327545715</v>
      </c>
      <c r="S22" s="53">
        <f t="shared" ca="1" si="6"/>
        <v>7317.7903051127032</v>
      </c>
      <c r="T22" s="53">
        <f t="shared" ca="1" si="6"/>
        <v>7763.8740257395248</v>
      </c>
      <c r="U22" s="53">
        <f t="shared" ca="1" si="6"/>
        <v>8076.5207199335864</v>
      </c>
      <c r="V22" s="53">
        <f t="shared" ca="1" si="6"/>
        <v>8345.4534025752746</v>
      </c>
      <c r="W22" s="53">
        <f t="shared" ca="1" si="6"/>
        <v>8636.9260093069097</v>
      </c>
      <c r="X22" s="53">
        <f t="shared" ca="1" si="6"/>
        <v>2882.1979887238358</v>
      </c>
      <c r="Y22" s="420">
        <f ca="1">SUM(D22:X22)</f>
        <v>57545.71074889884</v>
      </c>
      <c r="AA22" s="132">
        <f t="shared" si="0"/>
        <v>16</v>
      </c>
    </row>
    <row r="23" spans="1:27">
      <c r="A23" s="139"/>
      <c r="B23" s="8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460"/>
      <c r="AA23" s="132">
        <f t="shared" si="0"/>
        <v>17</v>
      </c>
    </row>
    <row r="24" spans="1:27">
      <c r="A24" s="74" t="s">
        <v>624</v>
      </c>
      <c r="B24" s="8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460"/>
      <c r="AA24" s="132">
        <f t="shared" si="0"/>
        <v>18</v>
      </c>
    </row>
    <row r="25" spans="1:27" s="8" customFormat="1">
      <c r="A25" s="139" t="s">
        <v>622</v>
      </c>
      <c r="D25" s="831">
        <v>0</v>
      </c>
      <c r="E25" s="53">
        <f t="shared" ref="E25:X25" ca="1" si="7">D28</f>
        <v>0</v>
      </c>
      <c r="F25" s="53">
        <f t="shared" ca="1" si="7"/>
        <v>0</v>
      </c>
      <c r="G25" s="53">
        <f t="shared" ca="1" si="7"/>
        <v>-13.275999937924599</v>
      </c>
      <c r="H25" s="53">
        <f t="shared" ca="1" si="7"/>
        <v>-7725.545773087053</v>
      </c>
      <c r="I25" s="53">
        <f t="shared" ca="1" si="7"/>
        <v>-18204.440569668142</v>
      </c>
      <c r="J25" s="53">
        <f t="shared" ca="1" si="7"/>
        <v>-29156.981397408163</v>
      </c>
      <c r="K25" s="53">
        <f t="shared" ca="1" si="7"/>
        <v>-34194.720654954916</v>
      </c>
      <c r="L25" s="53">
        <f t="shared" ca="1" si="7"/>
        <v>-37143.467090511163</v>
      </c>
      <c r="M25" s="53">
        <f t="shared" ca="1" si="7"/>
        <v>-34103.379786002821</v>
      </c>
      <c r="N25" s="53">
        <f t="shared" ca="1" si="7"/>
        <v>-29785.216612703582</v>
      </c>
      <c r="O25" s="53">
        <f t="shared" ca="1" si="7"/>
        <v>-23396.761767347271</v>
      </c>
      <c r="P25" s="53">
        <f t="shared" ca="1" si="7"/>
        <v>-15652.901397222948</v>
      </c>
      <c r="Q25" s="53">
        <f t="shared" ca="1" si="7"/>
        <v>0</v>
      </c>
      <c r="R25" s="53">
        <f t="shared" ca="1" si="7"/>
        <v>0</v>
      </c>
      <c r="S25" s="53">
        <f t="shared" ca="1" si="7"/>
        <v>0</v>
      </c>
      <c r="T25" s="53">
        <f t="shared" ca="1" si="7"/>
        <v>0</v>
      </c>
      <c r="U25" s="53">
        <f t="shared" ca="1" si="7"/>
        <v>0</v>
      </c>
      <c r="V25" s="53">
        <f t="shared" ca="1" si="7"/>
        <v>0</v>
      </c>
      <c r="W25" s="53">
        <f t="shared" ca="1" si="7"/>
        <v>0</v>
      </c>
      <c r="X25" s="53">
        <f t="shared" ca="1" si="7"/>
        <v>0</v>
      </c>
      <c r="Y25" s="420"/>
      <c r="AA25" s="132">
        <f t="shared" si="0"/>
        <v>19</v>
      </c>
    </row>
    <row r="26" spans="1:27" s="8" customFormat="1">
      <c r="A26" s="139" t="s">
        <v>621</v>
      </c>
      <c r="D26" s="53">
        <f>IF(C18&lt;0,C18,0)</f>
        <v>0</v>
      </c>
      <c r="E26" s="53">
        <f ca="1">IF(D18&lt;0,D18,0)</f>
        <v>0</v>
      </c>
      <c r="F26" s="53">
        <f t="shared" ref="F26:X26" ca="1" si="8">IF(E18&lt;0,E18,0)</f>
        <v>-13.275999937924599</v>
      </c>
      <c r="G26" s="53">
        <f t="shared" ca="1" si="8"/>
        <v>-7712.269773149128</v>
      </c>
      <c r="H26" s="53">
        <f t="shared" ca="1" si="8"/>
        <v>-10478.894796581091</v>
      </c>
      <c r="I26" s="53">
        <f t="shared" ca="1" si="8"/>
        <v>-10952.540827740022</v>
      </c>
      <c r="J26" s="53">
        <f t="shared" ca="1" si="8"/>
        <v>-5037.7392575467566</v>
      </c>
      <c r="K26" s="53">
        <f t="shared" ca="1" si="8"/>
        <v>-3982.6705193048965</v>
      </c>
      <c r="L26" s="53">
        <f t="shared" ca="1" si="8"/>
        <v>0</v>
      </c>
      <c r="M26" s="53">
        <f t="shared" ca="1" si="8"/>
        <v>0</v>
      </c>
      <c r="N26" s="53">
        <f t="shared" ca="1" si="8"/>
        <v>0</v>
      </c>
      <c r="O26" s="53">
        <f t="shared" ca="1" si="8"/>
        <v>0</v>
      </c>
      <c r="P26" s="53">
        <f t="shared" ca="1" si="8"/>
        <v>0</v>
      </c>
      <c r="Q26" s="53">
        <f t="shared" ca="1" si="8"/>
        <v>0</v>
      </c>
      <c r="R26" s="53">
        <f t="shared" ca="1" si="8"/>
        <v>0</v>
      </c>
      <c r="S26" s="53">
        <f t="shared" ca="1" si="8"/>
        <v>0</v>
      </c>
      <c r="T26" s="53">
        <f t="shared" ca="1" si="8"/>
        <v>0</v>
      </c>
      <c r="U26" s="53">
        <f t="shared" ca="1" si="8"/>
        <v>0</v>
      </c>
      <c r="V26" s="53">
        <f t="shared" ca="1" si="8"/>
        <v>0</v>
      </c>
      <c r="W26" s="53">
        <f t="shared" ca="1" si="8"/>
        <v>0</v>
      </c>
      <c r="X26" s="53">
        <f t="shared" ca="1" si="8"/>
        <v>0</v>
      </c>
      <c r="Y26" s="420"/>
      <c r="AA26" s="132">
        <f t="shared" si="0"/>
        <v>20</v>
      </c>
    </row>
    <row r="27" spans="1:27" s="8" customFormat="1">
      <c r="A27" s="139" t="str">
        <f>CONCATENATE("NOL Used (Capped @ ",TEXT(Nol,"0%")," Of Current Income)")</f>
        <v>NOL Used (Capped @ 100% Of Current Income)</v>
      </c>
      <c r="D27" s="640">
        <f t="shared" ref="D27:X27" ca="1" si="9">IF(D18&gt;0,-MAX(-D18*Nol,SUM(D25:D26)),0)</f>
        <v>0</v>
      </c>
      <c r="E27" s="640">
        <f t="shared" ca="1" si="9"/>
        <v>0</v>
      </c>
      <c r="F27" s="640">
        <f t="shared" ca="1" si="9"/>
        <v>0</v>
      </c>
      <c r="G27" s="640">
        <f t="shared" ca="1" si="9"/>
        <v>0</v>
      </c>
      <c r="H27" s="640">
        <f t="shared" ca="1" si="9"/>
        <v>0</v>
      </c>
      <c r="I27" s="640">
        <f t="shared" ca="1" si="9"/>
        <v>0</v>
      </c>
      <c r="J27" s="640">
        <f t="shared" ca="1" si="9"/>
        <v>0</v>
      </c>
      <c r="K27" s="640">
        <f t="shared" ca="1" si="9"/>
        <v>1033.9240837486486</v>
      </c>
      <c r="L27" s="640">
        <f t="shared" ca="1" si="9"/>
        <v>3040.0873045083426</v>
      </c>
      <c r="M27" s="640">
        <f t="shared" ca="1" si="9"/>
        <v>4318.1631732992391</v>
      </c>
      <c r="N27" s="640">
        <f t="shared" ca="1" si="9"/>
        <v>6388.4548453563093</v>
      </c>
      <c r="O27" s="640">
        <f t="shared" ca="1" si="9"/>
        <v>7743.8603701243219</v>
      </c>
      <c r="P27" s="640">
        <f t="shared" ca="1" si="9"/>
        <v>15652.901397222948</v>
      </c>
      <c r="Q27" s="640">
        <f t="shared" ca="1" si="9"/>
        <v>0</v>
      </c>
      <c r="R27" s="640">
        <f t="shared" ca="1" si="9"/>
        <v>0</v>
      </c>
      <c r="S27" s="640">
        <f t="shared" ca="1" si="9"/>
        <v>0</v>
      </c>
      <c r="T27" s="640">
        <f t="shared" ca="1" si="9"/>
        <v>0</v>
      </c>
      <c r="U27" s="640">
        <f t="shared" ca="1" si="9"/>
        <v>0</v>
      </c>
      <c r="V27" s="640">
        <f t="shared" ca="1" si="9"/>
        <v>0</v>
      </c>
      <c r="W27" s="640">
        <f t="shared" ca="1" si="9"/>
        <v>0</v>
      </c>
      <c r="X27" s="640">
        <f t="shared" ca="1" si="9"/>
        <v>0</v>
      </c>
      <c r="Y27" s="421"/>
      <c r="AA27" s="132">
        <f t="shared" si="0"/>
        <v>21</v>
      </c>
    </row>
    <row r="28" spans="1:27" s="8" customFormat="1">
      <c r="A28" s="139" t="s">
        <v>623</v>
      </c>
      <c r="D28" s="53">
        <f ca="1">SUM(D25:D27)</f>
        <v>0</v>
      </c>
      <c r="E28" s="53">
        <f t="shared" ref="E28:X28" ca="1" si="10">SUM(E25:E27)</f>
        <v>0</v>
      </c>
      <c r="F28" s="53">
        <f t="shared" ca="1" si="10"/>
        <v>-13.275999937924599</v>
      </c>
      <c r="G28" s="53">
        <f t="shared" ca="1" si="10"/>
        <v>-7725.545773087053</v>
      </c>
      <c r="H28" s="53">
        <f t="shared" ca="1" si="10"/>
        <v>-18204.440569668142</v>
      </c>
      <c r="I28" s="53">
        <f t="shared" ca="1" si="10"/>
        <v>-29156.981397408163</v>
      </c>
      <c r="J28" s="53">
        <f t="shared" ca="1" si="10"/>
        <v>-34194.720654954916</v>
      </c>
      <c r="K28" s="53">
        <f t="shared" ca="1" si="10"/>
        <v>-37143.467090511163</v>
      </c>
      <c r="L28" s="53">
        <f t="shared" ca="1" si="10"/>
        <v>-34103.379786002821</v>
      </c>
      <c r="M28" s="53">
        <f t="shared" ca="1" si="10"/>
        <v>-29785.216612703582</v>
      </c>
      <c r="N28" s="53">
        <f t="shared" ca="1" si="10"/>
        <v>-23396.761767347271</v>
      </c>
      <c r="O28" s="53">
        <f t="shared" ca="1" si="10"/>
        <v>-15652.901397222948</v>
      </c>
      <c r="P28" s="53">
        <f t="shared" ca="1" si="10"/>
        <v>0</v>
      </c>
      <c r="Q28" s="53">
        <f t="shared" ca="1" si="10"/>
        <v>0</v>
      </c>
      <c r="R28" s="53">
        <f t="shared" ca="1" si="10"/>
        <v>0</v>
      </c>
      <c r="S28" s="53">
        <f t="shared" ca="1" si="10"/>
        <v>0</v>
      </c>
      <c r="T28" s="53">
        <f t="shared" ca="1" si="10"/>
        <v>0</v>
      </c>
      <c r="U28" s="53">
        <f t="shared" ca="1" si="10"/>
        <v>0</v>
      </c>
      <c r="V28" s="53">
        <f t="shared" ca="1" si="10"/>
        <v>0</v>
      </c>
      <c r="W28" s="53">
        <f t="shared" ca="1" si="10"/>
        <v>0</v>
      </c>
      <c r="X28" s="53">
        <f t="shared" ca="1" si="10"/>
        <v>0</v>
      </c>
      <c r="Y28" s="420"/>
      <c r="AA28" s="132">
        <f t="shared" si="0"/>
        <v>22</v>
      </c>
    </row>
    <row r="29" spans="1:27">
      <c r="A29" s="74"/>
      <c r="B29" s="8"/>
      <c r="C29" s="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460"/>
      <c r="AA29" s="132">
        <f t="shared" si="0"/>
        <v>23</v>
      </c>
    </row>
    <row r="30" spans="1:27">
      <c r="A30" s="404" t="s">
        <v>367</v>
      </c>
      <c r="B30" s="10"/>
      <c r="C30" s="10"/>
      <c r="D30" s="112">
        <f t="shared" ref="D30:X30" ca="1" si="11">IF(D22&lt;=0,0,D22/D20)</f>
        <v>0</v>
      </c>
      <c r="E30" s="112">
        <f t="shared" ca="1" si="11"/>
        <v>0</v>
      </c>
      <c r="F30" s="112">
        <f t="shared" ca="1" si="11"/>
        <v>0</v>
      </c>
      <c r="G30" s="112">
        <f t="shared" ca="1" si="11"/>
        <v>0</v>
      </c>
      <c r="H30" s="112">
        <f t="shared" ca="1" si="11"/>
        <v>0</v>
      </c>
      <c r="I30" s="112">
        <f t="shared" ca="1" si="11"/>
        <v>0</v>
      </c>
      <c r="J30" s="112">
        <f t="shared" ca="1" si="11"/>
        <v>0</v>
      </c>
      <c r="K30" s="112">
        <f t="shared" ca="1" si="11"/>
        <v>0</v>
      </c>
      <c r="L30" s="112">
        <f t="shared" ca="1" si="11"/>
        <v>0</v>
      </c>
      <c r="M30" s="112">
        <f t="shared" ca="1" si="11"/>
        <v>0</v>
      </c>
      <c r="N30" s="112">
        <f t="shared" ca="1" si="11"/>
        <v>0</v>
      </c>
      <c r="O30" s="112">
        <f t="shared" ca="1" si="11"/>
        <v>0</v>
      </c>
      <c r="P30" s="112">
        <f t="shared" ca="1" si="11"/>
        <v>0.25</v>
      </c>
      <c r="Q30" s="112">
        <f t="shared" ca="1" si="11"/>
        <v>0.25</v>
      </c>
      <c r="R30" s="112">
        <f t="shared" ca="1" si="11"/>
        <v>0.25</v>
      </c>
      <c r="S30" s="112">
        <f t="shared" ca="1" si="11"/>
        <v>0.25</v>
      </c>
      <c r="T30" s="112">
        <f t="shared" ca="1" si="11"/>
        <v>0.25</v>
      </c>
      <c r="U30" s="112">
        <f t="shared" ca="1" si="11"/>
        <v>0.25</v>
      </c>
      <c r="V30" s="112">
        <f t="shared" ca="1" si="11"/>
        <v>0.25</v>
      </c>
      <c r="W30" s="112">
        <f t="shared" ca="1" si="11"/>
        <v>0.25</v>
      </c>
      <c r="X30" s="112">
        <f t="shared" ca="1" si="11"/>
        <v>0.25</v>
      </c>
      <c r="Y30" s="418"/>
      <c r="AA30" s="132">
        <f t="shared" si="0"/>
        <v>24</v>
      </c>
    </row>
    <row r="31" spans="1:27">
      <c r="A31" s="139"/>
      <c r="B31" s="8"/>
      <c r="C31" s="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554"/>
      <c r="AA31" s="132">
        <f t="shared" si="0"/>
        <v>25</v>
      </c>
    </row>
    <row r="32" spans="1:27" s="8" customFormat="1">
      <c r="A32" s="146" t="s">
        <v>459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460"/>
      <c r="AA32" s="132">
        <f t="shared" si="0"/>
        <v>26</v>
      </c>
    </row>
    <row r="33" spans="1:27">
      <c r="A33" s="74" t="s">
        <v>625</v>
      </c>
      <c r="B33" s="8"/>
      <c r="C33" s="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460"/>
      <c r="AA33" s="132">
        <f t="shared" si="0"/>
        <v>27</v>
      </c>
    </row>
    <row r="34" spans="1:27">
      <c r="A34" s="139" t="s">
        <v>213</v>
      </c>
      <c r="B34" s="8"/>
      <c r="C34" s="8"/>
      <c r="D34" s="53">
        <f ca="1">CF!E18</f>
        <v>0</v>
      </c>
      <c r="E34" s="53">
        <f ca="1">CF!F18</f>
        <v>0</v>
      </c>
      <c r="F34" s="53">
        <f ca="1">CF!G18</f>
        <v>14282.925136278027</v>
      </c>
      <c r="G34" s="53">
        <f ca="1">CF!H18</f>
        <v>24055.05101070087</v>
      </c>
      <c r="H34" s="53">
        <f ca="1">CF!I18</f>
        <v>24793.36661323718</v>
      </c>
      <c r="I34" s="53">
        <f ca="1">CF!J18</f>
        <v>25593.329628871357</v>
      </c>
      <c r="J34" s="53">
        <f ca="1">CF!K18</f>
        <v>26258.924245431124</v>
      </c>
      <c r="K34" s="53">
        <f ca="1">CF!L18</f>
        <v>26998.838079134002</v>
      </c>
      <c r="L34" s="53">
        <f ca="1">CF!M18</f>
        <v>27742.812098795694</v>
      </c>
      <c r="M34" s="53">
        <f ca="1">CF!N18</f>
        <v>28566.99450136954</v>
      </c>
      <c r="N34" s="53">
        <f ca="1">CF!O18</f>
        <v>29243.222568026747</v>
      </c>
      <c r="O34" s="53">
        <f ca="1">CF!P18</f>
        <v>30002.951649161452</v>
      </c>
      <c r="P34" s="53">
        <f ca="1">CF!Q18</f>
        <v>30770.855661206879</v>
      </c>
      <c r="Q34" s="53">
        <f ca="1">CF!R18</f>
        <v>31634.35592757594</v>
      </c>
      <c r="R34" s="53">
        <f ca="1">CF!S18</f>
        <v>32342.551229746583</v>
      </c>
      <c r="S34" s="53">
        <f ca="1">CF!T18</f>
        <v>33158.156039656191</v>
      </c>
      <c r="T34" s="53">
        <f ca="1">CF!U18</f>
        <v>34004.389875094806</v>
      </c>
      <c r="U34" s="53">
        <f ca="1">CF!V18</f>
        <v>34980.252818087909</v>
      </c>
      <c r="V34" s="53">
        <f ca="1">CF!W18</f>
        <v>35807.909346175526</v>
      </c>
      <c r="W34" s="53">
        <f ca="1">CF!X18</f>
        <v>36770.404189155677</v>
      </c>
      <c r="X34" s="53">
        <f ca="1">CF!Y18</f>
        <v>12194.385801560777</v>
      </c>
      <c r="Y34" s="420">
        <f ca="1">SUM(D34:X34)</f>
        <v>539201.67641926638</v>
      </c>
      <c r="AA34" s="132">
        <f t="shared" si="0"/>
        <v>28</v>
      </c>
    </row>
    <row r="35" spans="1:27">
      <c r="A35" s="139" t="s">
        <v>214</v>
      </c>
      <c r="B35" s="8"/>
      <c r="C35" s="8"/>
      <c r="D35" s="36">
        <f>Sirese_Tax</f>
        <v>0.01</v>
      </c>
      <c r="E35" s="36">
        <f t="shared" ref="E35:X35" si="12">Sirese_Tax</f>
        <v>0.01</v>
      </c>
      <c r="F35" s="36">
        <f t="shared" si="12"/>
        <v>0.01</v>
      </c>
      <c r="G35" s="36">
        <f t="shared" si="12"/>
        <v>0.01</v>
      </c>
      <c r="H35" s="36">
        <f t="shared" si="12"/>
        <v>0.01</v>
      </c>
      <c r="I35" s="36">
        <f t="shared" si="12"/>
        <v>0.01</v>
      </c>
      <c r="J35" s="36">
        <f t="shared" si="12"/>
        <v>0.01</v>
      </c>
      <c r="K35" s="36">
        <f t="shared" si="12"/>
        <v>0.01</v>
      </c>
      <c r="L35" s="36">
        <f t="shared" si="12"/>
        <v>0.01</v>
      </c>
      <c r="M35" s="36">
        <f t="shared" si="12"/>
        <v>0.01</v>
      </c>
      <c r="N35" s="36">
        <f t="shared" si="12"/>
        <v>0.01</v>
      </c>
      <c r="O35" s="36">
        <f t="shared" si="12"/>
        <v>0.01</v>
      </c>
      <c r="P35" s="36">
        <f t="shared" si="12"/>
        <v>0.01</v>
      </c>
      <c r="Q35" s="36">
        <f t="shared" si="12"/>
        <v>0.01</v>
      </c>
      <c r="R35" s="36">
        <f t="shared" si="12"/>
        <v>0.01</v>
      </c>
      <c r="S35" s="36">
        <f t="shared" si="12"/>
        <v>0.01</v>
      </c>
      <c r="T35" s="36">
        <f t="shared" si="12"/>
        <v>0.01</v>
      </c>
      <c r="U35" s="36">
        <f t="shared" si="12"/>
        <v>0.01</v>
      </c>
      <c r="V35" s="36">
        <f t="shared" si="12"/>
        <v>0.01</v>
      </c>
      <c r="W35" s="36">
        <f t="shared" si="12"/>
        <v>0.01</v>
      </c>
      <c r="X35" s="36">
        <f t="shared" si="12"/>
        <v>0.01</v>
      </c>
      <c r="Y35" s="552"/>
      <c r="AA35" s="132">
        <f t="shared" si="0"/>
        <v>29</v>
      </c>
    </row>
    <row r="36" spans="1:27">
      <c r="A36" s="139" t="s">
        <v>215</v>
      </c>
      <c r="B36" s="8"/>
      <c r="C36" s="8"/>
      <c r="D36" s="53">
        <f ca="1">D34*D35</f>
        <v>0</v>
      </c>
      <c r="E36" s="53">
        <f t="shared" ref="E36:U36" ca="1" si="13">E34*E35</f>
        <v>0</v>
      </c>
      <c r="F36" s="53">
        <f t="shared" ca="1" si="13"/>
        <v>142.82925136278027</v>
      </c>
      <c r="G36" s="53">
        <f ca="1">G34*G35</f>
        <v>240.55051010700871</v>
      </c>
      <c r="H36" s="53">
        <f t="shared" ca="1" si="13"/>
        <v>247.9336661323718</v>
      </c>
      <c r="I36" s="53">
        <f t="shared" ca="1" si="13"/>
        <v>255.93329628871359</v>
      </c>
      <c r="J36" s="53">
        <f t="shared" ca="1" si="13"/>
        <v>262.58924245431126</v>
      </c>
      <c r="K36" s="53">
        <f t="shared" ca="1" si="13"/>
        <v>269.98838079134003</v>
      </c>
      <c r="L36" s="53">
        <f t="shared" ca="1" si="13"/>
        <v>277.42812098795696</v>
      </c>
      <c r="M36" s="53">
        <f t="shared" ca="1" si="13"/>
        <v>285.66994501369538</v>
      </c>
      <c r="N36" s="53">
        <f t="shared" ca="1" si="13"/>
        <v>292.43222568026749</v>
      </c>
      <c r="O36" s="53">
        <f t="shared" ca="1" si="13"/>
        <v>300.02951649161452</v>
      </c>
      <c r="P36" s="53">
        <f t="shared" ca="1" si="13"/>
        <v>307.70855661206878</v>
      </c>
      <c r="Q36" s="53">
        <f t="shared" ca="1" si="13"/>
        <v>316.34355927575939</v>
      </c>
      <c r="R36" s="53">
        <f t="shared" ca="1" si="13"/>
        <v>323.42551229746584</v>
      </c>
      <c r="S36" s="53">
        <f t="shared" ca="1" si="13"/>
        <v>331.58156039656194</v>
      </c>
      <c r="T36" s="53">
        <f t="shared" ca="1" si="13"/>
        <v>340.04389875094807</v>
      </c>
      <c r="U36" s="53">
        <f t="shared" ca="1" si="13"/>
        <v>349.80252818087911</v>
      </c>
      <c r="V36" s="53">
        <f ca="1">V34*V35</f>
        <v>358.07909346175524</v>
      </c>
      <c r="W36" s="53">
        <f ca="1">W34*W35</f>
        <v>367.70404189155676</v>
      </c>
      <c r="X36" s="53">
        <f ca="1">X34*X35</f>
        <v>121.94385801560777</v>
      </c>
      <c r="Y36" s="420">
        <f ca="1">SUM(D36:X36)</f>
        <v>5392.0167641926628</v>
      </c>
      <c r="AA36" s="132">
        <f t="shared" si="0"/>
        <v>30</v>
      </c>
    </row>
    <row r="37" spans="1:27">
      <c r="A37" s="139"/>
      <c r="B37" s="8"/>
      <c r="C37" s="8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460"/>
      <c r="AA37" s="132">
        <f t="shared" si="0"/>
        <v>31</v>
      </c>
    </row>
    <row r="38" spans="1:27">
      <c r="A38" s="74" t="s">
        <v>626</v>
      </c>
      <c r="B38" s="8"/>
      <c r="C38" s="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460"/>
      <c r="AA38" s="132">
        <f t="shared" si="0"/>
        <v>32</v>
      </c>
    </row>
    <row r="39" spans="1:27">
      <c r="A39" s="139" t="s">
        <v>213</v>
      </c>
      <c r="B39" s="8"/>
      <c r="C39" s="8"/>
      <c r="D39" s="53">
        <f ca="1">CF!E18</f>
        <v>0</v>
      </c>
      <c r="E39" s="53">
        <f ca="1">CF!F18</f>
        <v>0</v>
      </c>
      <c r="F39" s="53">
        <f ca="1">CF!G18</f>
        <v>14282.925136278027</v>
      </c>
      <c r="G39" s="53">
        <f ca="1">CF!H18</f>
        <v>24055.05101070087</v>
      </c>
      <c r="H39" s="53">
        <f ca="1">CF!I18</f>
        <v>24793.36661323718</v>
      </c>
      <c r="I39" s="53">
        <f ca="1">CF!J18</f>
        <v>25593.329628871357</v>
      </c>
      <c r="J39" s="53">
        <f ca="1">CF!K18</f>
        <v>26258.924245431124</v>
      </c>
      <c r="K39" s="53">
        <f ca="1">CF!L18</f>
        <v>26998.838079134002</v>
      </c>
      <c r="L39" s="53">
        <f ca="1">CF!M18</f>
        <v>27742.812098795694</v>
      </c>
      <c r="M39" s="53">
        <f ca="1">CF!N18</f>
        <v>28566.99450136954</v>
      </c>
      <c r="N39" s="53">
        <f ca="1">CF!O18</f>
        <v>29243.222568026747</v>
      </c>
      <c r="O39" s="53">
        <f ca="1">CF!P18</f>
        <v>30002.951649161452</v>
      </c>
      <c r="P39" s="53">
        <f ca="1">CF!Q18</f>
        <v>30770.855661206879</v>
      </c>
      <c r="Q39" s="53">
        <f ca="1">CF!R18</f>
        <v>31634.35592757594</v>
      </c>
      <c r="R39" s="53">
        <f ca="1">CF!S18</f>
        <v>32342.551229746583</v>
      </c>
      <c r="S39" s="53">
        <f ca="1">CF!T18</f>
        <v>33158.156039656191</v>
      </c>
      <c r="T39" s="53">
        <f ca="1">CF!U18</f>
        <v>34004.389875094806</v>
      </c>
      <c r="U39" s="53">
        <f ca="1">CF!V18</f>
        <v>34980.252818087909</v>
      </c>
      <c r="V39" s="53">
        <f ca="1">CF!W18</f>
        <v>35807.909346175526</v>
      </c>
      <c r="W39" s="53">
        <f ca="1">CF!X18</f>
        <v>36770.404189155677</v>
      </c>
      <c r="X39" s="53">
        <f ca="1">CF!Y18</f>
        <v>12194.385801560777</v>
      </c>
      <c r="Y39" s="420">
        <f ca="1">SUM(D39:X39)</f>
        <v>539201.67641926638</v>
      </c>
      <c r="AA39" s="132">
        <f t="shared" si="0"/>
        <v>33</v>
      </c>
    </row>
    <row r="40" spans="1:27">
      <c r="A40" s="139" t="s">
        <v>216</v>
      </c>
      <c r="B40" s="8"/>
      <c r="C40" s="8"/>
      <c r="D40" s="37">
        <f>Trans_Tax</f>
        <v>0.03</v>
      </c>
      <c r="E40" s="37">
        <f t="shared" ref="E40:X40" si="14">Trans_Tax</f>
        <v>0.03</v>
      </c>
      <c r="F40" s="37">
        <f t="shared" si="14"/>
        <v>0.03</v>
      </c>
      <c r="G40" s="37">
        <f t="shared" si="14"/>
        <v>0.03</v>
      </c>
      <c r="H40" s="37">
        <f t="shared" si="14"/>
        <v>0.03</v>
      </c>
      <c r="I40" s="37">
        <f t="shared" si="14"/>
        <v>0.03</v>
      </c>
      <c r="J40" s="37">
        <f t="shared" si="14"/>
        <v>0.03</v>
      </c>
      <c r="K40" s="37">
        <f t="shared" si="14"/>
        <v>0.03</v>
      </c>
      <c r="L40" s="37">
        <f t="shared" si="14"/>
        <v>0.03</v>
      </c>
      <c r="M40" s="37">
        <f t="shared" si="14"/>
        <v>0.03</v>
      </c>
      <c r="N40" s="37">
        <f t="shared" si="14"/>
        <v>0.03</v>
      </c>
      <c r="O40" s="37">
        <f t="shared" si="14"/>
        <v>0.03</v>
      </c>
      <c r="P40" s="37">
        <f t="shared" si="14"/>
        <v>0.03</v>
      </c>
      <c r="Q40" s="37">
        <f t="shared" si="14"/>
        <v>0.03</v>
      </c>
      <c r="R40" s="37">
        <f t="shared" si="14"/>
        <v>0.03</v>
      </c>
      <c r="S40" s="37">
        <f t="shared" si="14"/>
        <v>0.03</v>
      </c>
      <c r="T40" s="37">
        <f t="shared" si="14"/>
        <v>0.03</v>
      </c>
      <c r="U40" s="37">
        <f t="shared" si="14"/>
        <v>0.03</v>
      </c>
      <c r="V40" s="37">
        <f t="shared" si="14"/>
        <v>0.03</v>
      </c>
      <c r="W40" s="37">
        <f t="shared" si="14"/>
        <v>0.03</v>
      </c>
      <c r="X40" s="37">
        <f t="shared" si="14"/>
        <v>0.03</v>
      </c>
      <c r="Y40" s="552"/>
      <c r="AA40" s="132">
        <f t="shared" si="0"/>
        <v>34</v>
      </c>
    </row>
    <row r="41" spans="1:27">
      <c r="A41" s="139" t="s">
        <v>217</v>
      </c>
      <c r="B41" s="8"/>
      <c r="C41" s="8"/>
      <c r="D41" s="53">
        <f t="shared" ref="D41:U41" ca="1" si="15">D39*D40</f>
        <v>0</v>
      </c>
      <c r="E41" s="53">
        <f t="shared" ca="1" si="15"/>
        <v>0</v>
      </c>
      <c r="F41" s="53">
        <f t="shared" ca="1" si="15"/>
        <v>428.48775408834081</v>
      </c>
      <c r="G41" s="53">
        <f t="shared" ca="1" si="15"/>
        <v>721.65153032102603</v>
      </c>
      <c r="H41" s="53">
        <f t="shared" ca="1" si="15"/>
        <v>743.80099839711534</v>
      </c>
      <c r="I41" s="53">
        <f t="shared" ca="1" si="15"/>
        <v>767.79988886614069</v>
      </c>
      <c r="J41" s="53">
        <f t="shared" ca="1" si="15"/>
        <v>787.76772736293367</v>
      </c>
      <c r="K41" s="53">
        <f t="shared" ca="1" si="15"/>
        <v>809.96514237402005</v>
      </c>
      <c r="L41" s="53">
        <f t="shared" ca="1" si="15"/>
        <v>832.28436296387076</v>
      </c>
      <c r="M41" s="53">
        <f t="shared" ca="1" si="15"/>
        <v>857.00983504108615</v>
      </c>
      <c r="N41" s="53">
        <f t="shared" ca="1" si="15"/>
        <v>877.29667704080236</v>
      </c>
      <c r="O41" s="53">
        <f t="shared" ca="1" si="15"/>
        <v>900.08854947484349</v>
      </c>
      <c r="P41" s="53">
        <f t="shared" ca="1" si="15"/>
        <v>923.12566983620627</v>
      </c>
      <c r="Q41" s="53">
        <f t="shared" ca="1" si="15"/>
        <v>949.03067782727817</v>
      </c>
      <c r="R41" s="53">
        <f t="shared" ca="1" si="15"/>
        <v>970.27653689239742</v>
      </c>
      <c r="S41" s="53">
        <f t="shared" ca="1" si="15"/>
        <v>994.74468118968571</v>
      </c>
      <c r="T41" s="53">
        <f t="shared" ca="1" si="15"/>
        <v>1020.1316962528441</v>
      </c>
      <c r="U41" s="53">
        <f t="shared" ca="1" si="15"/>
        <v>1049.4075845426373</v>
      </c>
      <c r="V41" s="53">
        <f ca="1">V39*V40</f>
        <v>1074.2372803852656</v>
      </c>
      <c r="W41" s="53">
        <f ca="1">W39*W40</f>
        <v>1103.1121256746703</v>
      </c>
      <c r="X41" s="53">
        <f ca="1">X39*X40</f>
        <v>365.83157404682328</v>
      </c>
      <c r="Y41" s="420">
        <f ca="1">SUM(D41:X41)</f>
        <v>16176.050292577987</v>
      </c>
      <c r="AA41" s="132">
        <f t="shared" si="0"/>
        <v>35</v>
      </c>
    </row>
    <row r="42" spans="1:27">
      <c r="A42" s="139"/>
      <c r="B42" s="8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460"/>
      <c r="AA42" s="132">
        <f t="shared" si="0"/>
        <v>36</v>
      </c>
    </row>
    <row r="43" spans="1:27">
      <c r="A43" s="139" t="s">
        <v>218</v>
      </c>
      <c r="B43" s="8"/>
      <c r="C43" s="8"/>
      <c r="D43" s="53">
        <f ca="1">D41</f>
        <v>0</v>
      </c>
      <c r="E43" s="53">
        <f t="shared" ref="E43:U43" ca="1" si="16">E41</f>
        <v>0</v>
      </c>
      <c r="F43" s="53">
        <f t="shared" ca="1" si="16"/>
        <v>428.48775408834081</v>
      </c>
      <c r="G43" s="53">
        <f t="shared" ca="1" si="16"/>
        <v>721.65153032102603</v>
      </c>
      <c r="H43" s="53">
        <f t="shared" ca="1" si="16"/>
        <v>743.80099839711534</v>
      </c>
      <c r="I43" s="53">
        <f t="shared" ca="1" si="16"/>
        <v>767.79988886614069</v>
      </c>
      <c r="J43" s="53">
        <f t="shared" ca="1" si="16"/>
        <v>787.76772736293367</v>
      </c>
      <c r="K43" s="53">
        <f t="shared" ca="1" si="16"/>
        <v>809.96514237402005</v>
      </c>
      <c r="L43" s="53">
        <f t="shared" ca="1" si="16"/>
        <v>832.28436296387076</v>
      </c>
      <c r="M43" s="53">
        <f t="shared" ca="1" si="16"/>
        <v>857.00983504108615</v>
      </c>
      <c r="N43" s="53">
        <f t="shared" ca="1" si="16"/>
        <v>877.29667704080236</v>
      </c>
      <c r="O43" s="53">
        <f t="shared" ca="1" si="16"/>
        <v>900.08854947484349</v>
      </c>
      <c r="P43" s="53">
        <f t="shared" ca="1" si="16"/>
        <v>923.12566983620627</v>
      </c>
      <c r="Q43" s="53">
        <f t="shared" ca="1" si="16"/>
        <v>949.03067782727817</v>
      </c>
      <c r="R43" s="53">
        <f t="shared" ca="1" si="16"/>
        <v>970.27653689239742</v>
      </c>
      <c r="S43" s="53">
        <f t="shared" ca="1" si="16"/>
        <v>994.74468118968571</v>
      </c>
      <c r="T43" s="53">
        <f t="shared" ca="1" si="16"/>
        <v>1020.1316962528441</v>
      </c>
      <c r="U43" s="53">
        <f t="shared" ca="1" si="16"/>
        <v>1049.4075845426373</v>
      </c>
      <c r="V43" s="53">
        <f ca="1">V41</f>
        <v>1074.2372803852656</v>
      </c>
      <c r="W43" s="53">
        <f ca="1">W41</f>
        <v>1103.1121256746703</v>
      </c>
      <c r="X43" s="53">
        <f ca="1">X41</f>
        <v>365.83157404682328</v>
      </c>
      <c r="Y43" s="420">
        <f ca="1">SUM(D43:X43)</f>
        <v>16176.050292577987</v>
      </c>
      <c r="AA43" s="132">
        <f t="shared" si="0"/>
        <v>37</v>
      </c>
    </row>
    <row r="44" spans="1:27">
      <c r="A44" s="139" t="s">
        <v>627</v>
      </c>
      <c r="B44" s="8"/>
      <c r="C44" s="8"/>
      <c r="D44" s="53">
        <f>C22</f>
        <v>0</v>
      </c>
      <c r="E44" s="53">
        <f t="shared" ref="E44:X44" ca="1" si="17">D22</f>
        <v>0</v>
      </c>
      <c r="F44" s="53">
        <f t="shared" ca="1" si="17"/>
        <v>0</v>
      </c>
      <c r="G44" s="53">
        <f t="shared" ca="1" si="17"/>
        <v>0</v>
      </c>
      <c r="H44" s="53">
        <f t="shared" ca="1" si="17"/>
        <v>0</v>
      </c>
      <c r="I44" s="53">
        <f t="shared" ca="1" si="17"/>
        <v>0</v>
      </c>
      <c r="J44" s="53">
        <f t="shared" ca="1" si="17"/>
        <v>0</v>
      </c>
      <c r="K44" s="53">
        <f t="shared" ca="1" si="17"/>
        <v>0</v>
      </c>
      <c r="L44" s="53">
        <f t="shared" ca="1" si="17"/>
        <v>0</v>
      </c>
      <c r="M44" s="53">
        <f t="shared" ca="1" si="17"/>
        <v>0</v>
      </c>
      <c r="N44" s="53">
        <f t="shared" ca="1" si="17"/>
        <v>0</v>
      </c>
      <c r="O44" s="53">
        <f t="shared" ca="1" si="17"/>
        <v>0</v>
      </c>
      <c r="P44" s="53">
        <f t="shared" ca="1" si="17"/>
        <v>0</v>
      </c>
      <c r="Q44" s="53">
        <f t="shared" ca="1" si="17"/>
        <v>1444.7910322207226</v>
      </c>
      <c r="R44" s="53">
        <f t="shared" ca="1" si="17"/>
        <v>6622.3010325317155</v>
      </c>
      <c r="S44" s="53">
        <f t="shared" ca="1" si="17"/>
        <v>6455.8562327545715</v>
      </c>
      <c r="T44" s="53">
        <f t="shared" ca="1" si="17"/>
        <v>7317.7903051127032</v>
      </c>
      <c r="U44" s="53">
        <f t="shared" ca="1" si="17"/>
        <v>7763.8740257395248</v>
      </c>
      <c r="V44" s="53">
        <f t="shared" ca="1" si="17"/>
        <v>8076.5207199335864</v>
      </c>
      <c r="W44" s="53">
        <f t="shared" ca="1" si="17"/>
        <v>8345.4534025752746</v>
      </c>
      <c r="X44" s="53">
        <f t="shared" ca="1" si="17"/>
        <v>8636.9260093069097</v>
      </c>
      <c r="Y44" s="420">
        <f ca="1">SUM(D44:X44)</f>
        <v>54663.512760175006</v>
      </c>
      <c r="AA44" s="132">
        <f t="shared" si="0"/>
        <v>38</v>
      </c>
    </row>
    <row r="45" spans="1:27">
      <c r="A45" s="139"/>
      <c r="B45" s="8"/>
      <c r="C45" s="8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460"/>
      <c r="AA45" s="132">
        <f t="shared" si="0"/>
        <v>39</v>
      </c>
    </row>
    <row r="46" spans="1:27">
      <c r="A46" s="404" t="s">
        <v>628</v>
      </c>
      <c r="B46" s="10"/>
      <c r="C46" s="10"/>
      <c r="D46" s="64">
        <f ca="1">IF(D43-D44&gt;0,D43-D44,0)</f>
        <v>0</v>
      </c>
      <c r="E46" s="64">
        <f t="shared" ref="E46:X46" ca="1" si="18">IF(E43-E44&gt;0,E43-E44,0)</f>
        <v>0</v>
      </c>
      <c r="F46" s="64">
        <f t="shared" ca="1" si="18"/>
        <v>428.48775408834081</v>
      </c>
      <c r="G46" s="64">
        <f t="shared" ca="1" si="18"/>
        <v>721.65153032102603</v>
      </c>
      <c r="H46" s="64">
        <f t="shared" ca="1" si="18"/>
        <v>743.80099839711534</v>
      </c>
      <c r="I46" s="64">
        <f t="shared" ca="1" si="18"/>
        <v>767.79988886614069</v>
      </c>
      <c r="J46" s="64">
        <f t="shared" ca="1" si="18"/>
        <v>787.76772736293367</v>
      </c>
      <c r="K46" s="64">
        <f t="shared" ca="1" si="18"/>
        <v>809.96514237402005</v>
      </c>
      <c r="L46" s="64">
        <f t="shared" ca="1" si="18"/>
        <v>832.28436296387076</v>
      </c>
      <c r="M46" s="64">
        <f t="shared" ca="1" si="18"/>
        <v>857.00983504108615</v>
      </c>
      <c r="N46" s="64">
        <f t="shared" ca="1" si="18"/>
        <v>877.29667704080236</v>
      </c>
      <c r="O46" s="64">
        <f t="shared" ca="1" si="18"/>
        <v>900.08854947484349</v>
      </c>
      <c r="P46" s="64">
        <f t="shared" ca="1" si="18"/>
        <v>923.12566983620627</v>
      </c>
      <c r="Q46" s="64">
        <f t="shared" ca="1" si="18"/>
        <v>0</v>
      </c>
      <c r="R46" s="64">
        <f t="shared" ca="1" si="18"/>
        <v>0</v>
      </c>
      <c r="S46" s="64">
        <f t="shared" ca="1" si="18"/>
        <v>0</v>
      </c>
      <c r="T46" s="64">
        <f t="shared" ca="1" si="18"/>
        <v>0</v>
      </c>
      <c r="U46" s="64">
        <f t="shared" ca="1" si="18"/>
        <v>0</v>
      </c>
      <c r="V46" s="64">
        <f t="shared" ca="1" si="18"/>
        <v>0</v>
      </c>
      <c r="W46" s="64">
        <f t="shared" ca="1" si="18"/>
        <v>0</v>
      </c>
      <c r="X46" s="64">
        <f t="shared" ca="1" si="18"/>
        <v>0</v>
      </c>
      <c r="Y46" s="483">
        <f ca="1">SUM(D46:X46)</f>
        <v>8649.2781357663862</v>
      </c>
      <c r="AA46" s="132">
        <f t="shared" si="0"/>
        <v>40</v>
      </c>
    </row>
    <row r="47" spans="1:27">
      <c r="A47" s="74"/>
      <c r="B47" s="32"/>
      <c r="C47" s="8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555"/>
      <c r="AA47" s="132">
        <f t="shared" si="0"/>
        <v>41</v>
      </c>
    </row>
    <row r="48" spans="1:27" s="8" customFormat="1">
      <c r="A48" s="146" t="s">
        <v>219</v>
      </c>
      <c r="B48" s="32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555"/>
      <c r="AA48" s="132">
        <f t="shared" si="0"/>
        <v>42</v>
      </c>
    </row>
    <row r="49" spans="1:27">
      <c r="A49" s="549" t="s">
        <v>157</v>
      </c>
      <c r="B49" s="8"/>
      <c r="C49" s="8"/>
      <c r="D49" s="53">
        <f ca="1">CF!E54</f>
        <v>0</v>
      </c>
      <c r="E49" s="53">
        <f ca="1">CF!F54</f>
        <v>-13.275999937924599</v>
      </c>
      <c r="F49" s="53">
        <f ca="1">CF!G54</f>
        <v>-1837.5089814171436</v>
      </c>
      <c r="G49" s="53">
        <f ca="1">CF!H54</f>
        <v>-3586.4806004974644</v>
      </c>
      <c r="H49" s="53">
        <f ca="1">CF!I54</f>
        <v>-4045.2545041057861</v>
      </c>
      <c r="I49" s="53">
        <f ca="1">CF!J54</f>
        <v>1886.4154049585682</v>
      </c>
      <c r="J49" s="53">
        <f ca="1">CF!K54</f>
        <v>2960.6166348564902</v>
      </c>
      <c r="K49" s="53">
        <f ca="1">CF!L54</f>
        <v>7998.9117882586324</v>
      </c>
      <c r="L49" s="53">
        <f ca="1">CF!M54</f>
        <v>10029.688315737463</v>
      </c>
      <c r="M49" s="53">
        <f ca="1">CF!N54</f>
        <v>11335.681212341873</v>
      </c>
      <c r="N49" s="53">
        <f ca="1">CF!O54</f>
        <v>13437.637075270726</v>
      </c>
      <c r="O49" s="53">
        <f ca="1">CF!P54</f>
        <v>14828.956916930285</v>
      </c>
      <c r="P49" s="53">
        <f ca="1">CF!Q54</f>
        <v>16540.398064270717</v>
      </c>
      <c r="Q49" s="53">
        <f ca="1">CF!R54</f>
        <v>19240.239443534898</v>
      </c>
      <c r="R49" s="53">
        <f ca="1">CF!S54</f>
        <v>18612.925576187834</v>
      </c>
      <c r="S49" s="53">
        <f ca="1">CF!T54</f>
        <v>22060.661865620361</v>
      </c>
      <c r="T49" s="53">
        <f ca="1">CF!U54</f>
        <v>23844.996748127647</v>
      </c>
      <c r="U49" s="53">
        <f ca="1">CF!V54</f>
        <v>25095.583524903894</v>
      </c>
      <c r="V49" s="53">
        <f ca="1">CF!W54</f>
        <v>26171.314255470646</v>
      </c>
      <c r="W49" s="53">
        <f ca="1">CF!X54</f>
        <v>27337.204682397187</v>
      </c>
      <c r="X49" s="53">
        <f ca="1">CF!Y54</f>
        <v>9125.2921699518593</v>
      </c>
      <c r="Y49" s="420">
        <f ca="1">SUM(D49:X49)</f>
        <v>241024.00359286077</v>
      </c>
      <c r="AA49" s="132">
        <f t="shared" si="0"/>
        <v>43</v>
      </c>
    </row>
    <row r="50" spans="1:27">
      <c r="A50" s="139" t="s">
        <v>131</v>
      </c>
      <c r="B50" s="32"/>
      <c r="C50" s="8"/>
      <c r="D50" s="53">
        <f t="shared" ref="D50:U50" si="19">IF(C49&lt;0,C49,0)+C50-C51</f>
        <v>0</v>
      </c>
      <c r="E50" s="53">
        <f t="shared" ca="1" si="19"/>
        <v>0</v>
      </c>
      <c r="F50" s="53">
        <f t="shared" ca="1" si="19"/>
        <v>-13.275999937924599</v>
      </c>
      <c r="G50" s="53">
        <f t="shared" ca="1" si="19"/>
        <v>-1850.7849813550681</v>
      </c>
      <c r="H50" s="53">
        <f t="shared" ca="1" si="19"/>
        <v>-5437.2655818525327</v>
      </c>
      <c r="I50" s="53">
        <f t="shared" ca="1" si="19"/>
        <v>-9482.5200859583183</v>
      </c>
      <c r="J50" s="53">
        <f t="shared" ca="1" si="19"/>
        <v>-7596.1046809997497</v>
      </c>
      <c r="K50" s="53">
        <f t="shared" ca="1" si="19"/>
        <v>-4635.4880461432595</v>
      </c>
      <c r="L50" s="53">
        <f t="shared" ca="1" si="19"/>
        <v>0</v>
      </c>
      <c r="M50" s="53">
        <f t="shared" ca="1" si="19"/>
        <v>0</v>
      </c>
      <c r="N50" s="53">
        <f t="shared" ca="1" si="19"/>
        <v>0</v>
      </c>
      <c r="O50" s="53">
        <f t="shared" ca="1" si="19"/>
        <v>0</v>
      </c>
      <c r="P50" s="53">
        <f t="shared" ca="1" si="19"/>
        <v>0</v>
      </c>
      <c r="Q50" s="53">
        <f t="shared" ca="1" si="19"/>
        <v>0</v>
      </c>
      <c r="R50" s="53">
        <f t="shared" ca="1" si="19"/>
        <v>0</v>
      </c>
      <c r="S50" s="53">
        <f t="shared" ca="1" si="19"/>
        <v>0</v>
      </c>
      <c r="T50" s="53">
        <f t="shared" ca="1" si="19"/>
        <v>0</v>
      </c>
      <c r="U50" s="53">
        <f t="shared" ca="1" si="19"/>
        <v>0</v>
      </c>
      <c r="V50" s="53">
        <f ca="1">IF(U49&lt;0,U49,0)+U50-U51</f>
        <v>0</v>
      </c>
      <c r="W50" s="53">
        <f ca="1">IF(V49&lt;0,V49,0)+V50-V51</f>
        <v>0</v>
      </c>
      <c r="X50" s="53">
        <f ca="1">IF(W49&lt;0,W49,0)+W50-W51</f>
        <v>0</v>
      </c>
      <c r="Y50" s="420">
        <f ca="1">SUM(D50:X50)</f>
        <v>-29015.43937624685</v>
      </c>
      <c r="AA50" s="132">
        <f t="shared" si="0"/>
        <v>44</v>
      </c>
    </row>
    <row r="51" spans="1:27">
      <c r="A51" s="139" t="str">
        <f>CONCATENATE("Use Of Carryforward (Capped @ ",TEXT(Nol,"0%"),")")</f>
        <v>Use Of Carryforward (Capped @ 100%)</v>
      </c>
      <c r="B51" s="32"/>
      <c r="C51" s="8"/>
      <c r="D51" s="226">
        <f t="shared" ref="D51:U51" ca="1" si="20">IF(D49&gt;0,MAX(-D49*Nol,D50),0)</f>
        <v>0</v>
      </c>
      <c r="E51" s="226">
        <f t="shared" ca="1" si="20"/>
        <v>0</v>
      </c>
      <c r="F51" s="226">
        <f t="shared" ca="1" si="20"/>
        <v>0</v>
      </c>
      <c r="G51" s="226">
        <f t="shared" ca="1" si="20"/>
        <v>0</v>
      </c>
      <c r="H51" s="226">
        <f t="shared" ca="1" si="20"/>
        <v>0</v>
      </c>
      <c r="I51" s="226">
        <f t="shared" ca="1" si="20"/>
        <v>-1886.4154049585682</v>
      </c>
      <c r="J51" s="226">
        <f t="shared" ca="1" si="20"/>
        <v>-2960.6166348564902</v>
      </c>
      <c r="K51" s="226">
        <f t="shared" ca="1" si="20"/>
        <v>-4635.4880461432595</v>
      </c>
      <c r="L51" s="226">
        <f t="shared" ca="1" si="20"/>
        <v>0</v>
      </c>
      <c r="M51" s="226">
        <f t="shared" ca="1" si="20"/>
        <v>0</v>
      </c>
      <c r="N51" s="226">
        <f t="shared" ca="1" si="20"/>
        <v>0</v>
      </c>
      <c r="O51" s="226">
        <f t="shared" ca="1" si="20"/>
        <v>0</v>
      </c>
      <c r="P51" s="226">
        <f t="shared" ca="1" si="20"/>
        <v>0</v>
      </c>
      <c r="Q51" s="226">
        <f t="shared" ca="1" si="20"/>
        <v>0</v>
      </c>
      <c r="R51" s="226">
        <f t="shared" ca="1" si="20"/>
        <v>0</v>
      </c>
      <c r="S51" s="226">
        <f t="shared" ca="1" si="20"/>
        <v>0</v>
      </c>
      <c r="T51" s="226">
        <f t="shared" ca="1" si="20"/>
        <v>0</v>
      </c>
      <c r="U51" s="226">
        <f t="shared" ca="1" si="20"/>
        <v>0</v>
      </c>
      <c r="V51" s="226">
        <f ca="1">IF(V49&gt;0,MAX(-V49*Nol,V50),0)</f>
        <v>0</v>
      </c>
      <c r="W51" s="226">
        <f ca="1">IF(W49&gt;0,MAX(-W49*Nol,W50),0)</f>
        <v>0</v>
      </c>
      <c r="X51" s="226">
        <f ca="1">IF(X49&gt;0,MAX(-X49*Nol,X50),0)</f>
        <v>0</v>
      </c>
      <c r="Y51" s="420">
        <f ca="1">SUM(D51:X51)</f>
        <v>-9482.5200859583165</v>
      </c>
      <c r="AA51" s="132">
        <f t="shared" si="0"/>
        <v>45</v>
      </c>
    </row>
    <row r="52" spans="1:27">
      <c r="A52" s="139" t="s">
        <v>368</v>
      </c>
      <c r="B52" s="32"/>
      <c r="C52" s="8"/>
      <c r="D52" s="53">
        <f t="shared" ref="D52:U52" ca="1" si="21">IF(D49&gt;0,D49+D51,D49)</f>
        <v>0</v>
      </c>
      <c r="E52" s="53">
        <f t="shared" ca="1" si="21"/>
        <v>-13.275999937924599</v>
      </c>
      <c r="F52" s="53">
        <f t="shared" ca="1" si="21"/>
        <v>-1837.5089814171436</v>
      </c>
      <c r="G52" s="53">
        <f t="shared" ca="1" si="21"/>
        <v>-3586.4806004974644</v>
      </c>
      <c r="H52" s="53">
        <f t="shared" ca="1" si="21"/>
        <v>-4045.2545041057861</v>
      </c>
      <c r="I52" s="53">
        <f t="shared" ca="1" si="21"/>
        <v>0</v>
      </c>
      <c r="J52" s="53">
        <f t="shared" ca="1" si="21"/>
        <v>0</v>
      </c>
      <c r="K52" s="53">
        <f t="shared" ca="1" si="21"/>
        <v>3363.423742115373</v>
      </c>
      <c r="L52" s="53">
        <f t="shared" ca="1" si="21"/>
        <v>10029.688315737463</v>
      </c>
      <c r="M52" s="53">
        <f t="shared" ca="1" si="21"/>
        <v>11335.681212341873</v>
      </c>
      <c r="N52" s="53">
        <f t="shared" ca="1" si="21"/>
        <v>13437.637075270726</v>
      </c>
      <c r="O52" s="53">
        <f t="shared" ca="1" si="21"/>
        <v>14828.956916930285</v>
      </c>
      <c r="P52" s="53">
        <f t="shared" ca="1" si="21"/>
        <v>16540.398064270717</v>
      </c>
      <c r="Q52" s="53">
        <f t="shared" ca="1" si="21"/>
        <v>19240.239443534898</v>
      </c>
      <c r="R52" s="53">
        <f t="shared" ca="1" si="21"/>
        <v>18612.925576187834</v>
      </c>
      <c r="S52" s="53">
        <f t="shared" ca="1" si="21"/>
        <v>22060.661865620361</v>
      </c>
      <c r="T52" s="53">
        <f t="shared" ca="1" si="21"/>
        <v>23844.996748127647</v>
      </c>
      <c r="U52" s="53">
        <f t="shared" ca="1" si="21"/>
        <v>25095.583524903894</v>
      </c>
      <c r="V52" s="53">
        <f ca="1">IF(V49&gt;0,V49+V51,V49)</f>
        <v>26171.314255470646</v>
      </c>
      <c r="W52" s="53">
        <f ca="1">IF(W49&gt;0,W49+W51,W49)</f>
        <v>27337.204682397187</v>
      </c>
      <c r="X52" s="53">
        <f ca="1">IF(X49&gt;0,X49+X51,X49)</f>
        <v>9125.2921699518593</v>
      </c>
      <c r="Y52" s="420">
        <f ca="1">SUM(D52:X52)</f>
        <v>231541.48350690244</v>
      </c>
      <c r="AA52" s="132">
        <f t="shared" si="0"/>
        <v>46</v>
      </c>
    </row>
    <row r="53" spans="1:27">
      <c r="A53" s="139" t="s">
        <v>770</v>
      </c>
      <c r="B53" s="32"/>
      <c r="C53" s="8"/>
      <c r="D53" s="36">
        <f>Corp_Tax</f>
        <v>0.25</v>
      </c>
      <c r="E53" s="36">
        <f t="shared" ref="E53:X53" si="22">Corp_Tax</f>
        <v>0.25</v>
      </c>
      <c r="F53" s="36">
        <f t="shared" si="22"/>
        <v>0.25</v>
      </c>
      <c r="G53" s="36">
        <f t="shared" si="22"/>
        <v>0.25</v>
      </c>
      <c r="H53" s="36">
        <f t="shared" si="22"/>
        <v>0.25</v>
      </c>
      <c r="I53" s="36">
        <f t="shared" si="22"/>
        <v>0.25</v>
      </c>
      <c r="J53" s="36">
        <f t="shared" si="22"/>
        <v>0.25</v>
      </c>
      <c r="K53" s="36">
        <f t="shared" si="22"/>
        <v>0.25</v>
      </c>
      <c r="L53" s="36">
        <f t="shared" si="22"/>
        <v>0.25</v>
      </c>
      <c r="M53" s="36">
        <f t="shared" si="22"/>
        <v>0.25</v>
      </c>
      <c r="N53" s="36">
        <f t="shared" si="22"/>
        <v>0.25</v>
      </c>
      <c r="O53" s="36">
        <f t="shared" si="22"/>
        <v>0.25</v>
      </c>
      <c r="P53" s="36">
        <f t="shared" si="22"/>
        <v>0.25</v>
      </c>
      <c r="Q53" s="36">
        <f t="shared" si="22"/>
        <v>0.25</v>
      </c>
      <c r="R53" s="36">
        <f t="shared" si="22"/>
        <v>0.25</v>
      </c>
      <c r="S53" s="36">
        <f t="shared" si="22"/>
        <v>0.25</v>
      </c>
      <c r="T53" s="36">
        <f t="shared" si="22"/>
        <v>0.25</v>
      </c>
      <c r="U53" s="36">
        <f t="shared" si="22"/>
        <v>0.25</v>
      </c>
      <c r="V53" s="36">
        <f t="shared" si="22"/>
        <v>0.25</v>
      </c>
      <c r="W53" s="36">
        <f t="shared" si="22"/>
        <v>0.25</v>
      </c>
      <c r="X53" s="36">
        <f t="shared" si="22"/>
        <v>0.25</v>
      </c>
      <c r="Y53" s="460"/>
      <c r="AA53" s="132">
        <f t="shared" si="0"/>
        <v>47</v>
      </c>
    </row>
    <row r="54" spans="1:27">
      <c r="A54" s="550" t="s">
        <v>369</v>
      </c>
      <c r="B54" s="40"/>
      <c r="C54" s="10"/>
      <c r="D54" s="891">
        <f ca="1">MAX(0,D52*D53)</f>
        <v>0</v>
      </c>
      <c r="E54" s="891">
        <f t="shared" ref="E54:U54" ca="1" si="23">MAX(0,E52*E53)</f>
        <v>0</v>
      </c>
      <c r="F54" s="891">
        <f t="shared" ca="1" si="23"/>
        <v>0</v>
      </c>
      <c r="G54" s="891">
        <f t="shared" ca="1" si="23"/>
        <v>0</v>
      </c>
      <c r="H54" s="891">
        <f t="shared" ca="1" si="23"/>
        <v>0</v>
      </c>
      <c r="I54" s="891">
        <f t="shared" ca="1" si="23"/>
        <v>0</v>
      </c>
      <c r="J54" s="891">
        <f t="shared" ca="1" si="23"/>
        <v>0</v>
      </c>
      <c r="K54" s="891">
        <f t="shared" ca="1" si="23"/>
        <v>840.85593552884325</v>
      </c>
      <c r="L54" s="891">
        <f t="shared" ca="1" si="23"/>
        <v>2507.4220789343658</v>
      </c>
      <c r="M54" s="891">
        <f t="shared" ca="1" si="23"/>
        <v>2833.9203030854683</v>
      </c>
      <c r="N54" s="891">
        <f t="shared" ca="1" si="23"/>
        <v>3359.4092688176815</v>
      </c>
      <c r="O54" s="891">
        <f t="shared" ca="1" si="23"/>
        <v>3707.2392292325712</v>
      </c>
      <c r="P54" s="891">
        <f t="shared" ca="1" si="23"/>
        <v>4135.0995160676794</v>
      </c>
      <c r="Q54" s="891">
        <f t="shared" ca="1" si="23"/>
        <v>4810.0598608837245</v>
      </c>
      <c r="R54" s="891">
        <f t="shared" ca="1" si="23"/>
        <v>4653.2313940469585</v>
      </c>
      <c r="S54" s="891">
        <f t="shared" ca="1" si="23"/>
        <v>5515.1654664050902</v>
      </c>
      <c r="T54" s="891">
        <f t="shared" ca="1" si="23"/>
        <v>5961.2491870319118</v>
      </c>
      <c r="U54" s="891">
        <f t="shared" ca="1" si="23"/>
        <v>6273.8958812259734</v>
      </c>
      <c r="V54" s="891">
        <f ca="1">MAX(0,V52*V53)</f>
        <v>6542.8285638676616</v>
      </c>
      <c r="W54" s="891">
        <f ca="1">MAX(0,W52*W53)</f>
        <v>6834.3011705992967</v>
      </c>
      <c r="X54" s="891">
        <f ca="1">MAX(0,X52*X53)</f>
        <v>2281.3230424879648</v>
      </c>
      <c r="Y54" s="892">
        <f ca="1">SUM(D54:X54)</f>
        <v>60256.000898215192</v>
      </c>
      <c r="AA54" s="132">
        <f t="shared" si="0"/>
        <v>48</v>
      </c>
    </row>
    <row r="55" spans="1:27">
      <c r="A55" s="74"/>
      <c r="B55" s="32"/>
      <c r="C55" s="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553"/>
      <c r="AA55" s="132">
        <f t="shared" si="0"/>
        <v>49</v>
      </c>
    </row>
    <row r="56" spans="1:27" s="8" customFormat="1">
      <c r="A56" s="146" t="s">
        <v>220</v>
      </c>
      <c r="B56" s="32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553"/>
      <c r="AA56" s="132">
        <f t="shared" si="0"/>
        <v>50</v>
      </c>
    </row>
    <row r="57" spans="1:27" s="8" customFormat="1">
      <c r="A57" s="139" t="s">
        <v>373</v>
      </c>
      <c r="D57" s="831">
        <v>0</v>
      </c>
      <c r="E57" s="53">
        <f t="shared" ref="E57:U57" ca="1" si="24">D60</f>
        <v>0</v>
      </c>
      <c r="F57" s="53">
        <f t="shared" ca="1" si="24"/>
        <v>0</v>
      </c>
      <c r="G57" s="53">
        <f t="shared" ca="1" si="24"/>
        <v>0</v>
      </c>
      <c r="H57" s="53">
        <f t="shared" ca="1" si="24"/>
        <v>0</v>
      </c>
      <c r="I57" s="53">
        <f t="shared" ca="1" si="24"/>
        <v>0</v>
      </c>
      <c r="J57" s="53">
        <f t="shared" ca="1" si="24"/>
        <v>0</v>
      </c>
      <c r="K57" s="53">
        <f t="shared" ca="1" si="24"/>
        <v>0</v>
      </c>
      <c r="L57" s="53">
        <f t="shared" ca="1" si="24"/>
        <v>-840.85593552884325</v>
      </c>
      <c r="M57" s="53">
        <f t="shared" ca="1" si="24"/>
        <v>-3348.2780144632088</v>
      </c>
      <c r="N57" s="53">
        <f t="shared" ca="1" si="24"/>
        <v>-6182.1983175486766</v>
      </c>
      <c r="O57" s="53">
        <f t="shared" ca="1" si="24"/>
        <v>-9541.6075863663573</v>
      </c>
      <c r="P57" s="53">
        <f t="shared" ca="1" si="24"/>
        <v>-13248.846815598929</v>
      </c>
      <c r="Q57" s="53">
        <f t="shared" ca="1" si="24"/>
        <v>-15939.155299445885</v>
      </c>
      <c r="R57" s="53">
        <f t="shared" ca="1" si="24"/>
        <v>-14126.914127797894</v>
      </c>
      <c r="S57" s="53">
        <f t="shared" ca="1" si="24"/>
        <v>-12324.28928909028</v>
      </c>
      <c r="T57" s="53">
        <f t="shared" ca="1" si="24"/>
        <v>-10521.664450382668</v>
      </c>
      <c r="U57" s="53">
        <f t="shared" ca="1" si="24"/>
        <v>-8719.0396116750562</v>
      </c>
      <c r="V57" s="53">
        <f ca="1">U60</f>
        <v>-6916.4147729674432</v>
      </c>
      <c r="W57" s="53">
        <f ca="1">V60</f>
        <v>-5113.7899342598303</v>
      </c>
      <c r="X57" s="53">
        <f ca="1">W60</f>
        <v>-3311.1650955522173</v>
      </c>
      <c r="Y57" s="420">
        <f>D57</f>
        <v>0</v>
      </c>
      <c r="AA57" s="132">
        <f t="shared" si="0"/>
        <v>51</v>
      </c>
    </row>
    <row r="58" spans="1:27">
      <c r="A58" s="139" t="s">
        <v>370</v>
      </c>
      <c r="B58" s="32"/>
      <c r="C58" s="8"/>
      <c r="D58" s="53">
        <f ca="1">D22</f>
        <v>0</v>
      </c>
      <c r="E58" s="53">
        <f t="shared" ref="E58:U58" ca="1" si="25">E22</f>
        <v>0</v>
      </c>
      <c r="F58" s="53">
        <f t="shared" ca="1" si="25"/>
        <v>0</v>
      </c>
      <c r="G58" s="53">
        <f t="shared" ca="1" si="25"/>
        <v>0</v>
      </c>
      <c r="H58" s="53">
        <f t="shared" ca="1" si="25"/>
        <v>0</v>
      </c>
      <c r="I58" s="53">
        <f t="shared" ca="1" si="25"/>
        <v>0</v>
      </c>
      <c r="J58" s="53">
        <f t="shared" ca="1" si="25"/>
        <v>0</v>
      </c>
      <c r="K58" s="53">
        <f t="shared" ca="1" si="25"/>
        <v>0</v>
      </c>
      <c r="L58" s="53">
        <f t="shared" ca="1" si="25"/>
        <v>0</v>
      </c>
      <c r="M58" s="53">
        <f t="shared" ca="1" si="25"/>
        <v>0</v>
      </c>
      <c r="N58" s="53">
        <f t="shared" ca="1" si="25"/>
        <v>0</v>
      </c>
      <c r="O58" s="53">
        <f t="shared" ca="1" si="25"/>
        <v>0</v>
      </c>
      <c r="P58" s="53">
        <f t="shared" ca="1" si="25"/>
        <v>1444.7910322207226</v>
      </c>
      <c r="Q58" s="53">
        <f t="shared" ca="1" si="25"/>
        <v>6622.3010325317155</v>
      </c>
      <c r="R58" s="53">
        <f t="shared" ca="1" si="25"/>
        <v>6455.8562327545715</v>
      </c>
      <c r="S58" s="53">
        <f t="shared" ca="1" si="25"/>
        <v>7317.7903051127032</v>
      </c>
      <c r="T58" s="53">
        <f t="shared" ca="1" si="25"/>
        <v>7763.8740257395248</v>
      </c>
      <c r="U58" s="53">
        <f t="shared" ca="1" si="25"/>
        <v>8076.5207199335864</v>
      </c>
      <c r="V58" s="53">
        <f ca="1">V22</f>
        <v>8345.4534025752746</v>
      </c>
      <c r="W58" s="53">
        <f ca="1">W22</f>
        <v>8636.9260093069097</v>
      </c>
      <c r="X58" s="53">
        <f ca="1">X22</f>
        <v>2882.1979887238358</v>
      </c>
      <c r="Y58" s="420">
        <f ca="1">SUM(D58:X58)</f>
        <v>57545.71074889884</v>
      </c>
      <c r="AA58" s="132">
        <f t="shared" si="0"/>
        <v>52</v>
      </c>
    </row>
    <row r="59" spans="1:27">
      <c r="A59" s="139" t="s">
        <v>371</v>
      </c>
      <c r="B59" s="32"/>
      <c r="C59" s="8"/>
      <c r="D59" s="226">
        <f ca="1">D54</f>
        <v>0</v>
      </c>
      <c r="E59" s="226">
        <f t="shared" ref="E59:U59" ca="1" si="26">E54</f>
        <v>0</v>
      </c>
      <c r="F59" s="226">
        <f t="shared" ca="1" si="26"/>
        <v>0</v>
      </c>
      <c r="G59" s="226">
        <f t="shared" ca="1" si="26"/>
        <v>0</v>
      </c>
      <c r="H59" s="226">
        <f t="shared" ca="1" si="26"/>
        <v>0</v>
      </c>
      <c r="I59" s="226">
        <f t="shared" ca="1" si="26"/>
        <v>0</v>
      </c>
      <c r="J59" s="226">
        <f t="shared" ca="1" si="26"/>
        <v>0</v>
      </c>
      <c r="K59" s="226">
        <f t="shared" ca="1" si="26"/>
        <v>840.85593552884325</v>
      </c>
      <c r="L59" s="226">
        <f t="shared" ca="1" si="26"/>
        <v>2507.4220789343658</v>
      </c>
      <c r="M59" s="226">
        <f t="shared" ca="1" si="26"/>
        <v>2833.9203030854683</v>
      </c>
      <c r="N59" s="226">
        <f t="shared" ca="1" si="26"/>
        <v>3359.4092688176815</v>
      </c>
      <c r="O59" s="226">
        <f t="shared" ca="1" si="26"/>
        <v>3707.2392292325712</v>
      </c>
      <c r="P59" s="226">
        <f t="shared" ca="1" si="26"/>
        <v>4135.0995160676794</v>
      </c>
      <c r="Q59" s="226">
        <f t="shared" ca="1" si="26"/>
        <v>4810.0598608837245</v>
      </c>
      <c r="R59" s="226">
        <f t="shared" ca="1" si="26"/>
        <v>4653.2313940469585</v>
      </c>
      <c r="S59" s="226">
        <f t="shared" ca="1" si="26"/>
        <v>5515.1654664050902</v>
      </c>
      <c r="T59" s="226">
        <f t="shared" ca="1" si="26"/>
        <v>5961.2491870319118</v>
      </c>
      <c r="U59" s="226">
        <f t="shared" ca="1" si="26"/>
        <v>6273.8958812259734</v>
      </c>
      <c r="V59" s="226">
        <f ca="1">V54</f>
        <v>6542.8285638676616</v>
      </c>
      <c r="W59" s="226">
        <f ca="1">W54</f>
        <v>6834.3011705992967</v>
      </c>
      <c r="X59" s="226">
        <f ca="1">X54</f>
        <v>2281.3230424879648</v>
      </c>
      <c r="Y59" s="421">
        <f ca="1">SUM(D59:X59)</f>
        <v>60256.000898215192</v>
      </c>
      <c r="AA59" s="132">
        <f t="shared" si="0"/>
        <v>53</v>
      </c>
    </row>
    <row r="60" spans="1:27" ht="13.5" thickBot="1">
      <c r="A60" s="141" t="s">
        <v>372</v>
      </c>
      <c r="B60" s="76"/>
      <c r="C60" s="76"/>
      <c r="D60" s="398">
        <f ca="1">SUM(D57,D58,-D59)</f>
        <v>0</v>
      </c>
      <c r="E60" s="398">
        <f t="shared" ref="E60:U60" ca="1" si="27">SUM(E57,E58,-E59)</f>
        <v>0</v>
      </c>
      <c r="F60" s="398">
        <f t="shared" ca="1" si="27"/>
        <v>0</v>
      </c>
      <c r="G60" s="398">
        <f t="shared" ca="1" si="27"/>
        <v>0</v>
      </c>
      <c r="H60" s="398">
        <f t="shared" ca="1" si="27"/>
        <v>0</v>
      </c>
      <c r="I60" s="398">
        <f t="shared" ca="1" si="27"/>
        <v>0</v>
      </c>
      <c r="J60" s="398">
        <f t="shared" ca="1" si="27"/>
        <v>0</v>
      </c>
      <c r="K60" s="398">
        <f t="shared" ca="1" si="27"/>
        <v>-840.85593552884325</v>
      </c>
      <c r="L60" s="398">
        <f t="shared" ca="1" si="27"/>
        <v>-3348.2780144632088</v>
      </c>
      <c r="M60" s="398">
        <f t="shared" ca="1" si="27"/>
        <v>-6182.1983175486766</v>
      </c>
      <c r="N60" s="398">
        <f t="shared" ca="1" si="27"/>
        <v>-9541.6075863663573</v>
      </c>
      <c r="O60" s="398">
        <f t="shared" ca="1" si="27"/>
        <v>-13248.846815598929</v>
      </c>
      <c r="P60" s="398">
        <f t="shared" ca="1" si="27"/>
        <v>-15939.155299445885</v>
      </c>
      <c r="Q60" s="398">
        <f t="shared" ca="1" si="27"/>
        <v>-14126.914127797894</v>
      </c>
      <c r="R60" s="398">
        <f t="shared" ca="1" si="27"/>
        <v>-12324.28928909028</v>
      </c>
      <c r="S60" s="398">
        <f t="shared" ca="1" si="27"/>
        <v>-10521.664450382668</v>
      </c>
      <c r="T60" s="398">
        <f t="shared" ca="1" si="27"/>
        <v>-8719.0396116750562</v>
      </c>
      <c r="U60" s="398">
        <f t="shared" ca="1" si="27"/>
        <v>-6916.4147729674432</v>
      </c>
      <c r="V60" s="398">
        <f ca="1">SUM(V57,V58,-V59)</f>
        <v>-5113.7899342598303</v>
      </c>
      <c r="W60" s="398">
        <f ca="1">SUM(W57,W58,-W59)</f>
        <v>-3311.1650955522173</v>
      </c>
      <c r="X60" s="398">
        <f ca="1">SUM(X57,X58,-X59)</f>
        <v>-2710.2901493163463</v>
      </c>
      <c r="Y60" s="567">
        <f ca="1">SUM(Y57,Y58,-Y59)</f>
        <v>-2710.2901493163517</v>
      </c>
      <c r="AA60" s="132">
        <f t="shared" si="0"/>
        <v>54</v>
      </c>
    </row>
  </sheetData>
  <printOptions horizontalCentered="1"/>
  <pageMargins left="0.25" right="0.25" top="0.5" bottom="0.5" header="0.25" footer="0.25"/>
  <pageSetup scale="4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rowBreaks count="1" manualBreakCount="1">
    <brk id="60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51"/>
  <sheetViews>
    <sheetView showGridLines="0" zoomScale="90" workbookViewId="0"/>
  </sheetViews>
  <sheetFormatPr defaultRowHeight="12.75"/>
  <cols>
    <col min="1" max="1" width="1.7109375" style="5" customWidth="1"/>
    <col min="2" max="2" width="30.7109375" style="5" customWidth="1"/>
    <col min="3" max="3" width="1.7109375" style="5" customWidth="1"/>
    <col min="4" max="4" width="10.7109375" style="5" customWidth="1"/>
    <col min="5" max="5" width="1.7109375" style="5" customWidth="1"/>
    <col min="6" max="6" width="10.7109375" style="5" customWidth="1"/>
    <col min="7" max="7" width="1.7109375" style="5" customWidth="1"/>
    <col min="8" max="29" width="10.7109375" style="5" customWidth="1"/>
    <col min="30" max="16384" width="9.140625" style="5"/>
  </cols>
  <sheetData>
    <row r="1" spans="1:31" s="240" customFormat="1" ht="15.75">
      <c r="A1" s="997" t="str">
        <f>Assm!A1</f>
        <v>GAS ORIENTE BOLIVIANO S.A. (GASBOL) *** DRAFT COPY ***</v>
      </c>
      <c r="B1" s="239"/>
      <c r="C1" s="288"/>
      <c r="D1" s="239"/>
      <c r="E1" s="288"/>
      <c r="F1" s="134"/>
      <c r="G1" s="288"/>
      <c r="H1" s="288"/>
      <c r="I1" s="288"/>
      <c r="J1" s="289"/>
      <c r="K1" s="288"/>
      <c r="L1" s="288"/>
      <c r="M1" s="290"/>
      <c r="N1" s="288"/>
      <c r="O1" s="288"/>
      <c r="P1" s="288"/>
      <c r="Q1" s="288"/>
      <c r="R1" s="288"/>
      <c r="S1" s="288"/>
      <c r="T1" s="288"/>
      <c r="U1" s="291"/>
      <c r="V1" s="288"/>
      <c r="W1" s="288"/>
      <c r="X1" s="288"/>
      <c r="Y1" s="288"/>
      <c r="Z1" s="288"/>
      <c r="AA1" s="288"/>
      <c r="AB1" s="288"/>
    </row>
    <row r="2" spans="1:31" s="240" customFormat="1" ht="15.75">
      <c r="A2" s="997" t="str">
        <f>Assm!A2</f>
        <v>369 KM PIPELINE SPUR FOR CUIABA POWER PLANT (BOLIVIA)</v>
      </c>
      <c r="B2" s="239"/>
      <c r="C2" s="288"/>
      <c r="D2" s="239"/>
      <c r="E2" s="288"/>
      <c r="F2" s="134"/>
      <c r="G2" s="288"/>
      <c r="H2" s="288"/>
      <c r="I2" s="288"/>
      <c r="J2" s="289"/>
      <c r="K2" s="288"/>
      <c r="L2" s="288"/>
      <c r="M2" s="290"/>
      <c r="N2" s="288"/>
      <c r="O2" s="288"/>
      <c r="P2" s="288"/>
      <c r="Q2" s="288"/>
      <c r="R2" s="288"/>
      <c r="S2" s="288"/>
      <c r="T2" s="288"/>
      <c r="U2" s="291"/>
      <c r="V2" s="288"/>
      <c r="W2" s="288"/>
      <c r="X2" s="288"/>
      <c r="Y2" s="288"/>
      <c r="Z2" s="288"/>
      <c r="AA2" s="288"/>
      <c r="AB2" s="288"/>
    </row>
    <row r="3" spans="1:31" s="240" customFormat="1" ht="15.75">
      <c r="A3" s="396" t="str">
        <f>Assm!A3</f>
        <v>ENRON INTERNATIONAL</v>
      </c>
      <c r="B3" s="244"/>
      <c r="C3" s="288"/>
      <c r="D3" s="244"/>
      <c r="E3" s="288"/>
      <c r="F3" s="134"/>
      <c r="G3" s="288"/>
      <c r="H3" s="292"/>
      <c r="I3" s="288"/>
      <c r="J3" s="289"/>
      <c r="K3" s="288"/>
      <c r="L3" s="288"/>
      <c r="M3" s="290"/>
      <c r="N3" s="288"/>
      <c r="O3" s="288"/>
      <c r="P3" s="288"/>
      <c r="Q3" s="288"/>
      <c r="R3" s="288"/>
      <c r="S3" s="288"/>
      <c r="T3" s="288"/>
      <c r="U3" s="288"/>
      <c r="V3" s="293"/>
      <c r="W3" s="293"/>
      <c r="X3" s="288"/>
      <c r="Y3" s="288"/>
      <c r="Z3" s="288"/>
      <c r="AA3" s="288"/>
      <c r="AB3" s="288"/>
    </row>
    <row r="4" spans="1:31" s="240" customFormat="1" ht="15.75">
      <c r="A4" s="893" t="s">
        <v>908</v>
      </c>
      <c r="B4" s="820"/>
      <c r="C4" s="288"/>
      <c r="D4" s="135"/>
      <c r="E4" s="288"/>
      <c r="F4" s="134"/>
      <c r="G4" s="288"/>
      <c r="H4" s="292"/>
      <c r="I4" s="288"/>
      <c r="J4" s="289"/>
      <c r="K4" s="288"/>
      <c r="L4" s="288"/>
      <c r="M4" s="290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</row>
    <row r="5" spans="1:31" s="240" customFormat="1" ht="13.5" thickBot="1">
      <c r="A5" s="394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1" s="8" customFormat="1">
      <c r="A6" s="411" t="s">
        <v>150</v>
      </c>
      <c r="B6" s="73"/>
      <c r="C6" s="73"/>
      <c r="D6" s="73"/>
      <c r="E6" s="73"/>
      <c r="F6" s="73"/>
      <c r="G6" s="73"/>
      <c r="H6" s="412">
        <f>CF!E6</f>
        <v>1</v>
      </c>
      <c r="I6" s="412">
        <f>CF!F6</f>
        <v>2</v>
      </c>
      <c r="J6" s="412">
        <f>CF!G6</f>
        <v>3</v>
      </c>
      <c r="K6" s="412">
        <f>CF!H6</f>
        <v>4</v>
      </c>
      <c r="L6" s="412">
        <f>CF!I6</f>
        <v>5</v>
      </c>
      <c r="M6" s="412">
        <f>CF!J6</f>
        <v>6</v>
      </c>
      <c r="N6" s="412">
        <f>CF!K6</f>
        <v>7</v>
      </c>
      <c r="O6" s="412">
        <f>CF!L6</f>
        <v>8</v>
      </c>
      <c r="P6" s="412">
        <f>CF!M6</f>
        <v>9</v>
      </c>
      <c r="Q6" s="412">
        <f>CF!N6</f>
        <v>10</v>
      </c>
      <c r="R6" s="412">
        <f>CF!O6</f>
        <v>11</v>
      </c>
      <c r="S6" s="412">
        <f>CF!P6</f>
        <v>12</v>
      </c>
      <c r="T6" s="412">
        <f>CF!Q6</f>
        <v>13</v>
      </c>
      <c r="U6" s="412">
        <f>CF!R6</f>
        <v>14</v>
      </c>
      <c r="V6" s="412">
        <f>CF!S6</f>
        <v>15</v>
      </c>
      <c r="W6" s="412">
        <f>CF!T6</f>
        <v>16</v>
      </c>
      <c r="X6" s="412">
        <f>CF!U6</f>
        <v>17</v>
      </c>
      <c r="Y6" s="412">
        <f>CF!V6</f>
        <v>18</v>
      </c>
      <c r="Z6" s="412">
        <f>CF!W6</f>
        <v>19</v>
      </c>
      <c r="AA6" s="412">
        <f>CF!X6</f>
        <v>20</v>
      </c>
      <c r="AB6" s="412">
        <f>CF!Y6</f>
        <v>21</v>
      </c>
      <c r="AC6" s="565"/>
    </row>
    <row r="7" spans="1:31" s="8" customFormat="1" ht="13.5" thickBot="1">
      <c r="A7" s="401" t="s">
        <v>151</v>
      </c>
      <c r="B7" s="76"/>
      <c r="C7" s="76"/>
      <c r="D7" s="76"/>
      <c r="E7" s="76"/>
      <c r="F7" s="76"/>
      <c r="G7" s="76"/>
      <c r="H7" s="362">
        <f>CF!E7</f>
        <v>1999</v>
      </c>
      <c r="I7" s="362">
        <f>CF!F7</f>
        <v>2000</v>
      </c>
      <c r="J7" s="362">
        <f>CF!G7</f>
        <v>2001</v>
      </c>
      <c r="K7" s="362">
        <f>CF!H7</f>
        <v>2002</v>
      </c>
      <c r="L7" s="362">
        <f>CF!I7</f>
        <v>2003</v>
      </c>
      <c r="M7" s="362">
        <f>CF!J7</f>
        <v>2004</v>
      </c>
      <c r="N7" s="362">
        <f>CF!K7</f>
        <v>2005</v>
      </c>
      <c r="O7" s="362">
        <f>CF!L7</f>
        <v>2006</v>
      </c>
      <c r="P7" s="362">
        <f>CF!M7</f>
        <v>2007</v>
      </c>
      <c r="Q7" s="362">
        <f>CF!N7</f>
        <v>2008</v>
      </c>
      <c r="R7" s="362">
        <f>CF!O7</f>
        <v>2009</v>
      </c>
      <c r="S7" s="362">
        <f>CF!P7</f>
        <v>2010</v>
      </c>
      <c r="T7" s="362">
        <f>CF!Q7</f>
        <v>2011</v>
      </c>
      <c r="U7" s="362">
        <f>CF!R7</f>
        <v>2012</v>
      </c>
      <c r="V7" s="362">
        <f>CF!S7</f>
        <v>2013</v>
      </c>
      <c r="W7" s="362">
        <f>CF!T7</f>
        <v>2014</v>
      </c>
      <c r="X7" s="362">
        <f>CF!U7</f>
        <v>2015</v>
      </c>
      <c r="Y7" s="362">
        <f>CF!V7</f>
        <v>2016</v>
      </c>
      <c r="Z7" s="362">
        <f>CF!W7</f>
        <v>2017</v>
      </c>
      <c r="AA7" s="362">
        <f>CF!X7</f>
        <v>2018</v>
      </c>
      <c r="AB7" s="362">
        <f>CF!Y7</f>
        <v>2019</v>
      </c>
      <c r="AC7" s="524" t="s">
        <v>200</v>
      </c>
      <c r="AE7" s="877">
        <v>1</v>
      </c>
    </row>
    <row r="8" spans="1:31" s="8" customFormat="1">
      <c r="A8" s="563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15"/>
      <c r="AE8" s="358">
        <f t="shared" ref="AE8:AE50" si="0">AE7+1</f>
        <v>2</v>
      </c>
    </row>
    <row r="9" spans="1:31" s="8" customFormat="1">
      <c r="A9" s="139" t="s">
        <v>323</v>
      </c>
      <c r="H9" s="8">
        <f>CF!E9</f>
        <v>0</v>
      </c>
      <c r="I9" s="8">
        <f>CF!F9</f>
        <v>0</v>
      </c>
      <c r="J9" s="8">
        <f>CF!G9</f>
        <v>10</v>
      </c>
      <c r="K9" s="8">
        <f>CF!H9</f>
        <v>12</v>
      </c>
      <c r="L9" s="8">
        <f>CF!I9</f>
        <v>12</v>
      </c>
      <c r="M9" s="8">
        <f>CF!J9</f>
        <v>12</v>
      </c>
      <c r="N9" s="8">
        <f>CF!K9</f>
        <v>12</v>
      </c>
      <c r="O9" s="8">
        <f>CF!L9</f>
        <v>12</v>
      </c>
      <c r="P9" s="8">
        <f>CF!M9</f>
        <v>12</v>
      </c>
      <c r="Q9" s="8">
        <f>CF!N9</f>
        <v>12</v>
      </c>
      <c r="R9" s="8">
        <f>CF!O9</f>
        <v>12</v>
      </c>
      <c r="S9" s="8">
        <f>CF!P9</f>
        <v>12</v>
      </c>
      <c r="T9" s="8">
        <f>CF!Q9</f>
        <v>12</v>
      </c>
      <c r="U9" s="8">
        <f>CF!R9</f>
        <v>12</v>
      </c>
      <c r="V9" s="8">
        <f>CF!S9</f>
        <v>12</v>
      </c>
      <c r="W9" s="8">
        <f>CF!T9</f>
        <v>12</v>
      </c>
      <c r="X9" s="8">
        <f>CF!U9</f>
        <v>12</v>
      </c>
      <c r="Y9" s="8">
        <f>CF!V9</f>
        <v>12</v>
      </c>
      <c r="Z9" s="8">
        <f>CF!W9</f>
        <v>12</v>
      </c>
      <c r="AA9" s="8">
        <f>CF!X9</f>
        <v>12</v>
      </c>
      <c r="AB9" s="8">
        <f>CF!Y9</f>
        <v>4</v>
      </c>
      <c r="AC9" s="416">
        <f>SUM(H9:AB9)</f>
        <v>218</v>
      </c>
      <c r="AE9" s="358">
        <f t="shared" si="0"/>
        <v>3</v>
      </c>
    </row>
    <row r="10" spans="1:31">
      <c r="A10" s="13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416"/>
      <c r="AD10" s="8"/>
      <c r="AE10" s="358">
        <f t="shared" si="0"/>
        <v>4</v>
      </c>
    </row>
    <row r="11" spans="1:31">
      <c r="A11" s="466"/>
      <c r="B11" s="272"/>
      <c r="C11" s="272"/>
      <c r="D11" s="317" t="s">
        <v>222</v>
      </c>
      <c r="E11" s="272"/>
      <c r="F11" s="320" t="s">
        <v>223</v>
      </c>
      <c r="G11" s="272"/>
      <c r="H11" s="531" t="s">
        <v>117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416"/>
      <c r="AE11" s="358">
        <f t="shared" si="0"/>
        <v>5</v>
      </c>
    </row>
    <row r="12" spans="1:31">
      <c r="A12" s="491" t="s">
        <v>224</v>
      </c>
      <c r="B12" s="278"/>
      <c r="C12" s="278"/>
      <c r="D12" s="318">
        <f ca="1">Cost</f>
        <v>156184.0925154642</v>
      </c>
      <c r="E12" s="278"/>
      <c r="F12" s="321">
        <f t="shared" ref="F12:F18" ca="1" si="1">D12</f>
        <v>156184.0925154642</v>
      </c>
      <c r="G12" s="278"/>
      <c r="H12" s="532">
        <f ca="1">D12</f>
        <v>156184.0925154642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416"/>
      <c r="AE12" s="358">
        <f t="shared" si="0"/>
        <v>6</v>
      </c>
    </row>
    <row r="13" spans="1:31">
      <c r="A13" s="491" t="s">
        <v>225</v>
      </c>
      <c r="B13" s="278"/>
      <c r="C13" s="278"/>
      <c r="D13" s="318">
        <f>-Assm!$R$15</f>
        <v>-220</v>
      </c>
      <c r="E13" s="278"/>
      <c r="F13" s="321">
        <f t="shared" si="1"/>
        <v>-220</v>
      </c>
      <c r="G13" s="278"/>
      <c r="H13" s="532">
        <f>F13</f>
        <v>-220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16"/>
      <c r="AE13" s="358">
        <f t="shared" si="0"/>
        <v>7</v>
      </c>
    </row>
    <row r="14" spans="1:31">
      <c r="A14" s="491" t="s">
        <v>697</v>
      </c>
      <c r="B14" s="278"/>
      <c r="C14" s="278"/>
      <c r="D14" s="318">
        <f>-Turnkey!$H$9*Turnkey!$J$9</f>
        <v>-5859.2075862068978</v>
      </c>
      <c r="E14" s="278"/>
      <c r="F14" s="321">
        <f>D14</f>
        <v>-5859.2075862068978</v>
      </c>
      <c r="G14" s="278"/>
      <c r="H14" s="532">
        <f>F14</f>
        <v>-5859.2075862068978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416"/>
      <c r="AE14" s="358">
        <f t="shared" si="0"/>
        <v>8</v>
      </c>
    </row>
    <row r="15" spans="1:31">
      <c r="A15" s="491" t="s">
        <v>695</v>
      </c>
      <c r="B15" s="278"/>
      <c r="C15" s="278"/>
      <c r="D15" s="318">
        <f>-Turnkey!$K$14</f>
        <v>-280.72618390804598</v>
      </c>
      <c r="E15" s="278"/>
      <c r="F15" s="321">
        <f t="shared" si="1"/>
        <v>-280.72618390804598</v>
      </c>
      <c r="G15" s="278"/>
      <c r="H15" s="532">
        <f>F15</f>
        <v>-280.72618390804598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416"/>
      <c r="AE15" s="358">
        <f t="shared" si="0"/>
        <v>9</v>
      </c>
    </row>
    <row r="16" spans="1:31">
      <c r="A16" s="491" t="s">
        <v>696</v>
      </c>
      <c r="B16" s="278"/>
      <c r="C16" s="278"/>
      <c r="D16" s="318">
        <f>-Turnkey!$K$20</f>
        <v>-5614.17164874023</v>
      </c>
      <c r="E16" s="278"/>
      <c r="F16" s="321">
        <f>D16</f>
        <v>-5614.17164874023</v>
      </c>
      <c r="G16" s="278"/>
      <c r="H16" s="532">
        <f>F16</f>
        <v>-5614.17164874023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416"/>
      <c r="AE16" s="358">
        <f t="shared" si="0"/>
        <v>10</v>
      </c>
    </row>
    <row r="17" spans="1:31">
      <c r="A17" s="491" t="s">
        <v>311</v>
      </c>
      <c r="B17" s="278"/>
      <c r="C17" s="278"/>
      <c r="D17" s="318">
        <f ca="1">-IDC!AO56</f>
        <v>0</v>
      </c>
      <c r="E17" s="278"/>
      <c r="F17" s="321">
        <f t="shared" ca="1" si="1"/>
        <v>0</v>
      </c>
      <c r="G17" s="278"/>
      <c r="H17" s="532">
        <f ca="1">F17</f>
        <v>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416"/>
      <c r="AE17" s="358">
        <f t="shared" si="0"/>
        <v>11</v>
      </c>
    </row>
    <row r="18" spans="1:31">
      <c r="A18" s="491" t="s">
        <v>380</v>
      </c>
      <c r="B18" s="278"/>
      <c r="C18" s="278"/>
      <c r="D18" s="319">
        <f>-Wcap</f>
        <v>0</v>
      </c>
      <c r="E18" s="278"/>
      <c r="F18" s="322">
        <f t="shared" si="1"/>
        <v>0</v>
      </c>
      <c r="G18" s="278"/>
      <c r="H18" s="559">
        <f>D18</f>
        <v>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416"/>
      <c r="AE18" s="358">
        <f t="shared" si="0"/>
        <v>12</v>
      </c>
    </row>
    <row r="19" spans="1:31">
      <c r="A19" s="492" t="s">
        <v>226</v>
      </c>
      <c r="B19" s="444"/>
      <c r="C19" s="444"/>
      <c r="D19" s="560">
        <f ca="1">SUM(D12:D18)</f>
        <v>144209.98709660902</v>
      </c>
      <c r="E19" s="444"/>
      <c r="F19" s="561">
        <f ca="1">SUM(F12:F18)</f>
        <v>144209.98709660902</v>
      </c>
      <c r="G19" s="444"/>
      <c r="H19" s="562">
        <f ca="1">SUM(H12:H18)</f>
        <v>144209.98709660902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416"/>
      <c r="AE19" s="358">
        <f t="shared" si="0"/>
        <v>13</v>
      </c>
    </row>
    <row r="20" spans="1:31">
      <c r="A20" s="13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416"/>
      <c r="AE20" s="358">
        <f t="shared" si="0"/>
        <v>14</v>
      </c>
    </row>
    <row r="21" spans="1:31">
      <c r="A21" s="13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416"/>
      <c r="AE21" s="358">
        <f t="shared" si="0"/>
        <v>15</v>
      </c>
    </row>
    <row r="22" spans="1:31">
      <c r="A22" s="647" t="s">
        <v>638</v>
      </c>
      <c r="B22" s="33"/>
      <c r="C22" s="50" t="s">
        <v>382</v>
      </c>
      <c r="D22" s="51"/>
      <c r="E22" s="50" t="s">
        <v>227</v>
      </c>
      <c r="F22" s="5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417"/>
      <c r="AD22" s="8"/>
      <c r="AE22" s="358">
        <f t="shared" si="0"/>
        <v>16</v>
      </c>
    </row>
    <row r="23" spans="1:31">
      <c r="A23" s="139" t="s">
        <v>228</v>
      </c>
      <c r="B23" s="8"/>
      <c r="C23" s="324" t="s">
        <v>381</v>
      </c>
      <c r="D23" s="92"/>
      <c r="E23" s="324" t="s">
        <v>229</v>
      </c>
      <c r="F23" s="32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416"/>
      <c r="AD23" s="8"/>
      <c r="AE23" s="358">
        <f t="shared" si="0"/>
        <v>17</v>
      </c>
    </row>
    <row r="24" spans="1:31">
      <c r="A24" s="139"/>
      <c r="B24" s="8" t="s">
        <v>230</v>
      </c>
      <c r="C24" s="325">
        <f>Assm!$K$41</f>
        <v>10</v>
      </c>
      <c r="D24" s="92"/>
      <c r="E24" s="894">
        <f ca="1">Assm!$J$41</f>
        <v>144209.98709660902</v>
      </c>
      <c r="F24" s="326"/>
      <c r="G24" s="8"/>
      <c r="H24" s="53">
        <f ca="1">IF($C24&lt;=Term,IF(SUM($H$9:H$9)&gt;$C24*12,$E24-SUM($G24:G24), SLN($E24,0,$C24)*H$9/12),$E24/Term*H$9/12)</f>
        <v>0</v>
      </c>
      <c r="I24" s="53">
        <f ca="1">IF($C24&lt;=Term,IF(SUM($H$9:I$9)&gt;$C24*12,$E24-SUM($G24:H24), SLN($E24,0,$C24)*I$9/12),$E24/Term*I$9/12)</f>
        <v>0</v>
      </c>
      <c r="J24" s="53">
        <f ca="1">IF($C24&lt;=Term,IF(SUM($H$9:J$9)&gt;$C24*12,$E24-SUM($G24:I24), SLN($E24,0,$C24)*J$9/12),$E24/Term*J$9/12)</f>
        <v>12017.498924717418</v>
      </c>
      <c r="K24" s="53">
        <f ca="1">IF($C24&lt;=Term,IF(SUM($H$9:K$9)&gt;$C24*12,$E24-SUM($G24:J24), SLN($E24,0,$C24)*K$9/12),$E24/Term*K$9/12)</f>
        <v>14420.998709660902</v>
      </c>
      <c r="L24" s="53">
        <f ca="1">IF($C24&lt;=Term,IF(SUM($H$9:L$9)&gt;$C24*12,$E24-SUM($G24:K24), SLN($E24,0,$C24)*L$9/12),$E24/Term*L$9/12)</f>
        <v>14420.998709660902</v>
      </c>
      <c r="M24" s="53">
        <f ca="1">IF($C24&lt;=Term,IF(SUM($H$9:M$9)&gt;$C24*12,$E24-SUM($G24:L24), SLN($E24,0,$C24)*M$9/12),$E24/Term*M$9/12)</f>
        <v>14420.998709660902</v>
      </c>
      <c r="N24" s="53">
        <f ca="1">IF($C24&lt;=Term,IF(SUM($H$9:N$9)&gt;$C24*12,$E24-SUM($G24:M24), SLN($E24,0,$C24)*N$9/12),$E24/Term*N$9/12)</f>
        <v>14420.998709660902</v>
      </c>
      <c r="O24" s="53">
        <f ca="1">IF($C24&lt;=Term,IF(SUM($H$9:O$9)&gt;$C24*12,$E24-SUM($G24:N24), SLN($E24,0,$C24)*O$9/12),$E24/Term*O$9/12)</f>
        <v>14420.998709660902</v>
      </c>
      <c r="P24" s="53">
        <f ca="1">IF($C24&lt;=Term,IF(SUM($H$9:P$9)&gt;$C24*12,$E24-SUM($G24:O24), SLN($E24,0,$C24)*P$9/12),$E24/Term*P$9/12)</f>
        <v>14420.998709660902</v>
      </c>
      <c r="Q24" s="53">
        <f ca="1">IF($C24&lt;=Term,IF(SUM($H$9:Q$9)&gt;$C24*12,$E24-SUM($G24:P24), SLN($E24,0,$C24)*Q$9/12),$E24/Term*Q$9/12)</f>
        <v>14420.998709660902</v>
      </c>
      <c r="R24" s="53">
        <f ca="1">IF($C24&lt;=Term,IF(SUM($H$9:R$9)&gt;$C24*12,$E24-SUM($G24:Q24), SLN($E24,0,$C24)*R$9/12),$E24/Term*R$9/12)</f>
        <v>14420.998709660902</v>
      </c>
      <c r="S24" s="53">
        <f ca="1">IF($C24&lt;=Term,IF(SUM($H$9:S$9)&gt;$C24*12,$E24-SUM($G24:R24), SLN($E24,0,$C24)*S$9/12),$E24/Term*S$9/12)</f>
        <v>14420.998709660902</v>
      </c>
      <c r="T24" s="53">
        <f ca="1">IF($C24&lt;=Term,IF(SUM($H$9:T$9)&gt;$C24*12,$E24-SUM($G24:S24), SLN($E24,0,$C24)*T$9/12),$E24/Term*T$9/12)</f>
        <v>2403.4997849435022</v>
      </c>
      <c r="U24" s="53">
        <f ca="1">IF($C24&lt;=Term,IF(SUM($H$9:U$9)&gt;$C24*12,$E24-SUM($G24:T24), SLN($E24,0,$C24)*U$9/12),$E24/Term*U$9/12)</f>
        <v>0</v>
      </c>
      <c r="V24" s="53">
        <f ca="1">IF($C24&lt;=Term,IF(SUM($H$9:V$9)&gt;$C24*12,$E24-SUM($G24:U24), SLN($E24,0,$C24)*V$9/12),$E24/Term*V$9/12)</f>
        <v>0</v>
      </c>
      <c r="W24" s="53">
        <f ca="1">IF($C24&lt;=Term,IF(SUM($H$9:W$9)&gt;$C24*12,$E24-SUM($G24:V24), SLN($E24,0,$C24)*W$9/12),$E24/Term*W$9/12)</f>
        <v>0</v>
      </c>
      <c r="X24" s="53">
        <f ca="1">IF($C24&lt;=Term,IF(SUM($H$9:X$9)&gt;$C24*12,$E24-SUM($G24:W24), SLN($E24,0,$C24)*X$9/12),$E24/Term*X$9/12)</f>
        <v>0</v>
      </c>
      <c r="Y24" s="53">
        <f ca="1">IF($C24&lt;=Term,IF(SUM($H$9:Y$9)&gt;$C24*12,$E24-SUM($G24:X24), SLN($E24,0,$C24)*Y$9/12),$E24/Term*Y$9/12)</f>
        <v>0</v>
      </c>
      <c r="Z24" s="53">
        <f ca="1">IF($C24&lt;=Term,IF(SUM($H$9:Z$9)&gt;$C24*12,$E24-SUM($G24:Y24), SLN($E24,0,$C24)*Z$9/12),$E24/Term*Z$9/12)</f>
        <v>0</v>
      </c>
      <c r="AA24" s="53">
        <f ca="1">IF($C24&lt;=Term,IF(SUM($H$9:AA$9)&gt;$C24*12,$E24-SUM($G24:Z24), SLN($E24,0,$C24)*AA$9/12),$E24/Term*AA$9/12)</f>
        <v>0</v>
      </c>
      <c r="AB24" s="53">
        <f ca="1">IF($C24&lt;=Term,IF(SUM($H$9:AB$9)&gt;$C24*12,$E24-SUM($G24:AA24), SLN($E24,0,$C24)*AB$9/12),$E24/Term*AB$9/12)</f>
        <v>0</v>
      </c>
      <c r="AC24" s="420">
        <f ca="1">SUM(H24:AB24)</f>
        <v>144209.98709660902</v>
      </c>
      <c r="AD24" s="8"/>
      <c r="AE24" s="358">
        <f t="shared" si="0"/>
        <v>18</v>
      </c>
    </row>
    <row r="25" spans="1:31">
      <c r="A25" s="139"/>
      <c r="B25" s="8" t="s">
        <v>231</v>
      </c>
      <c r="C25" s="3"/>
      <c r="D25" s="27"/>
      <c r="E25" s="3"/>
      <c r="F25" s="42"/>
      <c r="G25" s="8"/>
      <c r="H25" s="53">
        <f ca="1">SUM($H24:H24)</f>
        <v>0</v>
      </c>
      <c r="I25" s="53">
        <f ca="1">SUM($H24:I24)</f>
        <v>0</v>
      </c>
      <c r="J25" s="53">
        <f ca="1">SUM($H24:J24)</f>
        <v>12017.498924717418</v>
      </c>
      <c r="K25" s="53">
        <f ca="1">SUM($H24:K24)</f>
        <v>26438.49763437832</v>
      </c>
      <c r="L25" s="53">
        <f ca="1">SUM($H24:L24)</f>
        <v>40859.496344039224</v>
      </c>
      <c r="M25" s="53">
        <f ca="1">SUM($H24:M24)</f>
        <v>55280.495053700128</v>
      </c>
      <c r="N25" s="53">
        <f ca="1">SUM($H24:N24)</f>
        <v>69701.493763361024</v>
      </c>
      <c r="O25" s="53">
        <f ca="1">SUM($H24:O24)</f>
        <v>84122.492473021921</v>
      </c>
      <c r="P25" s="53">
        <f ca="1">SUM($H24:P24)</f>
        <v>98543.491182682817</v>
      </c>
      <c r="Q25" s="53">
        <f ca="1">SUM($H24:Q24)</f>
        <v>112964.48989234371</v>
      </c>
      <c r="R25" s="53">
        <f ca="1">SUM($H24:R24)</f>
        <v>127385.48860200461</v>
      </c>
      <c r="S25" s="53">
        <f ca="1">SUM($H24:S24)</f>
        <v>141806.48731166552</v>
      </c>
      <c r="T25" s="53">
        <f ca="1">SUM($H24:T24)</f>
        <v>144209.98709660902</v>
      </c>
      <c r="U25" s="53">
        <f ca="1">SUM($H24:U24)</f>
        <v>144209.98709660902</v>
      </c>
      <c r="V25" s="53">
        <f ca="1">SUM($H24:V24)</f>
        <v>144209.98709660902</v>
      </c>
      <c r="W25" s="53">
        <f ca="1">SUM($H24:W24)</f>
        <v>144209.98709660902</v>
      </c>
      <c r="X25" s="53">
        <f ca="1">SUM($H24:X24)</f>
        <v>144209.98709660902</v>
      </c>
      <c r="Y25" s="53">
        <f ca="1">SUM($H24:Y24)</f>
        <v>144209.98709660902</v>
      </c>
      <c r="Z25" s="53">
        <f ca="1">SUM($H24:Z24)</f>
        <v>144209.98709660902</v>
      </c>
      <c r="AA25" s="53">
        <f ca="1">SUM($H24:AA24)</f>
        <v>144209.98709660902</v>
      </c>
      <c r="AB25" s="53">
        <f ca="1">SUM($H24:AB24)</f>
        <v>144209.98709660902</v>
      </c>
      <c r="AC25" s="420"/>
      <c r="AD25" s="8"/>
      <c r="AE25" s="358">
        <f t="shared" si="0"/>
        <v>19</v>
      </c>
    </row>
    <row r="26" spans="1:31">
      <c r="A26" s="139"/>
      <c r="B26" s="8"/>
      <c r="C26" s="3"/>
      <c r="D26" s="27"/>
      <c r="E26" s="3"/>
      <c r="F26" s="42"/>
      <c r="G26" s="8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0"/>
      <c r="AD26" s="8"/>
      <c r="AE26" s="358">
        <f t="shared" si="0"/>
        <v>20</v>
      </c>
    </row>
    <row r="27" spans="1:31">
      <c r="A27" s="139"/>
      <c r="B27" s="8" t="s">
        <v>232</v>
      </c>
      <c r="C27" s="3"/>
      <c r="D27" s="27"/>
      <c r="E27" s="3"/>
      <c r="F27" s="42"/>
      <c r="G27" s="8"/>
      <c r="H27" s="831">
        <v>0</v>
      </c>
      <c r="I27" s="53">
        <f ca="1">H30</f>
        <v>0</v>
      </c>
      <c r="J27" s="53">
        <f t="shared" ref="J27:Y27" ca="1" si="2">I30</f>
        <v>0</v>
      </c>
      <c r="K27" s="53">
        <f t="shared" ca="1" si="2"/>
        <v>132192.4881718916</v>
      </c>
      <c r="L27" s="53">
        <f t="shared" ca="1" si="2"/>
        <v>117771.4894622307</v>
      </c>
      <c r="M27" s="53">
        <f t="shared" ca="1" si="2"/>
        <v>103350.49075256981</v>
      </c>
      <c r="N27" s="53">
        <f t="shared" ca="1" si="2"/>
        <v>88929.492042908911</v>
      </c>
      <c r="O27" s="53">
        <f t="shared" ca="1" si="2"/>
        <v>74508.493333248014</v>
      </c>
      <c r="P27" s="53">
        <f t="shared" ca="1" si="2"/>
        <v>60087.49462358711</v>
      </c>
      <c r="Q27" s="53">
        <f t="shared" ca="1" si="2"/>
        <v>45666.495913926206</v>
      </c>
      <c r="R27" s="53">
        <f t="shared" ca="1" si="2"/>
        <v>31245.497204265303</v>
      </c>
      <c r="S27" s="53">
        <f t="shared" ca="1" si="2"/>
        <v>16824.498494604399</v>
      </c>
      <c r="T27" s="53">
        <f t="shared" ca="1" si="2"/>
        <v>2403.4997849434967</v>
      </c>
      <c r="U27" s="53">
        <f t="shared" ca="1" si="2"/>
        <v>-5.4569682106375694E-12</v>
      </c>
      <c r="V27" s="53">
        <f t="shared" ca="1" si="2"/>
        <v>-5.4569682106375694E-12</v>
      </c>
      <c r="W27" s="53">
        <f t="shared" ca="1" si="2"/>
        <v>-5.4569682106375694E-12</v>
      </c>
      <c r="X27" s="53">
        <f t="shared" ca="1" si="2"/>
        <v>-5.4569682106375694E-12</v>
      </c>
      <c r="Y27" s="53">
        <f t="shared" ca="1" si="2"/>
        <v>-5.4569682106375694E-12</v>
      </c>
      <c r="Z27" s="53">
        <f ca="1">Y30</f>
        <v>-5.4569682106375694E-12</v>
      </c>
      <c r="AA27" s="53">
        <f ca="1">Z30</f>
        <v>-5.4569682106375694E-12</v>
      </c>
      <c r="AB27" s="53">
        <f ca="1">AA30</f>
        <v>-5.4569682106375694E-12</v>
      </c>
      <c r="AC27" s="420">
        <f>H27</f>
        <v>0</v>
      </c>
      <c r="AD27" s="8"/>
      <c r="AE27" s="358">
        <f t="shared" si="0"/>
        <v>21</v>
      </c>
    </row>
    <row r="28" spans="1:31">
      <c r="A28" s="139"/>
      <c r="B28" s="8" t="s">
        <v>383</v>
      </c>
      <c r="C28" s="3"/>
      <c r="D28" s="27"/>
      <c r="E28" s="3"/>
      <c r="F28" s="42"/>
      <c r="G28" s="8"/>
      <c r="H28" s="53">
        <f t="shared" ref="H28:AB28" si="3">IF(H$7=YEAR(Startops1),$E24,0)</f>
        <v>0</v>
      </c>
      <c r="I28" s="53">
        <f t="shared" si="3"/>
        <v>0</v>
      </c>
      <c r="J28" s="53">
        <f t="shared" ca="1" si="3"/>
        <v>144209.98709660902</v>
      </c>
      <c r="K28" s="53">
        <f t="shared" si="3"/>
        <v>0</v>
      </c>
      <c r="L28" s="53">
        <f t="shared" si="3"/>
        <v>0</v>
      </c>
      <c r="M28" s="53">
        <f t="shared" si="3"/>
        <v>0</v>
      </c>
      <c r="N28" s="53">
        <f t="shared" si="3"/>
        <v>0</v>
      </c>
      <c r="O28" s="53">
        <f t="shared" si="3"/>
        <v>0</v>
      </c>
      <c r="P28" s="53">
        <f t="shared" si="3"/>
        <v>0</v>
      </c>
      <c r="Q28" s="53">
        <f t="shared" si="3"/>
        <v>0</v>
      </c>
      <c r="R28" s="53">
        <f t="shared" si="3"/>
        <v>0</v>
      </c>
      <c r="S28" s="53">
        <f t="shared" si="3"/>
        <v>0</v>
      </c>
      <c r="T28" s="53">
        <f t="shared" si="3"/>
        <v>0</v>
      </c>
      <c r="U28" s="53">
        <f t="shared" si="3"/>
        <v>0</v>
      </c>
      <c r="V28" s="53">
        <f t="shared" si="3"/>
        <v>0</v>
      </c>
      <c r="W28" s="53">
        <f t="shared" si="3"/>
        <v>0</v>
      </c>
      <c r="X28" s="53">
        <f t="shared" si="3"/>
        <v>0</v>
      </c>
      <c r="Y28" s="53">
        <f t="shared" si="3"/>
        <v>0</v>
      </c>
      <c r="Z28" s="53">
        <f t="shared" si="3"/>
        <v>0</v>
      </c>
      <c r="AA28" s="53">
        <f t="shared" si="3"/>
        <v>0</v>
      </c>
      <c r="AB28" s="53">
        <f t="shared" si="3"/>
        <v>0</v>
      </c>
      <c r="AC28" s="420">
        <f ca="1">SUM(H28:AB28)</f>
        <v>144209.98709660902</v>
      </c>
      <c r="AD28" s="8"/>
      <c r="AE28" s="358">
        <f t="shared" si="0"/>
        <v>22</v>
      </c>
    </row>
    <row r="29" spans="1:31">
      <c r="A29" s="139"/>
      <c r="B29" s="8" t="s">
        <v>233</v>
      </c>
      <c r="C29" s="3"/>
      <c r="D29" s="27"/>
      <c r="E29" s="3"/>
      <c r="F29" s="42"/>
      <c r="G29" s="8"/>
      <c r="H29" s="226">
        <f ca="1">-H24</f>
        <v>0</v>
      </c>
      <c r="I29" s="226">
        <f ca="1">-I24</f>
        <v>0</v>
      </c>
      <c r="J29" s="226">
        <f ca="1">-J24</f>
        <v>-12017.498924717418</v>
      </c>
      <c r="K29" s="226">
        <f t="shared" ref="K29:T29" ca="1" si="4">-K24</f>
        <v>-14420.998709660902</v>
      </c>
      <c r="L29" s="226">
        <f t="shared" ca="1" si="4"/>
        <v>-14420.998709660902</v>
      </c>
      <c r="M29" s="226">
        <f t="shared" ca="1" si="4"/>
        <v>-14420.998709660902</v>
      </c>
      <c r="N29" s="226">
        <f t="shared" ca="1" si="4"/>
        <v>-14420.998709660902</v>
      </c>
      <c r="O29" s="226">
        <f t="shared" ca="1" si="4"/>
        <v>-14420.998709660902</v>
      </c>
      <c r="P29" s="226">
        <f t="shared" ca="1" si="4"/>
        <v>-14420.998709660902</v>
      </c>
      <c r="Q29" s="226">
        <f t="shared" ca="1" si="4"/>
        <v>-14420.998709660902</v>
      </c>
      <c r="R29" s="226">
        <f t="shared" ca="1" si="4"/>
        <v>-14420.998709660902</v>
      </c>
      <c r="S29" s="226">
        <f t="shared" ca="1" si="4"/>
        <v>-14420.998709660902</v>
      </c>
      <c r="T29" s="226">
        <f t="shared" ca="1" si="4"/>
        <v>-2403.4997849435022</v>
      </c>
      <c r="U29" s="226">
        <f t="shared" ref="U29:AB29" ca="1" si="5">-U24</f>
        <v>0</v>
      </c>
      <c r="V29" s="226">
        <f t="shared" ca="1" si="5"/>
        <v>0</v>
      </c>
      <c r="W29" s="226">
        <f t="shared" ca="1" si="5"/>
        <v>0</v>
      </c>
      <c r="X29" s="226">
        <f t="shared" ca="1" si="5"/>
        <v>0</v>
      </c>
      <c r="Y29" s="226">
        <f t="shared" ca="1" si="5"/>
        <v>0</v>
      </c>
      <c r="Z29" s="226">
        <f t="shared" ca="1" si="5"/>
        <v>0</v>
      </c>
      <c r="AA29" s="226">
        <f t="shared" ca="1" si="5"/>
        <v>0</v>
      </c>
      <c r="AB29" s="226">
        <f t="shared" ca="1" si="5"/>
        <v>0</v>
      </c>
      <c r="AC29" s="421">
        <f ca="1">SUM(H29:AB29)</f>
        <v>-144209.98709660902</v>
      </c>
      <c r="AD29" s="8"/>
      <c r="AE29" s="358">
        <f t="shared" si="0"/>
        <v>23</v>
      </c>
    </row>
    <row r="30" spans="1:31">
      <c r="A30" s="404"/>
      <c r="B30" s="10" t="s">
        <v>234</v>
      </c>
      <c r="C30" s="11"/>
      <c r="D30" s="31"/>
      <c r="E30" s="11"/>
      <c r="F30" s="323"/>
      <c r="G30" s="10"/>
      <c r="H30" s="64">
        <f ca="1">SUM(H27:H29)</f>
        <v>0</v>
      </c>
      <c r="I30" s="64">
        <f ca="1">SUM(I27:I29)</f>
        <v>0</v>
      </c>
      <c r="J30" s="64">
        <f ca="1">SUM(J27:J29)</f>
        <v>132192.4881718916</v>
      </c>
      <c r="K30" s="64">
        <f t="shared" ref="K30:T30" ca="1" si="6">SUM(K27:K29)</f>
        <v>117771.4894622307</v>
      </c>
      <c r="L30" s="64">
        <f t="shared" ca="1" si="6"/>
        <v>103350.49075256981</v>
      </c>
      <c r="M30" s="64">
        <f t="shared" ca="1" si="6"/>
        <v>88929.492042908911</v>
      </c>
      <c r="N30" s="64">
        <f t="shared" ca="1" si="6"/>
        <v>74508.493333248014</v>
      </c>
      <c r="O30" s="64">
        <f t="shared" ca="1" si="6"/>
        <v>60087.49462358711</v>
      </c>
      <c r="P30" s="64">
        <f t="shared" ca="1" si="6"/>
        <v>45666.495913926206</v>
      </c>
      <c r="Q30" s="64">
        <f t="shared" ca="1" si="6"/>
        <v>31245.497204265303</v>
      </c>
      <c r="R30" s="64">
        <f t="shared" ca="1" si="6"/>
        <v>16824.498494604399</v>
      </c>
      <c r="S30" s="64">
        <f t="shared" ca="1" si="6"/>
        <v>2403.4997849434967</v>
      </c>
      <c r="T30" s="64">
        <f t="shared" ca="1" si="6"/>
        <v>-5.4569682106375694E-12</v>
      </c>
      <c r="U30" s="64">
        <f t="shared" ref="U30:AC30" ca="1" si="7">SUM(U27:U29)</f>
        <v>-5.4569682106375694E-12</v>
      </c>
      <c r="V30" s="64">
        <f t="shared" ca="1" si="7"/>
        <v>-5.4569682106375694E-12</v>
      </c>
      <c r="W30" s="64">
        <f t="shared" ca="1" si="7"/>
        <v>-5.4569682106375694E-12</v>
      </c>
      <c r="X30" s="64">
        <f t="shared" ca="1" si="7"/>
        <v>-5.4569682106375694E-12</v>
      </c>
      <c r="Y30" s="64">
        <f t="shared" ca="1" si="7"/>
        <v>-5.4569682106375694E-12</v>
      </c>
      <c r="Z30" s="64">
        <f t="shared" ca="1" si="7"/>
        <v>-5.4569682106375694E-12</v>
      </c>
      <c r="AA30" s="64">
        <f t="shared" ca="1" si="7"/>
        <v>-5.4569682106375694E-12</v>
      </c>
      <c r="AB30" s="64">
        <f t="shared" ca="1" si="7"/>
        <v>-5.4569682106375694E-12</v>
      </c>
      <c r="AC30" s="483">
        <f t="shared" ca="1" si="7"/>
        <v>0</v>
      </c>
      <c r="AD30" s="8"/>
      <c r="AE30" s="358">
        <f t="shared" si="0"/>
        <v>24</v>
      </c>
    </row>
    <row r="31" spans="1:31">
      <c r="A31" s="403"/>
      <c r="B31" s="8"/>
      <c r="C31" s="3"/>
      <c r="D31" s="8"/>
      <c r="E31" s="3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416"/>
      <c r="AD31" s="8"/>
      <c r="AE31" s="358">
        <f t="shared" si="0"/>
        <v>25</v>
      </c>
    </row>
    <row r="32" spans="1:31" s="8" customFormat="1">
      <c r="A32" s="146" t="s">
        <v>639</v>
      </c>
      <c r="B32" s="32"/>
      <c r="C32" s="109" t="s">
        <v>382</v>
      </c>
      <c r="D32" s="92"/>
      <c r="E32" s="109" t="s">
        <v>227</v>
      </c>
      <c r="F32" s="326"/>
      <c r="AC32" s="416"/>
      <c r="AE32" s="358">
        <f t="shared" si="0"/>
        <v>26</v>
      </c>
    </row>
    <row r="33" spans="1:31">
      <c r="A33" s="139" t="s">
        <v>235</v>
      </c>
      <c r="B33" s="8"/>
      <c r="C33" s="324" t="s">
        <v>381</v>
      </c>
      <c r="D33" s="92"/>
      <c r="E33" s="324" t="s">
        <v>229</v>
      </c>
      <c r="F33" s="32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416"/>
      <c r="AD33" s="8"/>
      <c r="AE33" s="358">
        <f t="shared" si="0"/>
        <v>27</v>
      </c>
    </row>
    <row r="34" spans="1:31">
      <c r="A34" s="139"/>
      <c r="B34" s="8" t="s">
        <v>236</v>
      </c>
      <c r="C34" s="325">
        <f>Assm!$K$42</f>
        <v>20</v>
      </c>
      <c r="D34" s="92"/>
      <c r="E34" s="894">
        <f ca="1">Assm!$J$42</f>
        <v>144209.98709660902</v>
      </c>
      <c r="F34" s="326"/>
      <c r="G34" s="8"/>
      <c r="H34" s="53">
        <f ca="1">IF($C34&lt;=Term,IF(SUM($H$9:H$9)&gt;$C34*12,$E34-SUM($G34:G34), SLN($E34,0,$C34)*H$9/12),$E34/Term*H$9/12)</f>
        <v>0</v>
      </c>
      <c r="I34" s="53">
        <f ca="1">IF($C34&lt;=Term,IF(SUM($H$9:I$9)&gt;$C34*12,$E34-SUM($G34:H34), SLN($E34,0,$C34)*I$9/12),$E34/Term*I$9/12)</f>
        <v>0</v>
      </c>
      <c r="J34" s="53">
        <f ca="1">IF($C34&lt;=Term,IF(SUM($H$9:J$9)&gt;$C34*12,$E34-SUM($G34:I34), SLN($E34,0,$C34)*J$9/12),$E34/Term*J$9/12)</f>
        <v>6008.749462358709</v>
      </c>
      <c r="K34" s="53">
        <f ca="1">IF($C34&lt;=Term,IF(SUM($H$9:K$9)&gt;$C34*12,$E34-SUM($G34:J34), SLN($E34,0,$C34)*K$9/12),$E34/Term*K$9/12)</f>
        <v>7210.499354830451</v>
      </c>
      <c r="L34" s="53">
        <f ca="1">IF($C34&lt;=Term,IF(SUM($H$9:L$9)&gt;$C34*12,$E34-SUM($G34:K34), SLN($E34,0,$C34)*L$9/12),$E34/Term*L$9/12)</f>
        <v>7210.499354830451</v>
      </c>
      <c r="M34" s="53">
        <f ca="1">IF($C34&lt;=Term,IF(SUM($H$9:M$9)&gt;$C34*12,$E34-SUM($G34:L34), SLN($E34,0,$C34)*M$9/12),$E34/Term*M$9/12)</f>
        <v>7210.499354830451</v>
      </c>
      <c r="N34" s="53">
        <f ca="1">IF($C34&lt;=Term,IF(SUM($H$9:N$9)&gt;$C34*12,$E34-SUM($G34:M34), SLN($E34,0,$C34)*N$9/12),$E34/Term*N$9/12)</f>
        <v>7210.499354830451</v>
      </c>
      <c r="O34" s="53">
        <f ca="1">IF($C34&lt;=Term,IF(SUM($H$9:O$9)&gt;$C34*12,$E34-SUM($G34:N34), SLN($E34,0,$C34)*O$9/12),$E34/Term*O$9/12)</f>
        <v>7210.499354830451</v>
      </c>
      <c r="P34" s="53">
        <f ca="1">IF($C34&lt;=Term,IF(SUM($H$9:P$9)&gt;$C34*12,$E34-SUM($G34:O34), SLN($E34,0,$C34)*P$9/12),$E34/Term*P$9/12)</f>
        <v>7210.499354830451</v>
      </c>
      <c r="Q34" s="53">
        <f ca="1">IF($C34&lt;=Term,IF(SUM($H$9:Q$9)&gt;$C34*12,$E34-SUM($G34:P34), SLN($E34,0,$C34)*Q$9/12),$E34/Term*Q$9/12)</f>
        <v>7210.499354830451</v>
      </c>
      <c r="R34" s="53">
        <f ca="1">IF($C34&lt;=Term,IF(SUM($H$9:R$9)&gt;$C34*12,$E34-SUM($G34:Q34), SLN($E34,0,$C34)*R$9/12),$E34/Term*R$9/12)</f>
        <v>7210.499354830451</v>
      </c>
      <c r="S34" s="53">
        <f ca="1">IF($C34&lt;=Term,IF(SUM($H$9:S$9)&gt;$C34*12,$E34-SUM($G34:R34), SLN($E34,0,$C34)*S$9/12),$E34/Term*S$9/12)</f>
        <v>7210.499354830451</v>
      </c>
      <c r="T34" s="53">
        <f ca="1">IF($C34&lt;=Term,IF(SUM($H$9:T$9)&gt;$C34*12,$E34-SUM($G34:S34), SLN($E34,0,$C34)*T$9/12),$E34/Term*T$9/12)</f>
        <v>7210.499354830451</v>
      </c>
      <c r="U34" s="53">
        <f ca="1">IF($C34&lt;=Term,IF(SUM($H$9:U$9)&gt;$C34*12,$E34-SUM($G34:T34), SLN($E34,0,$C34)*U$9/12),$E34/Term*U$9/12)</f>
        <v>7210.499354830451</v>
      </c>
      <c r="V34" s="53">
        <f ca="1">IF($C34&lt;=Term,IF(SUM($H$9:V$9)&gt;$C34*12,$E34-SUM($G34:U34), SLN($E34,0,$C34)*V$9/12),$E34/Term*V$9/12)</f>
        <v>7210.499354830451</v>
      </c>
      <c r="W34" s="53">
        <f ca="1">IF($C34&lt;=Term,IF(SUM($H$9:W$9)&gt;$C34*12,$E34-SUM($G34:V34), SLN($E34,0,$C34)*W$9/12),$E34/Term*W$9/12)</f>
        <v>7210.499354830451</v>
      </c>
      <c r="X34" s="53">
        <f ca="1">IF($C34&lt;=Term,IF(SUM($H$9:X$9)&gt;$C34*12,$E34-SUM($G34:W34), SLN($E34,0,$C34)*X$9/12),$E34/Term*X$9/12)</f>
        <v>7210.499354830451</v>
      </c>
      <c r="Y34" s="53">
        <f ca="1">IF($C34&lt;=Term,IF(SUM($H$9:Y$9)&gt;$C34*12,$E34-SUM($G34:X34), SLN($E34,0,$C34)*Y$9/12),$E34/Term*Y$9/12)</f>
        <v>7210.499354830451</v>
      </c>
      <c r="Z34" s="53">
        <f ca="1">IF($C34&lt;=Term,IF(SUM($H$9:Z$9)&gt;$C34*12,$E34-SUM($G34:Y34), SLN($E34,0,$C34)*Z$9/12),$E34/Term*Z$9/12)</f>
        <v>7210.499354830451</v>
      </c>
      <c r="AA34" s="53">
        <f ca="1">IF($C34&lt;=Term,IF(SUM($H$9:AA$9)&gt;$C34*12,$E34-SUM($G34:Z34), SLN($E34,0,$C34)*AA$9/12),$E34/Term*AA$9/12)</f>
        <v>7210.499354830451</v>
      </c>
      <c r="AB34" s="53">
        <f ca="1">IF($C34&lt;=Term,IF(SUM($H$9:AB$9)&gt;$C34*12,$E34-SUM($G34:AA34), SLN($E34,0,$C34)*AB$9/12),$E34/Term*AB$9/12)</f>
        <v>2403.4997849434835</v>
      </c>
      <c r="AC34" s="420">
        <f ca="1">SUM(H34:AB34)</f>
        <v>130990.73827941983</v>
      </c>
      <c r="AD34" s="8"/>
      <c r="AE34" s="358">
        <f t="shared" si="0"/>
        <v>28</v>
      </c>
    </row>
    <row r="35" spans="1:31">
      <c r="A35" s="139"/>
      <c r="B35" s="8" t="s">
        <v>237</v>
      </c>
      <c r="C35" s="3"/>
      <c r="D35" s="27"/>
      <c r="E35" s="3"/>
      <c r="F35" s="42"/>
      <c r="G35" s="8"/>
      <c r="H35" s="53">
        <f ca="1">SUM($H34:H34)</f>
        <v>0</v>
      </c>
      <c r="I35" s="53">
        <f ca="1">SUM($H34:I34)</f>
        <v>0</v>
      </c>
      <c r="J35" s="53">
        <f ca="1">SUM($H34:J34)</f>
        <v>6008.749462358709</v>
      </c>
      <c r="K35" s="53">
        <f ca="1">SUM($H34:K34)</f>
        <v>13219.24881718916</v>
      </c>
      <c r="L35" s="53">
        <f ca="1">SUM($H34:L34)</f>
        <v>20429.748172019612</v>
      </c>
      <c r="M35" s="53">
        <f ca="1">SUM($H34:M34)</f>
        <v>27640.247526850064</v>
      </c>
      <c r="N35" s="53">
        <f ca="1">SUM($H34:N34)</f>
        <v>34850.746881680512</v>
      </c>
      <c r="O35" s="53">
        <f ca="1">SUM($H34:O34)</f>
        <v>42061.24623651096</v>
      </c>
      <c r="P35" s="53">
        <f ca="1">SUM($H34:P34)</f>
        <v>49271.745591341409</v>
      </c>
      <c r="Q35" s="53">
        <f ca="1">SUM($H34:Q34)</f>
        <v>56482.244946171857</v>
      </c>
      <c r="R35" s="53">
        <f ca="1">SUM($H34:R34)</f>
        <v>63692.744301002305</v>
      </c>
      <c r="S35" s="53">
        <f ca="1">SUM($H34:S34)</f>
        <v>70903.243655832761</v>
      </c>
      <c r="T35" s="53">
        <f ca="1">SUM($H34:T34)</f>
        <v>78113.743010663209</v>
      </c>
      <c r="U35" s="53">
        <f ca="1">SUM($H34:U34)</f>
        <v>85324.242365493657</v>
      </c>
      <c r="V35" s="53">
        <f ca="1">SUM($H34:V34)</f>
        <v>92534.741720324106</v>
      </c>
      <c r="W35" s="53">
        <f ca="1">SUM($H34:W34)</f>
        <v>99745.241075154554</v>
      </c>
      <c r="X35" s="53">
        <f ca="1">SUM($H34:X34)</f>
        <v>106955.740429985</v>
      </c>
      <c r="Y35" s="53">
        <f ca="1">SUM($H34:Y34)</f>
        <v>114166.23978481545</v>
      </c>
      <c r="Z35" s="53">
        <f ca="1">SUM($H34:Z34)</f>
        <v>121376.7391396459</v>
      </c>
      <c r="AA35" s="53">
        <f ca="1">SUM($H34:AA34)</f>
        <v>128587.23849447635</v>
      </c>
      <c r="AB35" s="53">
        <f ca="1">SUM($H34:AB34)</f>
        <v>130990.73827941983</v>
      </c>
      <c r="AC35" s="420"/>
      <c r="AD35" s="8"/>
      <c r="AE35" s="358">
        <f t="shared" si="0"/>
        <v>29</v>
      </c>
    </row>
    <row r="36" spans="1:31">
      <c r="A36" s="139"/>
      <c r="B36" s="8"/>
      <c r="C36" s="3"/>
      <c r="D36" s="27"/>
      <c r="E36" s="3"/>
      <c r="F36" s="42"/>
      <c r="G36" s="8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420"/>
      <c r="AD36" s="8"/>
      <c r="AE36" s="358">
        <f t="shared" si="0"/>
        <v>30</v>
      </c>
    </row>
    <row r="37" spans="1:31">
      <c r="A37" s="139"/>
      <c r="B37" s="8" t="s">
        <v>238</v>
      </c>
      <c r="C37" s="3"/>
      <c r="D37" s="27"/>
      <c r="E37" s="3"/>
      <c r="F37" s="42"/>
      <c r="G37" s="8"/>
      <c r="H37" s="831">
        <v>0</v>
      </c>
      <c r="I37" s="53">
        <f ca="1">H40</f>
        <v>0</v>
      </c>
      <c r="J37" s="53">
        <f t="shared" ref="J37:Y37" ca="1" si="8">I40</f>
        <v>0</v>
      </c>
      <c r="K37" s="53">
        <f t="shared" ca="1" si="8"/>
        <v>138201.23763425031</v>
      </c>
      <c r="L37" s="53">
        <f t="shared" ca="1" si="8"/>
        <v>130990.73827941986</v>
      </c>
      <c r="M37" s="53">
        <f t="shared" ca="1" si="8"/>
        <v>123780.23892458942</v>
      </c>
      <c r="N37" s="53">
        <f t="shared" ca="1" si="8"/>
        <v>116569.73956975897</v>
      </c>
      <c r="O37" s="53">
        <f t="shared" ca="1" si="8"/>
        <v>109359.24021492852</v>
      </c>
      <c r="P37" s="53">
        <f t="shared" ca="1" si="8"/>
        <v>102148.74086009807</v>
      </c>
      <c r="Q37" s="53">
        <f t="shared" ca="1" si="8"/>
        <v>94938.241505267622</v>
      </c>
      <c r="R37" s="53">
        <f t="shared" ca="1" si="8"/>
        <v>87727.742150437174</v>
      </c>
      <c r="S37" s="53">
        <f t="shared" ca="1" si="8"/>
        <v>80517.242795606726</v>
      </c>
      <c r="T37" s="53">
        <f t="shared" ca="1" si="8"/>
        <v>73306.743440776278</v>
      </c>
      <c r="U37" s="53">
        <f t="shared" ca="1" si="8"/>
        <v>66096.244085945829</v>
      </c>
      <c r="V37" s="53">
        <f t="shared" ca="1" si="8"/>
        <v>58885.744731115381</v>
      </c>
      <c r="W37" s="53">
        <f t="shared" ca="1" si="8"/>
        <v>51675.245376284933</v>
      </c>
      <c r="X37" s="53">
        <f t="shared" ca="1" si="8"/>
        <v>44464.746021454484</v>
      </c>
      <c r="Y37" s="53">
        <f t="shared" ca="1" si="8"/>
        <v>37254.246666624036</v>
      </c>
      <c r="Z37" s="53">
        <f ca="1">Y40</f>
        <v>30043.747311793584</v>
      </c>
      <c r="AA37" s="53">
        <f ca="1">Z40</f>
        <v>22833.247956963132</v>
      </c>
      <c r="AB37" s="53">
        <f ca="1">AA40</f>
        <v>15622.74860213268</v>
      </c>
      <c r="AC37" s="420">
        <f>H37</f>
        <v>0</v>
      </c>
      <c r="AD37" s="8"/>
      <c r="AE37" s="358">
        <f t="shared" si="0"/>
        <v>31</v>
      </c>
    </row>
    <row r="38" spans="1:31">
      <c r="A38" s="139"/>
      <c r="B38" s="8" t="s">
        <v>383</v>
      </c>
      <c r="C38" s="3"/>
      <c r="D38" s="27"/>
      <c r="E38" s="3"/>
      <c r="F38" s="42"/>
      <c r="G38" s="8"/>
      <c r="H38" s="53">
        <f t="shared" ref="H38:AB38" si="9">IF(H$7=YEAR(Startops1),$E34,0)</f>
        <v>0</v>
      </c>
      <c r="I38" s="53">
        <f t="shared" si="9"/>
        <v>0</v>
      </c>
      <c r="J38" s="53">
        <f t="shared" ca="1" si="9"/>
        <v>144209.98709660902</v>
      </c>
      <c r="K38" s="53">
        <f t="shared" si="9"/>
        <v>0</v>
      </c>
      <c r="L38" s="53">
        <f t="shared" si="9"/>
        <v>0</v>
      </c>
      <c r="M38" s="53">
        <f t="shared" si="9"/>
        <v>0</v>
      </c>
      <c r="N38" s="53">
        <f t="shared" si="9"/>
        <v>0</v>
      </c>
      <c r="O38" s="53">
        <f t="shared" si="9"/>
        <v>0</v>
      </c>
      <c r="P38" s="53">
        <f t="shared" si="9"/>
        <v>0</v>
      </c>
      <c r="Q38" s="53">
        <f t="shared" si="9"/>
        <v>0</v>
      </c>
      <c r="R38" s="53">
        <f t="shared" si="9"/>
        <v>0</v>
      </c>
      <c r="S38" s="53">
        <f t="shared" si="9"/>
        <v>0</v>
      </c>
      <c r="T38" s="53">
        <f t="shared" si="9"/>
        <v>0</v>
      </c>
      <c r="U38" s="53">
        <f t="shared" si="9"/>
        <v>0</v>
      </c>
      <c r="V38" s="53">
        <f t="shared" si="9"/>
        <v>0</v>
      </c>
      <c r="W38" s="53">
        <f t="shared" si="9"/>
        <v>0</v>
      </c>
      <c r="X38" s="53">
        <f t="shared" si="9"/>
        <v>0</v>
      </c>
      <c r="Y38" s="53">
        <f t="shared" si="9"/>
        <v>0</v>
      </c>
      <c r="Z38" s="53">
        <f t="shared" si="9"/>
        <v>0</v>
      </c>
      <c r="AA38" s="53">
        <f t="shared" si="9"/>
        <v>0</v>
      </c>
      <c r="AB38" s="53">
        <f t="shared" si="9"/>
        <v>0</v>
      </c>
      <c r="AC38" s="420">
        <f ca="1">SUM(H38:AB38)</f>
        <v>144209.98709660902</v>
      </c>
      <c r="AD38" s="8"/>
      <c r="AE38" s="358">
        <f t="shared" si="0"/>
        <v>32</v>
      </c>
    </row>
    <row r="39" spans="1:31">
      <c r="A39" s="139"/>
      <c r="B39" s="8" t="s">
        <v>233</v>
      </c>
      <c r="C39" s="3"/>
      <c r="D39" s="27"/>
      <c r="E39" s="3"/>
      <c r="F39" s="42"/>
      <c r="G39" s="8"/>
      <c r="H39" s="226">
        <f ca="1">-H34</f>
        <v>0</v>
      </c>
      <c r="I39" s="226">
        <f ca="1">-I34</f>
        <v>0</v>
      </c>
      <c r="J39" s="226">
        <f ca="1">-J34</f>
        <v>-6008.749462358709</v>
      </c>
      <c r="K39" s="226">
        <f t="shared" ref="K39:Y39" ca="1" si="10">-K34</f>
        <v>-7210.499354830451</v>
      </c>
      <c r="L39" s="226">
        <f t="shared" ca="1" si="10"/>
        <v>-7210.499354830451</v>
      </c>
      <c r="M39" s="226">
        <f t="shared" ca="1" si="10"/>
        <v>-7210.499354830451</v>
      </c>
      <c r="N39" s="226">
        <f t="shared" ca="1" si="10"/>
        <v>-7210.499354830451</v>
      </c>
      <c r="O39" s="226">
        <f t="shared" ca="1" si="10"/>
        <v>-7210.499354830451</v>
      </c>
      <c r="P39" s="226">
        <f t="shared" ca="1" si="10"/>
        <v>-7210.499354830451</v>
      </c>
      <c r="Q39" s="226">
        <f t="shared" ca="1" si="10"/>
        <v>-7210.499354830451</v>
      </c>
      <c r="R39" s="226">
        <f t="shared" ca="1" si="10"/>
        <v>-7210.499354830451</v>
      </c>
      <c r="S39" s="226">
        <f t="shared" ca="1" si="10"/>
        <v>-7210.499354830451</v>
      </c>
      <c r="T39" s="226">
        <f t="shared" ca="1" si="10"/>
        <v>-7210.499354830451</v>
      </c>
      <c r="U39" s="226">
        <f t="shared" ca="1" si="10"/>
        <v>-7210.499354830451</v>
      </c>
      <c r="V39" s="226">
        <f t="shared" ca="1" si="10"/>
        <v>-7210.499354830451</v>
      </c>
      <c r="W39" s="226">
        <f t="shared" ca="1" si="10"/>
        <v>-7210.499354830451</v>
      </c>
      <c r="X39" s="226">
        <f t="shared" ca="1" si="10"/>
        <v>-7210.499354830451</v>
      </c>
      <c r="Y39" s="226">
        <f t="shared" ca="1" si="10"/>
        <v>-7210.499354830451</v>
      </c>
      <c r="Z39" s="226">
        <f ca="1">-Z34</f>
        <v>-7210.499354830451</v>
      </c>
      <c r="AA39" s="226">
        <f ca="1">-AA34</f>
        <v>-7210.499354830451</v>
      </c>
      <c r="AB39" s="226">
        <f ca="1">-AB34</f>
        <v>-2403.4997849434835</v>
      </c>
      <c r="AC39" s="421">
        <f ca="1">SUM(H39:AB39)</f>
        <v>-130990.73827941983</v>
      </c>
      <c r="AD39" s="8"/>
      <c r="AE39" s="358">
        <f t="shared" si="0"/>
        <v>33</v>
      </c>
    </row>
    <row r="40" spans="1:31">
      <c r="A40" s="404"/>
      <c r="B40" s="10" t="s">
        <v>239</v>
      </c>
      <c r="C40" s="11"/>
      <c r="D40" s="31"/>
      <c r="E40" s="11"/>
      <c r="F40" s="323"/>
      <c r="G40" s="10"/>
      <c r="H40" s="64">
        <f t="shared" ref="H40:AC40" ca="1" si="11">SUM(H37:H39)</f>
        <v>0</v>
      </c>
      <c r="I40" s="64">
        <f t="shared" ca="1" si="11"/>
        <v>0</v>
      </c>
      <c r="J40" s="64">
        <f t="shared" ca="1" si="11"/>
        <v>138201.23763425031</v>
      </c>
      <c r="K40" s="64">
        <f t="shared" ca="1" si="11"/>
        <v>130990.73827941986</v>
      </c>
      <c r="L40" s="64">
        <f t="shared" ca="1" si="11"/>
        <v>123780.23892458942</v>
      </c>
      <c r="M40" s="64">
        <f t="shared" ca="1" si="11"/>
        <v>116569.73956975897</v>
      </c>
      <c r="N40" s="64">
        <f t="shared" ca="1" si="11"/>
        <v>109359.24021492852</v>
      </c>
      <c r="O40" s="64">
        <f t="shared" ca="1" si="11"/>
        <v>102148.74086009807</v>
      </c>
      <c r="P40" s="64">
        <f t="shared" ca="1" si="11"/>
        <v>94938.241505267622</v>
      </c>
      <c r="Q40" s="64">
        <f t="shared" ca="1" si="11"/>
        <v>87727.742150437174</v>
      </c>
      <c r="R40" s="64">
        <f t="shared" ca="1" si="11"/>
        <v>80517.242795606726</v>
      </c>
      <c r="S40" s="64">
        <f t="shared" ca="1" si="11"/>
        <v>73306.743440776278</v>
      </c>
      <c r="T40" s="64">
        <f t="shared" ca="1" si="11"/>
        <v>66096.244085945829</v>
      </c>
      <c r="U40" s="64">
        <f t="shared" ca="1" si="11"/>
        <v>58885.744731115381</v>
      </c>
      <c r="V40" s="64">
        <f t="shared" ca="1" si="11"/>
        <v>51675.245376284933</v>
      </c>
      <c r="W40" s="64">
        <f t="shared" ca="1" si="11"/>
        <v>44464.746021454484</v>
      </c>
      <c r="X40" s="64">
        <f t="shared" ca="1" si="11"/>
        <v>37254.246666624036</v>
      </c>
      <c r="Y40" s="64">
        <f t="shared" ca="1" si="11"/>
        <v>30043.747311793584</v>
      </c>
      <c r="Z40" s="64">
        <f ca="1">SUM(Z37:Z39)</f>
        <v>22833.247956963132</v>
      </c>
      <c r="AA40" s="64">
        <f ca="1">SUM(AA37:AA39)</f>
        <v>15622.74860213268</v>
      </c>
      <c r="AB40" s="64">
        <f ca="1">SUM(AB37:AB39)</f>
        <v>13219.248817189196</v>
      </c>
      <c r="AC40" s="483">
        <f t="shared" ca="1" si="11"/>
        <v>13219.248817189189</v>
      </c>
      <c r="AD40" s="8"/>
      <c r="AE40" s="358">
        <f t="shared" si="0"/>
        <v>34</v>
      </c>
    </row>
    <row r="41" spans="1:31">
      <c r="A41" s="403"/>
      <c r="B41" s="8"/>
      <c r="C41" s="3"/>
      <c r="D41" s="8"/>
      <c r="E41" s="3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416"/>
      <c r="AD41" s="8"/>
      <c r="AE41" s="358">
        <f t="shared" si="0"/>
        <v>35</v>
      </c>
    </row>
    <row r="42" spans="1:31" s="8" customFormat="1">
      <c r="A42" s="146" t="s">
        <v>640</v>
      </c>
      <c r="B42" s="32"/>
      <c r="C42" s="109" t="s">
        <v>382</v>
      </c>
      <c r="D42" s="92"/>
      <c r="E42" s="109" t="s">
        <v>227</v>
      </c>
      <c r="F42" s="326"/>
      <c r="AC42" s="416"/>
      <c r="AE42" s="358">
        <f t="shared" si="0"/>
        <v>36</v>
      </c>
    </row>
    <row r="43" spans="1:31">
      <c r="A43" s="139" t="s">
        <v>240</v>
      </c>
      <c r="B43" s="8"/>
      <c r="C43" s="324" t="s">
        <v>381</v>
      </c>
      <c r="D43" s="92"/>
      <c r="E43" s="324" t="s">
        <v>229</v>
      </c>
      <c r="F43" s="32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416"/>
      <c r="AD43" s="8"/>
      <c r="AE43" s="358">
        <f t="shared" si="0"/>
        <v>37</v>
      </c>
    </row>
    <row r="44" spans="1:31">
      <c r="A44" s="139"/>
      <c r="B44" s="8" t="s">
        <v>386</v>
      </c>
      <c r="C44" s="325">
        <f>Assm!$K$43</f>
        <v>20</v>
      </c>
      <c r="D44" s="92"/>
      <c r="E44" s="894">
        <f ca="1">Assm!$J$43</f>
        <v>144209.98709660902</v>
      </c>
      <c r="F44" s="326"/>
      <c r="G44" s="8"/>
      <c r="H44" s="53">
        <f ca="1">IF($C44&lt;=Term,IF(SUM($H$9:H$9)&gt;$C44*12,$E44-SUM($G44:G44), SLN($E44,0,$C44)*H$9/12),$E44/Term*H$9/12)</f>
        <v>0</v>
      </c>
      <c r="I44" s="53">
        <f ca="1">IF($C44&lt;=Term,IF(SUM($H$9:I$9)&gt;$C44*12,$E44-SUM($G44:H44), SLN($E44,0,$C44)*I$9/12),$E44/Term*I$9/12)</f>
        <v>0</v>
      </c>
      <c r="J44" s="53">
        <f ca="1">IF($C44&lt;=Term,IF(SUM($H$9:J$9)&gt;$C44*12,$E44-SUM($G44:I44), SLN($E44,0,$C44)*J$9/12),$E44/Term*J$9/12)</f>
        <v>6008.749462358709</v>
      </c>
      <c r="K44" s="53">
        <f ca="1">IF($C44&lt;=Term,IF(SUM($H$9:K$9)&gt;$C44*12,$E44-SUM($G44:J44), SLN($E44,0,$C44)*K$9/12),$E44/Term*K$9/12)</f>
        <v>7210.499354830451</v>
      </c>
      <c r="L44" s="53">
        <f ca="1">IF($C44&lt;=Term,IF(SUM($H$9:L$9)&gt;$C44*12,$E44-SUM($G44:K44), SLN($E44,0,$C44)*L$9/12),$E44/Term*L$9/12)</f>
        <v>7210.499354830451</v>
      </c>
      <c r="M44" s="53">
        <f ca="1">IF($C44&lt;=Term,IF(SUM($H$9:M$9)&gt;$C44*12,$E44-SUM($G44:L44), SLN($E44,0,$C44)*M$9/12),$E44/Term*M$9/12)</f>
        <v>7210.499354830451</v>
      </c>
      <c r="N44" s="53">
        <f ca="1">IF($C44&lt;=Term,IF(SUM($H$9:N$9)&gt;$C44*12,$E44-SUM($G44:M44), SLN($E44,0,$C44)*N$9/12),$E44/Term*N$9/12)</f>
        <v>7210.499354830451</v>
      </c>
      <c r="O44" s="53">
        <f ca="1">IF($C44&lt;=Term,IF(SUM($H$9:O$9)&gt;$C44*12,$E44-SUM($G44:N44), SLN($E44,0,$C44)*O$9/12),$E44/Term*O$9/12)</f>
        <v>7210.499354830451</v>
      </c>
      <c r="P44" s="53">
        <f ca="1">IF($C44&lt;=Term,IF(SUM($H$9:P$9)&gt;$C44*12,$E44-SUM($G44:O44), SLN($E44,0,$C44)*P$9/12),$E44/Term*P$9/12)</f>
        <v>7210.499354830451</v>
      </c>
      <c r="Q44" s="53">
        <f ca="1">IF($C44&lt;=Term,IF(SUM($H$9:Q$9)&gt;$C44*12,$E44-SUM($G44:P44), SLN($E44,0,$C44)*Q$9/12),$E44/Term*Q$9/12)</f>
        <v>7210.499354830451</v>
      </c>
      <c r="R44" s="53">
        <f ca="1">IF($C44&lt;=Term,IF(SUM($H$9:R$9)&gt;$C44*12,$E44-SUM($G44:Q44), SLN($E44,0,$C44)*R$9/12),$E44/Term*R$9/12)</f>
        <v>7210.499354830451</v>
      </c>
      <c r="S44" s="53">
        <f ca="1">IF($C44&lt;=Term,IF(SUM($H$9:S$9)&gt;$C44*12,$E44-SUM($G44:R44), SLN($E44,0,$C44)*S$9/12),$E44/Term*S$9/12)</f>
        <v>7210.499354830451</v>
      </c>
      <c r="T44" s="53">
        <f ca="1">IF($C44&lt;=Term,IF(SUM($H$9:T$9)&gt;$C44*12,$E44-SUM($G44:S44), SLN($E44,0,$C44)*T$9/12),$E44/Term*T$9/12)</f>
        <v>7210.499354830451</v>
      </c>
      <c r="U44" s="53">
        <f ca="1">IF($C44&lt;=Term,IF(SUM($H$9:U$9)&gt;$C44*12,$E44-SUM($G44:T44), SLN($E44,0,$C44)*U$9/12),$E44/Term*U$9/12)</f>
        <v>7210.499354830451</v>
      </c>
      <c r="V44" s="53">
        <f ca="1">IF($C44&lt;=Term,IF(SUM($H$9:V$9)&gt;$C44*12,$E44-SUM($G44:U44), SLN($E44,0,$C44)*V$9/12),$E44/Term*V$9/12)</f>
        <v>7210.499354830451</v>
      </c>
      <c r="W44" s="53">
        <f ca="1">IF($C44&lt;=Term,IF(SUM($H$9:W$9)&gt;$C44*12,$E44-SUM($G44:V44), SLN($E44,0,$C44)*W$9/12),$E44/Term*W$9/12)</f>
        <v>7210.499354830451</v>
      </c>
      <c r="X44" s="53">
        <f ca="1">IF($C44&lt;=Term,IF(SUM($H$9:X$9)&gt;$C44*12,$E44-SUM($G44:W44), SLN($E44,0,$C44)*X$9/12),$E44/Term*X$9/12)</f>
        <v>7210.499354830451</v>
      </c>
      <c r="Y44" s="53">
        <f ca="1">IF($C44&lt;=Term,IF(SUM($H$9:Y$9)&gt;$C44*12,$E44-SUM($G44:X44), SLN($E44,0,$C44)*Y$9/12),$E44/Term*Y$9/12)</f>
        <v>7210.499354830451</v>
      </c>
      <c r="Z44" s="53">
        <f ca="1">IF($C44&lt;=Term,IF(SUM($H$9:Z$9)&gt;$C44*12,$E44-SUM($G44:Y44), SLN($E44,0,$C44)*Z$9/12),$E44/Term*Z$9/12)</f>
        <v>7210.499354830451</v>
      </c>
      <c r="AA44" s="53">
        <f ca="1">IF($C44&lt;=Term,IF(SUM($H$9:AA$9)&gt;$C44*12,$E44-SUM($G44:Z44), SLN($E44,0,$C44)*AA$9/12),$E44/Term*AA$9/12)</f>
        <v>7210.499354830451</v>
      </c>
      <c r="AB44" s="53">
        <f ca="1">IF($C44&lt;=Term,IF(SUM($H$9:AB$9)&gt;$C44*12,$E44-SUM($G44:AA44), SLN($E44,0,$C44)*AB$9/12),$E44/Term*AB$9/12)</f>
        <v>2403.4997849434835</v>
      </c>
      <c r="AC44" s="420">
        <f ca="1">SUM(H44:AB44)</f>
        <v>130990.73827941983</v>
      </c>
      <c r="AD44" s="8"/>
      <c r="AE44" s="358">
        <f t="shared" si="0"/>
        <v>38</v>
      </c>
    </row>
    <row r="45" spans="1:31">
      <c r="A45" s="139"/>
      <c r="B45" s="8" t="s">
        <v>387</v>
      </c>
      <c r="C45" s="3"/>
      <c r="D45" s="27"/>
      <c r="E45" s="3"/>
      <c r="F45" s="42"/>
      <c r="G45" s="8"/>
      <c r="H45" s="53">
        <f ca="1">SUM($H44:H44)</f>
        <v>0</v>
      </c>
      <c r="I45" s="53">
        <f ca="1">SUM($H44:I44)</f>
        <v>0</v>
      </c>
      <c r="J45" s="53">
        <f ca="1">SUM($H44:J44)</f>
        <v>6008.749462358709</v>
      </c>
      <c r="K45" s="53">
        <f ca="1">SUM($H44:K44)</f>
        <v>13219.24881718916</v>
      </c>
      <c r="L45" s="53">
        <f ca="1">SUM($H44:L44)</f>
        <v>20429.748172019612</v>
      </c>
      <c r="M45" s="53">
        <f ca="1">SUM($H44:M44)</f>
        <v>27640.247526850064</v>
      </c>
      <c r="N45" s="53">
        <f ca="1">SUM($H44:N44)</f>
        <v>34850.746881680512</v>
      </c>
      <c r="O45" s="53">
        <f ca="1">SUM($H44:O44)</f>
        <v>42061.24623651096</v>
      </c>
      <c r="P45" s="53">
        <f ca="1">SUM($H44:P44)</f>
        <v>49271.745591341409</v>
      </c>
      <c r="Q45" s="53">
        <f ca="1">SUM($H44:Q44)</f>
        <v>56482.244946171857</v>
      </c>
      <c r="R45" s="53">
        <f ca="1">SUM($H44:R44)</f>
        <v>63692.744301002305</v>
      </c>
      <c r="S45" s="53">
        <f ca="1">SUM($H44:S44)</f>
        <v>70903.243655832761</v>
      </c>
      <c r="T45" s="53">
        <f ca="1">SUM($H44:T44)</f>
        <v>78113.743010663209</v>
      </c>
      <c r="U45" s="53">
        <f ca="1">SUM($H44:U44)</f>
        <v>85324.242365493657</v>
      </c>
      <c r="V45" s="53">
        <f ca="1">SUM($H44:V44)</f>
        <v>92534.741720324106</v>
      </c>
      <c r="W45" s="53">
        <f ca="1">SUM($H44:W44)</f>
        <v>99745.241075154554</v>
      </c>
      <c r="X45" s="53">
        <f ca="1">SUM($H44:X44)</f>
        <v>106955.740429985</v>
      </c>
      <c r="Y45" s="53">
        <f ca="1">SUM($H44:Y44)</f>
        <v>114166.23978481545</v>
      </c>
      <c r="Z45" s="53">
        <f ca="1">SUM($H44:Z44)</f>
        <v>121376.7391396459</v>
      </c>
      <c r="AA45" s="53">
        <f ca="1">SUM($H44:AA44)</f>
        <v>128587.23849447635</v>
      </c>
      <c r="AB45" s="53">
        <f ca="1">SUM($H44:AB44)</f>
        <v>130990.73827941983</v>
      </c>
      <c r="AC45" s="420"/>
      <c r="AD45" s="8"/>
      <c r="AE45" s="358">
        <f t="shared" si="0"/>
        <v>39</v>
      </c>
    </row>
    <row r="46" spans="1:31">
      <c r="A46" s="139"/>
      <c r="B46" s="8"/>
      <c r="C46" s="3"/>
      <c r="D46" s="27"/>
      <c r="E46" s="3"/>
      <c r="F46" s="42"/>
      <c r="G46" s="8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420"/>
      <c r="AD46" s="8"/>
      <c r="AE46" s="358">
        <f t="shared" si="0"/>
        <v>40</v>
      </c>
    </row>
    <row r="47" spans="1:31">
      <c r="A47" s="139"/>
      <c r="B47" s="8" t="s">
        <v>384</v>
      </c>
      <c r="C47" s="3"/>
      <c r="D47" s="27"/>
      <c r="E47" s="3"/>
      <c r="F47" s="42"/>
      <c r="G47" s="8"/>
      <c r="H47" s="831">
        <v>0</v>
      </c>
      <c r="I47" s="53">
        <f ca="1">H50</f>
        <v>0</v>
      </c>
      <c r="J47" s="53">
        <f t="shared" ref="J47:Y47" ca="1" si="12">I50</f>
        <v>0</v>
      </c>
      <c r="K47" s="53">
        <f t="shared" ca="1" si="12"/>
        <v>138201.23763425031</v>
      </c>
      <c r="L47" s="53">
        <f t="shared" ca="1" si="12"/>
        <v>130990.73827941986</v>
      </c>
      <c r="M47" s="53">
        <f t="shared" ca="1" si="12"/>
        <v>123780.23892458942</v>
      </c>
      <c r="N47" s="53">
        <f t="shared" ca="1" si="12"/>
        <v>116569.73956975897</v>
      </c>
      <c r="O47" s="53">
        <f t="shared" ca="1" si="12"/>
        <v>109359.24021492852</v>
      </c>
      <c r="P47" s="53">
        <f t="shared" ca="1" si="12"/>
        <v>102148.74086009807</v>
      </c>
      <c r="Q47" s="53">
        <f t="shared" ca="1" si="12"/>
        <v>94938.241505267622</v>
      </c>
      <c r="R47" s="53">
        <f t="shared" ca="1" si="12"/>
        <v>87727.742150437174</v>
      </c>
      <c r="S47" s="53">
        <f t="shared" ca="1" si="12"/>
        <v>80517.242795606726</v>
      </c>
      <c r="T47" s="53">
        <f t="shared" ca="1" si="12"/>
        <v>73306.743440776278</v>
      </c>
      <c r="U47" s="53">
        <f t="shared" ca="1" si="12"/>
        <v>66096.244085945829</v>
      </c>
      <c r="V47" s="53">
        <f t="shared" ca="1" si="12"/>
        <v>58885.744731115381</v>
      </c>
      <c r="W47" s="53">
        <f t="shared" ca="1" si="12"/>
        <v>51675.245376284933</v>
      </c>
      <c r="X47" s="53">
        <f t="shared" ca="1" si="12"/>
        <v>44464.746021454484</v>
      </c>
      <c r="Y47" s="53">
        <f t="shared" ca="1" si="12"/>
        <v>37254.246666624036</v>
      </c>
      <c r="Z47" s="53">
        <f ca="1">Y50</f>
        <v>30043.747311793584</v>
      </c>
      <c r="AA47" s="53">
        <f ca="1">Z50</f>
        <v>22833.247956963132</v>
      </c>
      <c r="AB47" s="53">
        <f ca="1">AA50</f>
        <v>15622.74860213268</v>
      </c>
      <c r="AC47" s="420">
        <f>H47</f>
        <v>0</v>
      </c>
      <c r="AD47" s="8"/>
      <c r="AE47" s="358">
        <f t="shared" si="0"/>
        <v>41</v>
      </c>
    </row>
    <row r="48" spans="1:31">
      <c r="A48" s="139"/>
      <c r="B48" s="8" t="s">
        <v>383</v>
      </c>
      <c r="C48" s="3"/>
      <c r="D48" s="27"/>
      <c r="E48" s="3"/>
      <c r="F48" s="42"/>
      <c r="G48" s="8"/>
      <c r="H48" s="53">
        <f t="shared" ref="H48:AB48" si="13">IF(H$7=YEAR(Startops1),$E44,0)</f>
        <v>0</v>
      </c>
      <c r="I48" s="53">
        <f t="shared" si="13"/>
        <v>0</v>
      </c>
      <c r="J48" s="53">
        <f t="shared" ca="1" si="13"/>
        <v>144209.98709660902</v>
      </c>
      <c r="K48" s="53">
        <f t="shared" si="13"/>
        <v>0</v>
      </c>
      <c r="L48" s="53">
        <f t="shared" si="13"/>
        <v>0</v>
      </c>
      <c r="M48" s="53">
        <f t="shared" si="13"/>
        <v>0</v>
      </c>
      <c r="N48" s="53">
        <f t="shared" si="13"/>
        <v>0</v>
      </c>
      <c r="O48" s="53">
        <f t="shared" si="13"/>
        <v>0</v>
      </c>
      <c r="P48" s="53">
        <f t="shared" si="13"/>
        <v>0</v>
      </c>
      <c r="Q48" s="53">
        <f t="shared" si="13"/>
        <v>0</v>
      </c>
      <c r="R48" s="53">
        <f t="shared" si="13"/>
        <v>0</v>
      </c>
      <c r="S48" s="53">
        <f t="shared" si="13"/>
        <v>0</v>
      </c>
      <c r="T48" s="53">
        <f t="shared" si="13"/>
        <v>0</v>
      </c>
      <c r="U48" s="53">
        <f t="shared" si="13"/>
        <v>0</v>
      </c>
      <c r="V48" s="53">
        <f t="shared" si="13"/>
        <v>0</v>
      </c>
      <c r="W48" s="53">
        <f t="shared" si="13"/>
        <v>0</v>
      </c>
      <c r="X48" s="53">
        <f t="shared" si="13"/>
        <v>0</v>
      </c>
      <c r="Y48" s="53">
        <f t="shared" si="13"/>
        <v>0</v>
      </c>
      <c r="Z48" s="53">
        <f t="shared" si="13"/>
        <v>0</v>
      </c>
      <c r="AA48" s="53">
        <f t="shared" si="13"/>
        <v>0</v>
      </c>
      <c r="AB48" s="53">
        <f t="shared" si="13"/>
        <v>0</v>
      </c>
      <c r="AC48" s="420">
        <f ca="1">SUM(H48:AB48)</f>
        <v>144209.98709660902</v>
      </c>
      <c r="AD48" s="8"/>
      <c r="AE48" s="358">
        <f t="shared" si="0"/>
        <v>42</v>
      </c>
    </row>
    <row r="49" spans="1:31">
      <c r="A49" s="139"/>
      <c r="B49" s="8" t="s">
        <v>233</v>
      </c>
      <c r="C49" s="3"/>
      <c r="D49" s="27"/>
      <c r="E49" s="3"/>
      <c r="F49" s="42"/>
      <c r="G49" s="8"/>
      <c r="H49" s="226">
        <f ca="1">-H44</f>
        <v>0</v>
      </c>
      <c r="I49" s="226">
        <f ca="1">-I44</f>
        <v>0</v>
      </c>
      <c r="J49" s="226">
        <f ca="1">-J44</f>
        <v>-6008.749462358709</v>
      </c>
      <c r="K49" s="226">
        <f t="shared" ref="K49:Y49" ca="1" si="14">-K44</f>
        <v>-7210.499354830451</v>
      </c>
      <c r="L49" s="226">
        <f t="shared" ca="1" si="14"/>
        <v>-7210.499354830451</v>
      </c>
      <c r="M49" s="226">
        <f t="shared" ca="1" si="14"/>
        <v>-7210.499354830451</v>
      </c>
      <c r="N49" s="226">
        <f t="shared" ca="1" si="14"/>
        <v>-7210.499354830451</v>
      </c>
      <c r="O49" s="226">
        <f t="shared" ca="1" si="14"/>
        <v>-7210.499354830451</v>
      </c>
      <c r="P49" s="226">
        <f t="shared" ca="1" si="14"/>
        <v>-7210.499354830451</v>
      </c>
      <c r="Q49" s="226">
        <f t="shared" ca="1" si="14"/>
        <v>-7210.499354830451</v>
      </c>
      <c r="R49" s="226">
        <f t="shared" ca="1" si="14"/>
        <v>-7210.499354830451</v>
      </c>
      <c r="S49" s="226">
        <f t="shared" ca="1" si="14"/>
        <v>-7210.499354830451</v>
      </c>
      <c r="T49" s="226">
        <f t="shared" ca="1" si="14"/>
        <v>-7210.499354830451</v>
      </c>
      <c r="U49" s="226">
        <f t="shared" ca="1" si="14"/>
        <v>-7210.499354830451</v>
      </c>
      <c r="V49" s="226">
        <f t="shared" ca="1" si="14"/>
        <v>-7210.499354830451</v>
      </c>
      <c r="W49" s="226">
        <f t="shared" ca="1" si="14"/>
        <v>-7210.499354830451</v>
      </c>
      <c r="X49" s="226">
        <f t="shared" ca="1" si="14"/>
        <v>-7210.499354830451</v>
      </c>
      <c r="Y49" s="226">
        <f t="shared" ca="1" si="14"/>
        <v>-7210.499354830451</v>
      </c>
      <c r="Z49" s="226">
        <f ca="1">-Z44</f>
        <v>-7210.499354830451</v>
      </c>
      <c r="AA49" s="226">
        <f ca="1">-AA44</f>
        <v>-7210.499354830451</v>
      </c>
      <c r="AB49" s="226">
        <f ca="1">-AB44</f>
        <v>-2403.4997849434835</v>
      </c>
      <c r="AC49" s="421">
        <f ca="1">SUM(H49:AB49)</f>
        <v>-130990.73827941983</v>
      </c>
      <c r="AD49" s="8"/>
      <c r="AE49" s="358">
        <f t="shared" si="0"/>
        <v>43</v>
      </c>
    </row>
    <row r="50" spans="1:31">
      <c r="A50" s="404"/>
      <c r="B50" s="10" t="s">
        <v>385</v>
      </c>
      <c r="C50" s="11"/>
      <c r="D50" s="31"/>
      <c r="E50" s="11"/>
      <c r="F50" s="323"/>
      <c r="G50" s="10"/>
      <c r="H50" s="64">
        <f t="shared" ref="H50:AC50" ca="1" si="15">SUM(H47:H49)</f>
        <v>0</v>
      </c>
      <c r="I50" s="64">
        <f t="shared" ca="1" si="15"/>
        <v>0</v>
      </c>
      <c r="J50" s="64">
        <f t="shared" ca="1" si="15"/>
        <v>138201.23763425031</v>
      </c>
      <c r="K50" s="64">
        <f t="shared" ca="1" si="15"/>
        <v>130990.73827941986</v>
      </c>
      <c r="L50" s="64">
        <f t="shared" ca="1" si="15"/>
        <v>123780.23892458942</v>
      </c>
      <c r="M50" s="64">
        <f t="shared" ca="1" si="15"/>
        <v>116569.73956975897</v>
      </c>
      <c r="N50" s="64">
        <f t="shared" ca="1" si="15"/>
        <v>109359.24021492852</v>
      </c>
      <c r="O50" s="64">
        <f t="shared" ca="1" si="15"/>
        <v>102148.74086009807</v>
      </c>
      <c r="P50" s="64">
        <f t="shared" ca="1" si="15"/>
        <v>94938.241505267622</v>
      </c>
      <c r="Q50" s="64">
        <f t="shared" ca="1" si="15"/>
        <v>87727.742150437174</v>
      </c>
      <c r="R50" s="64">
        <f t="shared" ca="1" si="15"/>
        <v>80517.242795606726</v>
      </c>
      <c r="S50" s="64">
        <f t="shared" ca="1" si="15"/>
        <v>73306.743440776278</v>
      </c>
      <c r="T50" s="64">
        <f t="shared" ca="1" si="15"/>
        <v>66096.244085945829</v>
      </c>
      <c r="U50" s="64">
        <f t="shared" ca="1" si="15"/>
        <v>58885.744731115381</v>
      </c>
      <c r="V50" s="64">
        <f t="shared" ca="1" si="15"/>
        <v>51675.245376284933</v>
      </c>
      <c r="W50" s="64">
        <f t="shared" ca="1" si="15"/>
        <v>44464.746021454484</v>
      </c>
      <c r="X50" s="64">
        <f t="shared" ca="1" si="15"/>
        <v>37254.246666624036</v>
      </c>
      <c r="Y50" s="64">
        <f t="shared" ca="1" si="15"/>
        <v>30043.747311793584</v>
      </c>
      <c r="Z50" s="64">
        <f ca="1">SUM(Z47:Z49)</f>
        <v>22833.247956963132</v>
      </c>
      <c r="AA50" s="64">
        <f ca="1">SUM(AA47:AA49)</f>
        <v>15622.74860213268</v>
      </c>
      <c r="AB50" s="64">
        <f ca="1">SUM(AB47:AB49)</f>
        <v>13219.248817189196</v>
      </c>
      <c r="AC50" s="483">
        <f t="shared" ca="1" si="15"/>
        <v>13219.248817189189</v>
      </c>
      <c r="AD50" s="8"/>
      <c r="AE50" s="358">
        <f t="shared" si="0"/>
        <v>44</v>
      </c>
    </row>
    <row r="51" spans="1:31">
      <c r="C51" s="8"/>
      <c r="D51" s="8"/>
      <c r="E51" s="8"/>
      <c r="F51" s="8"/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I60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6384" width="9.140625" style="5"/>
  </cols>
  <sheetData>
    <row r="1" spans="1:9" s="240" customFormat="1" ht="15.75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75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.75">
      <c r="A4" s="820" t="s">
        <v>58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69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68"/>
      <c r="C7" s="68"/>
      <c r="D7" s="55"/>
      <c r="E7" s="56"/>
      <c r="F7" s="30"/>
      <c r="G7" s="30" t="s">
        <v>430</v>
      </c>
      <c r="H7" s="30" t="s">
        <v>60</v>
      </c>
      <c r="I7" s="448"/>
    </row>
    <row r="8" spans="1:9" ht="13.5" thickBot="1">
      <c r="A8" s="574" t="s">
        <v>61</v>
      </c>
      <c r="B8" s="575" t="s">
        <v>62</v>
      </c>
      <c r="C8" s="576" t="s">
        <v>63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5" thickBot="1"/>
    <row r="10" spans="1:9">
      <c r="A10" s="463" t="str">
        <f>Assm!A6</f>
        <v>Pipeline Data</v>
      </c>
      <c r="B10" s="580" t="str">
        <f>Assm!A7</f>
        <v>Pipeline Length - Bolivia</v>
      </c>
      <c r="C10" s="581">
        <f>Assm!E7</f>
        <v>369</v>
      </c>
      <c r="D10" s="73" t="str">
        <f>Assm!F7</f>
        <v>Kilometers</v>
      </c>
      <c r="E10" s="73"/>
      <c r="F10" s="899" t="s">
        <v>783</v>
      </c>
      <c r="G10" s="900">
        <v>36008</v>
      </c>
      <c r="H10" s="899" t="s">
        <v>861</v>
      </c>
      <c r="I10" s="901" t="s">
        <v>862</v>
      </c>
    </row>
    <row r="11" spans="1:9" ht="13.5" thickBot="1">
      <c r="A11" s="141"/>
      <c r="B11" s="582" t="str">
        <f>Assm!A8</f>
        <v>Size of Pipe</v>
      </c>
      <c r="C11" s="551">
        <f>Assm!E8</f>
        <v>18</v>
      </c>
      <c r="D11" s="76" t="str">
        <f>Assm!F8</f>
        <v>Inches</v>
      </c>
      <c r="E11" s="76"/>
      <c r="F11" s="905" t="s">
        <v>783</v>
      </c>
      <c r="G11" s="906">
        <v>36008</v>
      </c>
      <c r="H11" s="905" t="s">
        <v>861</v>
      </c>
      <c r="I11" s="907" t="s">
        <v>863</v>
      </c>
    </row>
    <row r="12" spans="1:9" ht="13.5" thickBot="1">
      <c r="A12" s="8"/>
      <c r="B12" s="8"/>
      <c r="C12" s="8"/>
      <c r="D12" s="8"/>
      <c r="F12" s="152"/>
      <c r="G12" s="118"/>
      <c r="H12" s="152"/>
      <c r="I12" s="8"/>
    </row>
    <row r="13" spans="1:9">
      <c r="A13" s="583" t="str">
        <f>Assm!A10</f>
        <v>Project Operations</v>
      </c>
      <c r="B13" s="395" t="str">
        <f>Assm!A11</f>
        <v>Start Of Development</v>
      </c>
      <c r="C13" s="584">
        <f>Assm!F11</f>
        <v>35886</v>
      </c>
      <c r="D13" s="73"/>
      <c r="E13" s="585"/>
      <c r="F13" s="899" t="s">
        <v>788</v>
      </c>
      <c r="G13" s="900">
        <v>35664</v>
      </c>
      <c r="H13" s="899" t="s">
        <v>470</v>
      </c>
      <c r="I13" s="901" t="s">
        <v>789</v>
      </c>
    </row>
    <row r="14" spans="1:9">
      <c r="A14" s="586"/>
      <c r="B14" s="3" t="str">
        <f>Assm!A12</f>
        <v>Pipeline Notice To Proceed (NTP)</v>
      </c>
      <c r="C14" s="331">
        <f>Assm!F12</f>
        <v>36342</v>
      </c>
      <c r="D14" s="8"/>
      <c r="E14" s="9"/>
      <c r="F14" s="902" t="s">
        <v>947</v>
      </c>
      <c r="G14" s="903">
        <v>36335</v>
      </c>
      <c r="H14" s="902" t="s">
        <v>948</v>
      </c>
      <c r="I14" s="904"/>
    </row>
    <row r="15" spans="1:9">
      <c r="A15" s="586"/>
      <c r="B15" s="3" t="str">
        <f>Assm!A13</f>
        <v>Pipeline Ready For Service (RFS)</v>
      </c>
      <c r="C15" s="331">
        <f>Assm!F13</f>
        <v>36892</v>
      </c>
      <c r="D15" s="8"/>
      <c r="E15" s="9"/>
      <c r="F15" s="902" t="s">
        <v>949</v>
      </c>
      <c r="G15" s="903">
        <v>36389</v>
      </c>
      <c r="H15" s="902" t="s">
        <v>470</v>
      </c>
      <c r="I15" s="904" t="s">
        <v>950</v>
      </c>
    </row>
    <row r="16" spans="1:9">
      <c r="A16" s="586"/>
      <c r="B16" s="3" t="str">
        <f>Assm!A14</f>
        <v>Months Of Development (Until Start Of Phase II)</v>
      </c>
      <c r="C16" s="119">
        <f>Assm!F14</f>
        <v>35</v>
      </c>
      <c r="D16" s="8"/>
      <c r="E16" s="9"/>
      <c r="F16" s="902" t="s">
        <v>82</v>
      </c>
      <c r="G16" s="903"/>
      <c r="H16" s="902"/>
      <c r="I16" s="904"/>
    </row>
    <row r="17" spans="1:9">
      <c r="A17" s="586"/>
      <c r="B17" s="3" t="str">
        <f>Assm!A15</f>
        <v>Start Date (Phase II - Power Plant)</v>
      </c>
      <c r="C17" s="331">
        <f>Assm!F15</f>
        <v>36951</v>
      </c>
      <c r="D17" s="8"/>
      <c r="E17" s="9"/>
      <c r="F17" s="902" t="s">
        <v>949</v>
      </c>
      <c r="G17" s="903">
        <v>36389</v>
      </c>
      <c r="H17" s="902" t="s">
        <v>470</v>
      </c>
      <c r="I17" s="904" t="s">
        <v>950</v>
      </c>
    </row>
    <row r="18" spans="1:9">
      <c r="A18" s="586"/>
      <c r="B18" s="3" t="str">
        <f>Assm!A16</f>
        <v>Start Date (Phase III - Power Plant)</v>
      </c>
      <c r="C18" s="331">
        <f>Assm!F16</f>
        <v>37104</v>
      </c>
      <c r="D18" s="8"/>
      <c r="E18" s="9"/>
      <c r="F18" s="902" t="s">
        <v>986</v>
      </c>
      <c r="G18" s="903">
        <v>36407</v>
      </c>
      <c r="H18" s="902" t="s">
        <v>830</v>
      </c>
      <c r="I18" s="904" t="s">
        <v>987</v>
      </c>
    </row>
    <row r="19" spans="1:9">
      <c r="A19" s="586"/>
      <c r="B19" s="3" t="str">
        <f>Assm!A17</f>
        <v>End Of Operations - Cuiaba I</v>
      </c>
      <c r="C19" s="331">
        <f>Assm!F17</f>
        <v>43556</v>
      </c>
      <c r="D19" s="8"/>
      <c r="E19" s="9"/>
      <c r="F19" s="902" t="s">
        <v>951</v>
      </c>
      <c r="G19" s="903">
        <v>35761</v>
      </c>
      <c r="H19" s="902" t="s">
        <v>830</v>
      </c>
      <c r="I19" s="904" t="s">
        <v>952</v>
      </c>
    </row>
    <row r="20" spans="1:9">
      <c r="A20" s="586"/>
      <c r="B20" s="3" t="str">
        <f>Assm!A18</f>
        <v>Term Of Contract (Yrs)</v>
      </c>
      <c r="C20" s="119">
        <f>Assm!F18</f>
        <v>20</v>
      </c>
      <c r="D20" s="1018" t="s">
        <v>68</v>
      </c>
      <c r="E20" s="104"/>
      <c r="F20" s="902" t="s">
        <v>818</v>
      </c>
      <c r="G20" s="903">
        <v>36224</v>
      </c>
      <c r="H20" s="902" t="s">
        <v>470</v>
      </c>
      <c r="I20" s="904" t="s">
        <v>821</v>
      </c>
    </row>
    <row r="21" spans="1:9" s="8" customFormat="1" ht="13.5" thickBot="1">
      <c r="A21" s="141"/>
      <c r="B21" s="582" t="str">
        <f>Assm!A19</f>
        <v>Project Type</v>
      </c>
      <c r="C21" s="705" t="str">
        <f>Assm!F19</f>
        <v>BOO</v>
      </c>
      <c r="D21" s="76"/>
      <c r="E21" s="76"/>
      <c r="F21" s="905" t="s">
        <v>783</v>
      </c>
      <c r="G21" s="906"/>
      <c r="H21" s="905"/>
      <c r="I21" s="907"/>
    </row>
    <row r="22" spans="1:9" ht="13.5" thickBot="1">
      <c r="A22" s="8"/>
      <c r="B22" s="8"/>
      <c r="C22" s="8"/>
      <c r="D22" s="8"/>
      <c r="F22" s="152"/>
      <c r="G22" s="118"/>
      <c r="H22" s="152"/>
      <c r="I22" s="8"/>
    </row>
    <row r="23" spans="1:9">
      <c r="A23" s="583" t="str">
        <f>Assm!A21</f>
        <v>Financial Closing</v>
      </c>
      <c r="B23" s="395" t="str">
        <f>Assm!A22</f>
        <v>Date Of Financial Close</v>
      </c>
      <c r="C23" s="706">
        <f ca="1">Fin_Close</f>
        <v>36770</v>
      </c>
      <c r="D23" s="73"/>
      <c r="E23" s="585"/>
      <c r="F23" s="899" t="s">
        <v>997</v>
      </c>
      <c r="G23" s="900">
        <v>36436</v>
      </c>
      <c r="H23" s="899" t="s">
        <v>69</v>
      </c>
      <c r="I23" s="901"/>
    </row>
    <row r="24" spans="1:9" s="8" customFormat="1">
      <c r="A24" s="586"/>
      <c r="B24" s="3" t="str">
        <f>Assm!A23</f>
        <v>NTP To Financial Close  (Mos)</v>
      </c>
      <c r="C24" s="119">
        <f ca="1">Assm!F23</f>
        <v>29</v>
      </c>
      <c r="E24" s="9"/>
      <c r="F24" s="902" t="s">
        <v>82</v>
      </c>
      <c r="G24" s="903"/>
      <c r="H24" s="902"/>
      <c r="I24" s="904"/>
    </row>
    <row r="25" spans="1:9" s="8" customFormat="1" ht="13.5" thickBot="1">
      <c r="A25" s="587"/>
      <c r="B25" s="564" t="str">
        <f>Assm!A25</f>
        <v>First Debt Service Payment</v>
      </c>
      <c r="C25" s="707">
        <f>Debt_Serv</f>
        <v>37288</v>
      </c>
      <c r="D25" s="76"/>
      <c r="E25" s="588"/>
      <c r="F25" s="905" t="s">
        <v>82</v>
      </c>
      <c r="G25" s="906"/>
      <c r="H25" s="905"/>
      <c r="I25" s="907" t="s">
        <v>790</v>
      </c>
    </row>
    <row r="26" spans="1:9" ht="13.5" thickBot="1">
      <c r="A26" s="8"/>
      <c r="B26" s="8"/>
      <c r="C26" s="8"/>
      <c r="D26" s="8"/>
      <c r="F26" s="152"/>
      <c r="G26" s="8"/>
      <c r="H26" s="152"/>
      <c r="I26" s="8"/>
    </row>
    <row r="27" spans="1:9">
      <c r="A27" s="463" t="str">
        <f>Assm!A27</f>
        <v>Transport Charges</v>
      </c>
      <c r="B27" s="908" t="s">
        <v>70</v>
      </c>
      <c r="C27" s="589">
        <f>C37</f>
        <v>1998</v>
      </c>
      <c r="D27" s="680"/>
      <c r="E27" s="590"/>
      <c r="F27" s="899"/>
      <c r="G27" s="900"/>
      <c r="H27" s="899"/>
      <c r="I27" s="857"/>
    </row>
    <row r="28" spans="1:9">
      <c r="A28" s="139"/>
      <c r="B28" s="13" t="str">
        <f>Assm!A29</f>
        <v>Capacity Charge</v>
      </c>
      <c r="C28" s="372">
        <f>Assm!D29</f>
        <v>0.56679999999999997</v>
      </c>
      <c r="D28" s="683" t="str">
        <f>Assm!C29</f>
        <v>$ / MMBTU</v>
      </c>
      <c r="E28" s="120"/>
      <c r="F28" s="902" t="s">
        <v>818</v>
      </c>
      <c r="G28" s="903">
        <v>36224</v>
      </c>
      <c r="H28" s="902" t="s">
        <v>470</v>
      </c>
      <c r="I28" s="904" t="s">
        <v>822</v>
      </c>
    </row>
    <row r="29" spans="1:9">
      <c r="A29" s="139"/>
      <c r="B29" s="13" t="str">
        <f>Assm!A30</f>
        <v>Variable Charge</v>
      </c>
      <c r="C29" s="372">
        <f>Assm!D30</f>
        <v>6.4000000000000003E-3</v>
      </c>
      <c r="D29" s="683" t="str">
        <f>Assm!C30</f>
        <v>$ / MMBTU</v>
      </c>
      <c r="E29" s="120"/>
      <c r="F29" s="902" t="s">
        <v>818</v>
      </c>
      <c r="G29" s="903">
        <v>36224</v>
      </c>
      <c r="H29" s="902" t="s">
        <v>470</v>
      </c>
      <c r="I29" s="904" t="s">
        <v>822</v>
      </c>
    </row>
    <row r="30" spans="1:9" ht="13.5" thickBot="1">
      <c r="A30" s="141"/>
      <c r="B30" s="591" t="s">
        <v>432</v>
      </c>
      <c r="C30" s="974" t="str">
        <f>Assm!$F$29</f>
        <v>Greater Of CPI Or 1.005</v>
      </c>
      <c r="D30" s="684"/>
      <c r="E30" s="592"/>
      <c r="F30" s="905" t="s">
        <v>818</v>
      </c>
      <c r="G30" s="906">
        <v>36224</v>
      </c>
      <c r="H30" s="905" t="s">
        <v>470</v>
      </c>
      <c r="I30" s="907" t="s">
        <v>822</v>
      </c>
    </row>
    <row r="31" spans="1:9" ht="13.5" thickBot="1">
      <c r="A31" s="8"/>
      <c r="B31" s="8"/>
      <c r="C31" s="8"/>
      <c r="D31" s="8"/>
      <c r="F31" s="152"/>
      <c r="G31" s="8"/>
      <c r="H31" s="152"/>
      <c r="I31" s="8"/>
    </row>
    <row r="32" spans="1:9">
      <c r="A32" s="463" t="str">
        <f>Assm!A32</f>
        <v>Firm Service TOP</v>
      </c>
      <c r="B32" s="580" t="str">
        <f>Assm!E32</f>
        <v>Start Date</v>
      </c>
      <c r="C32" s="706">
        <f>Assm!F32</f>
        <v>37104</v>
      </c>
      <c r="D32" s="73"/>
      <c r="E32" s="73"/>
      <c r="F32" s="899" t="s">
        <v>818</v>
      </c>
      <c r="G32" s="900">
        <v>36224</v>
      </c>
      <c r="H32" s="899" t="s">
        <v>470</v>
      </c>
      <c r="I32" s="901" t="s">
        <v>823</v>
      </c>
    </row>
    <row r="33" spans="1:9" s="8" customFormat="1">
      <c r="A33" s="139"/>
      <c r="B33" s="13"/>
      <c r="C33" s="970" t="str">
        <f>Assm!D33</f>
        <v>Average</v>
      </c>
      <c r="D33" s="82"/>
      <c r="E33" s="82"/>
      <c r="F33" s="902"/>
      <c r="G33" s="903"/>
      <c r="H33" s="902"/>
      <c r="I33" s="904"/>
    </row>
    <row r="34" spans="1:9" s="8" customFormat="1">
      <c r="A34" s="139"/>
      <c r="B34" s="13"/>
      <c r="C34" s="971" t="str">
        <f>Assm!D34</f>
        <v>MAXDTQ</v>
      </c>
      <c r="D34" s="942" t="str">
        <f>Assm!E34</f>
        <v>TOP%</v>
      </c>
      <c r="E34" s="942" t="str">
        <f>Assm!F34</f>
        <v>TOP Vol</v>
      </c>
      <c r="F34" s="902"/>
      <c r="G34" s="903"/>
      <c r="H34" s="902"/>
      <c r="I34" s="904"/>
    </row>
    <row r="35" spans="1:9" s="8" customFormat="1" ht="13.5" thickBot="1">
      <c r="A35" s="141"/>
      <c r="B35" s="582"/>
      <c r="C35" s="551">
        <f>Assm!D35</f>
        <v>102990</v>
      </c>
      <c r="D35" s="972">
        <f>Assm!E35</f>
        <v>1</v>
      </c>
      <c r="E35" s="551">
        <f>Assm!F35</f>
        <v>102990</v>
      </c>
      <c r="F35" s="905" t="s">
        <v>818</v>
      </c>
      <c r="G35" s="906">
        <v>36224</v>
      </c>
      <c r="H35" s="905" t="s">
        <v>470</v>
      </c>
      <c r="I35" s="907" t="s">
        <v>823</v>
      </c>
    </row>
    <row r="36" spans="1:9" ht="13.5" thickBot="1">
      <c r="A36" s="8"/>
      <c r="B36" s="8"/>
      <c r="C36" s="8"/>
      <c r="D36" s="8"/>
      <c r="F36" s="152"/>
      <c r="G36" s="8"/>
      <c r="H36" s="152"/>
      <c r="I36" s="8"/>
    </row>
    <row r="37" spans="1:9">
      <c r="A37" s="583" t="str">
        <f>Assm!A37</f>
        <v>Operating Expenses ($000)</v>
      </c>
      <c r="B37" s="593" t="s">
        <v>70</v>
      </c>
      <c r="C37" s="589">
        <f>Assm!E39</f>
        <v>1998</v>
      </c>
      <c r="D37" s="73"/>
      <c r="E37" s="585"/>
      <c r="F37" s="899"/>
      <c r="G37" s="900"/>
      <c r="H37" s="899"/>
      <c r="I37" s="857"/>
    </row>
    <row r="38" spans="1:9">
      <c r="A38" s="586"/>
      <c r="B38" s="110" t="s">
        <v>71</v>
      </c>
      <c r="C38" s="376" t="str">
        <f>Assm!F37</f>
        <v>CPI Annual</v>
      </c>
      <c r="D38" s="8"/>
      <c r="E38" s="9"/>
      <c r="F38" s="902"/>
      <c r="G38" s="903"/>
      <c r="H38" s="902"/>
      <c r="I38" s="826" t="s">
        <v>471</v>
      </c>
    </row>
    <row r="39" spans="1:9">
      <c r="A39" s="586"/>
      <c r="B39" s="999" t="str">
        <f>Assm!A39</f>
        <v>Fixed</v>
      </c>
      <c r="C39" s="122"/>
      <c r="D39" s="45"/>
      <c r="E39" s="46"/>
      <c r="F39" s="902"/>
      <c r="G39" s="903"/>
      <c r="H39" s="902"/>
      <c r="I39" s="826"/>
    </row>
    <row r="40" spans="1:9">
      <c r="A40" s="586"/>
      <c r="B40" s="13" t="str">
        <f>Assm!A40</f>
        <v>Salaries &amp; Benefits</v>
      </c>
      <c r="C40" s="123">
        <f>Assm!E40</f>
        <v>236</v>
      </c>
      <c r="D40" s="215"/>
      <c r="E40" s="124"/>
      <c r="F40" s="902" t="s">
        <v>435</v>
      </c>
      <c r="G40" s="903">
        <v>35860</v>
      </c>
      <c r="H40" s="902" t="s">
        <v>85</v>
      </c>
      <c r="I40" s="826" t="s">
        <v>978</v>
      </c>
    </row>
    <row r="41" spans="1:9">
      <c r="A41" s="586"/>
      <c r="B41" s="13" t="str">
        <f>Assm!A41</f>
        <v>Administrative Expenses - General</v>
      </c>
      <c r="C41" s="123">
        <f>Assm!E41</f>
        <v>81</v>
      </c>
      <c r="D41" s="215"/>
      <c r="E41" s="124"/>
      <c r="F41" s="902" t="s">
        <v>435</v>
      </c>
      <c r="G41" s="903">
        <v>35860</v>
      </c>
      <c r="H41" s="902" t="s">
        <v>85</v>
      </c>
      <c r="I41" s="826" t="s">
        <v>978</v>
      </c>
    </row>
    <row r="42" spans="1:9">
      <c r="A42" s="586"/>
      <c r="B42" s="13" t="str">
        <f>Assm!A42</f>
        <v>Administrative Expenses - Transredes</v>
      </c>
      <c r="C42" s="123">
        <f>Assm!E42</f>
        <v>375</v>
      </c>
      <c r="D42" s="215"/>
      <c r="E42" s="124"/>
      <c r="F42" s="902" t="s">
        <v>435</v>
      </c>
      <c r="G42" s="903">
        <v>35860</v>
      </c>
      <c r="H42" s="902" t="s">
        <v>85</v>
      </c>
      <c r="I42" s="826" t="s">
        <v>978</v>
      </c>
    </row>
    <row r="43" spans="1:9">
      <c r="A43" s="586"/>
      <c r="B43" s="13" t="str">
        <f>Assm!A43</f>
        <v>Equipment Rental</v>
      </c>
      <c r="C43" s="123">
        <f>Assm!E43</f>
        <v>995.19299999999998</v>
      </c>
      <c r="D43" s="685"/>
      <c r="E43" s="125"/>
      <c r="F43" s="902" t="s">
        <v>435</v>
      </c>
      <c r="G43" s="903">
        <v>35860</v>
      </c>
      <c r="H43" s="902" t="s">
        <v>85</v>
      </c>
      <c r="I43" s="826" t="s">
        <v>978</v>
      </c>
    </row>
    <row r="44" spans="1:9">
      <c r="A44" s="586"/>
      <c r="B44" s="13" t="str">
        <f>Assm!A44</f>
        <v>Other O&amp;M Expenses</v>
      </c>
      <c r="C44" s="123">
        <f>Assm!E44</f>
        <v>7.2</v>
      </c>
      <c r="D44" s="275"/>
      <c r="E44" s="126"/>
      <c r="F44" s="902" t="s">
        <v>435</v>
      </c>
      <c r="G44" s="903">
        <v>35860</v>
      </c>
      <c r="H44" s="902" t="s">
        <v>85</v>
      </c>
      <c r="I44" s="826" t="s">
        <v>978</v>
      </c>
    </row>
    <row r="45" spans="1:9">
      <c r="A45" s="586"/>
      <c r="B45" s="13" t="str">
        <f>Assm!A45</f>
        <v>Gas Loss</v>
      </c>
      <c r="C45" s="123">
        <f>Assm!E45</f>
        <v>0</v>
      </c>
      <c r="D45" s="54"/>
      <c r="E45" s="93"/>
      <c r="F45" s="902" t="s">
        <v>435</v>
      </c>
      <c r="G45" s="903">
        <v>35860</v>
      </c>
      <c r="H45" s="902" t="s">
        <v>85</v>
      </c>
      <c r="I45" s="826" t="s">
        <v>978</v>
      </c>
    </row>
    <row r="46" spans="1:9">
      <c r="A46" s="586"/>
      <c r="B46" s="13" t="str">
        <f>Assm!A46</f>
        <v>Technical Services Fee</v>
      </c>
      <c r="C46" s="123">
        <f>Assm!E46</f>
        <v>253.96799999999999</v>
      </c>
      <c r="D46" s="8"/>
      <c r="E46" s="9"/>
      <c r="F46" s="902" t="s">
        <v>435</v>
      </c>
      <c r="G46" s="903">
        <v>35860</v>
      </c>
      <c r="H46" s="902" t="s">
        <v>85</v>
      </c>
      <c r="I46" s="826" t="s">
        <v>978</v>
      </c>
    </row>
    <row r="47" spans="1:9">
      <c r="A47" s="586"/>
      <c r="B47" s="13" t="str">
        <f>Assm!A47</f>
        <v>Capital Budget Expenses (See Trapped Cash Sheet)</v>
      </c>
      <c r="C47" s="123">
        <f>Assm!E47</f>
        <v>118.43119266055045</v>
      </c>
      <c r="D47" s="1040"/>
      <c r="E47" s="1041"/>
      <c r="F47" s="902" t="s">
        <v>435</v>
      </c>
      <c r="G47" s="903">
        <v>35860</v>
      </c>
      <c r="H47" s="902" t="s">
        <v>85</v>
      </c>
      <c r="I47" s="826" t="s">
        <v>978</v>
      </c>
    </row>
    <row r="48" spans="1:9" ht="13.5" thickBot="1">
      <c r="A48" s="587"/>
      <c r="B48" s="582" t="str">
        <f>Assm!A48</f>
        <v>Operating Insurance</v>
      </c>
      <c r="C48" s="648">
        <f>Assm!E48</f>
        <v>462.91300000000001</v>
      </c>
      <c r="D48" s="76"/>
      <c r="E48" s="588"/>
      <c r="F48" s="905" t="s">
        <v>662</v>
      </c>
      <c r="G48" s="906">
        <v>36157</v>
      </c>
      <c r="H48" s="905" t="s">
        <v>86</v>
      </c>
      <c r="I48" s="907" t="s">
        <v>675</v>
      </c>
    </row>
    <row r="49" spans="1:9" ht="13.5" thickBot="1">
      <c r="F49" s="281"/>
      <c r="H49" s="281"/>
    </row>
    <row r="50" spans="1:9">
      <c r="A50" s="463" t="str">
        <f>Assm!A51</f>
        <v>TBS Transport Option ($000)</v>
      </c>
      <c r="B50" s="652" t="str">
        <f>CONCATENATE(Assm!C51," ",Assm!C52)</f>
        <v>Option Paid By TBS To GasBol To Expand Pipeline Facilities From 102,990 To 182,540 MMBTU/Day</v>
      </c>
      <c r="C50" s="650"/>
      <c r="D50" s="513"/>
      <c r="E50" s="651"/>
      <c r="F50" s="899"/>
      <c r="G50" s="900"/>
      <c r="H50" s="899"/>
      <c r="I50" s="857"/>
    </row>
    <row r="51" spans="1:9">
      <c r="A51" s="139"/>
      <c r="B51" s="13"/>
      <c r="C51" s="351"/>
      <c r="D51" s="188"/>
      <c r="E51" s="352"/>
      <c r="F51" s="902"/>
      <c r="G51" s="903"/>
      <c r="H51" s="902"/>
      <c r="I51" s="826"/>
    </row>
    <row r="52" spans="1:9">
      <c r="A52" s="139"/>
      <c r="B52" s="13" t="str">
        <f>Assm!A54</f>
        <v>Option Scenario</v>
      </c>
      <c r="C52" s="1071">
        <f>Assm!B54</f>
        <v>0</v>
      </c>
      <c r="D52" s="152"/>
      <c r="E52" s="649"/>
      <c r="F52" s="902"/>
      <c r="G52" s="903"/>
      <c r="H52" s="902"/>
      <c r="I52" s="826"/>
    </row>
    <row r="53" spans="1:9">
      <c r="A53" s="139"/>
      <c r="B53" s="13" t="str">
        <f>Assm!D54</f>
        <v>Year Of Option Payment</v>
      </c>
      <c r="C53" s="351">
        <f>Assm!F54</f>
        <v>2004</v>
      </c>
      <c r="D53" s="152"/>
      <c r="E53" s="649"/>
      <c r="F53" s="902" t="s">
        <v>660</v>
      </c>
      <c r="G53" s="903">
        <v>36063</v>
      </c>
      <c r="H53" s="902" t="s">
        <v>67</v>
      </c>
      <c r="I53" s="826"/>
    </row>
    <row r="54" spans="1:9" ht="13.5" thickBot="1">
      <c r="A54" s="141"/>
      <c r="B54" s="582" t="str">
        <f>Assm!D55</f>
        <v>Option Amount</v>
      </c>
      <c r="C54" s="609">
        <f>Assm!F55</f>
        <v>5000</v>
      </c>
      <c r="D54" s="684"/>
      <c r="E54" s="592"/>
      <c r="F54" s="905" t="s">
        <v>474</v>
      </c>
      <c r="G54" s="906">
        <v>35927</v>
      </c>
      <c r="H54" s="905" t="s">
        <v>470</v>
      </c>
      <c r="I54" s="828" t="s">
        <v>663</v>
      </c>
    </row>
    <row r="55" spans="1:9" ht="13.5" thickBot="1">
      <c r="F55" s="281"/>
      <c r="H55" s="281"/>
    </row>
    <row r="56" spans="1:9">
      <c r="A56" s="463" t="str">
        <f>Assm!A57</f>
        <v>Fuel Conversion</v>
      </c>
      <c r="B56" s="580" t="s">
        <v>439</v>
      </c>
      <c r="C56" s="594">
        <f>Assm!D59</f>
        <v>9.1999999999999993</v>
      </c>
      <c r="D56" s="1025" t="s">
        <v>440</v>
      </c>
      <c r="E56" s="595"/>
      <c r="F56" s="899" t="s">
        <v>472</v>
      </c>
      <c r="G56" s="900"/>
      <c r="H56" s="899"/>
      <c r="I56" s="857"/>
    </row>
    <row r="57" spans="1:9">
      <c r="A57" s="139"/>
      <c r="B57" s="13" t="s">
        <v>642</v>
      </c>
      <c r="C57" s="654">
        <f>Assm!D60</f>
        <v>3.9683000000000002</v>
      </c>
      <c r="D57" s="1026" t="s">
        <v>852</v>
      </c>
      <c r="E57" s="649"/>
      <c r="F57" s="902" t="s">
        <v>472</v>
      </c>
      <c r="G57" s="903"/>
      <c r="H57" s="902"/>
      <c r="I57" s="826"/>
    </row>
    <row r="58" spans="1:9" ht="13.5" thickBot="1">
      <c r="A58" s="141"/>
      <c r="B58" s="591" t="s">
        <v>269</v>
      </c>
      <c r="C58" s="596">
        <f>Assm!D61</f>
        <v>36.508359999999996</v>
      </c>
      <c r="D58" s="839" t="s">
        <v>853</v>
      </c>
      <c r="E58" s="592"/>
      <c r="F58" s="905" t="s">
        <v>82</v>
      </c>
      <c r="G58" s="906"/>
      <c r="H58" s="905"/>
      <c r="I58" s="828"/>
    </row>
    <row r="59" spans="1:9" ht="13.5" thickBot="1"/>
    <row r="60" spans="1:9" ht="13.5" thickBot="1">
      <c r="A60" s="1090" t="str">
        <f>Assm!A63</f>
        <v>NGO Settlement ($000)</v>
      </c>
      <c r="B60" s="1091" t="s">
        <v>979</v>
      </c>
      <c r="C60" s="1092"/>
      <c r="D60" s="1093"/>
      <c r="E60" s="1094"/>
      <c r="F60" s="1095" t="s">
        <v>981</v>
      </c>
      <c r="G60" s="1096">
        <v>36293</v>
      </c>
      <c r="H60" s="1095" t="s">
        <v>830</v>
      </c>
      <c r="I60" s="1097" t="s">
        <v>980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J50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6384" width="9.140625" style="5"/>
  </cols>
  <sheetData>
    <row r="1" spans="1:9" s="240" customFormat="1" ht="15.75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75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.75">
      <c r="A4" s="820" t="s">
        <v>76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78</v>
      </c>
      <c r="I7" s="448"/>
    </row>
    <row r="8" spans="1:9" ht="13.5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5" thickBot="1">
      <c r="B9" s="32"/>
    </row>
    <row r="10" spans="1:9">
      <c r="A10" s="583" t="str">
        <f>Assm!H6</f>
        <v>Bolivia Taxes</v>
      </c>
      <c r="B10" s="1000" t="str">
        <f>Assm!H7</f>
        <v>Operating Taxes</v>
      </c>
      <c r="C10" s="693"/>
      <c r="D10" s="690"/>
      <c r="E10" s="585"/>
      <c r="F10" s="899"/>
      <c r="G10" s="900"/>
      <c r="H10" s="899"/>
      <c r="I10" s="901"/>
    </row>
    <row r="11" spans="1:9">
      <c r="A11" s="586"/>
      <c r="B11" s="13" t="str">
        <f>Assm!H8</f>
        <v>Corporate Tax</v>
      </c>
      <c r="C11" s="694">
        <f>Assm!J8</f>
        <v>0.25</v>
      </c>
      <c r="D11" s="691" t="str">
        <f>IF(Assm!K8=0," ",Assm!K8)</f>
        <v>Of Taxable Income</v>
      </c>
      <c r="E11" s="9"/>
      <c r="F11" s="902" t="s">
        <v>618</v>
      </c>
      <c r="G11" s="903">
        <v>35888</v>
      </c>
      <c r="H11" s="902" t="s">
        <v>80</v>
      </c>
      <c r="I11" s="904" t="s">
        <v>664</v>
      </c>
    </row>
    <row r="12" spans="1:9">
      <c r="A12" s="586"/>
      <c r="B12" s="13" t="str">
        <f>Assm!H9</f>
        <v>Transaction Tax (Payable If &gt; Corporate Taxes)</v>
      </c>
      <c r="C12" s="694">
        <f>Assm!J9</f>
        <v>0.03</v>
      </c>
      <c r="D12" s="691" t="str">
        <f>IF(Assm!K9=0," ",Assm!K9)</f>
        <v>On Gross Receipts</v>
      </c>
      <c r="E12" s="9"/>
      <c r="F12" s="902" t="s">
        <v>618</v>
      </c>
      <c r="G12" s="903">
        <v>35888</v>
      </c>
      <c r="H12" s="902" t="s">
        <v>80</v>
      </c>
      <c r="I12" s="904" t="s">
        <v>665</v>
      </c>
    </row>
    <row r="13" spans="1:9">
      <c r="A13" s="586"/>
      <c r="B13" s="13" t="str">
        <f>Assm!H10</f>
        <v>NOL (Unlimited Carryforward, No Carryback) - Capped @</v>
      </c>
      <c r="C13" s="694">
        <f>Assm!J10</f>
        <v>1</v>
      </c>
      <c r="D13" s="691" t="str">
        <f>IF(Assm!K10=0," ",Assm!K10)</f>
        <v xml:space="preserve">Of Taxable Income </v>
      </c>
      <c r="E13" s="9"/>
      <c r="F13" s="902" t="s">
        <v>618</v>
      </c>
      <c r="G13" s="903">
        <v>35888</v>
      </c>
      <c r="H13" s="902" t="s">
        <v>80</v>
      </c>
      <c r="I13" s="904" t="s">
        <v>666</v>
      </c>
    </row>
    <row r="14" spans="1:9">
      <c r="A14" s="586"/>
      <c r="B14" s="13" t="str">
        <f>Assm!H11</f>
        <v>Real Estate Tax</v>
      </c>
      <c r="C14" s="694">
        <f>Assm!J11</f>
        <v>0.03</v>
      </c>
      <c r="D14" s="691" t="str">
        <f>IF(Assm!K11=0," ",Assm!K11)</f>
        <v>Not Applicable - Non-Land Owner</v>
      </c>
      <c r="E14" s="9"/>
      <c r="F14" s="902" t="s">
        <v>618</v>
      </c>
      <c r="G14" s="903">
        <v>35888</v>
      </c>
      <c r="H14" s="902" t="s">
        <v>80</v>
      </c>
      <c r="I14" s="904" t="s">
        <v>668</v>
      </c>
    </row>
    <row r="15" spans="1:9">
      <c r="A15" s="586"/>
      <c r="B15" s="13" t="str">
        <f>Assm!H12</f>
        <v>Withholding Tax - Dividends (Non-Residents)</v>
      </c>
      <c r="C15" s="694">
        <f>Assm!J12</f>
        <v>0.125</v>
      </c>
      <c r="D15" s="691" t="str">
        <f>IF(Assm!K12=0," ",Assm!K12)</f>
        <v>On Dividend Payments</v>
      </c>
      <c r="E15" s="9"/>
      <c r="F15" s="902" t="s">
        <v>618</v>
      </c>
      <c r="G15" s="903">
        <v>35888</v>
      </c>
      <c r="H15" s="902" t="s">
        <v>80</v>
      </c>
      <c r="I15" s="904" t="s">
        <v>669</v>
      </c>
    </row>
    <row r="16" spans="1:9">
      <c r="A16" s="586"/>
      <c r="B16" s="13" t="str">
        <f>Assm!H13</f>
        <v>Withholding Tax - Interest (Non-MLA's)</v>
      </c>
      <c r="C16" s="694">
        <f>Assm!J13</f>
        <v>0.125</v>
      </c>
      <c r="D16" s="691" t="str">
        <f>IF(Assm!K13=0," ",Assm!K13)</f>
        <v>On Interest Paid To Non MLA's</v>
      </c>
      <c r="E16" s="9"/>
      <c r="F16" s="902" t="s">
        <v>618</v>
      </c>
      <c r="G16" s="903">
        <v>35888</v>
      </c>
      <c r="H16" s="902" t="s">
        <v>80</v>
      </c>
      <c r="I16" s="904" t="s">
        <v>670</v>
      </c>
    </row>
    <row r="17" spans="1:10">
      <c r="A17" s="586"/>
      <c r="B17" s="13" t="str">
        <f>Assm!H14</f>
        <v>Withholding Tax - Services (Non-Residents)</v>
      </c>
      <c r="C17" s="694">
        <f>Assm!J14</f>
        <v>0.125</v>
      </c>
      <c r="D17" s="691" t="str">
        <f>IF(Assm!K14=0," ",Assm!K14)</f>
        <v>On Services Abroad</v>
      </c>
      <c r="E17" s="9"/>
      <c r="F17" s="902" t="s">
        <v>618</v>
      </c>
      <c r="G17" s="903">
        <v>35888</v>
      </c>
      <c r="H17" s="902" t="s">
        <v>80</v>
      </c>
      <c r="I17" s="904" t="s">
        <v>671</v>
      </c>
    </row>
    <row r="18" spans="1:10">
      <c r="A18" s="586"/>
      <c r="B18" s="13" t="str">
        <f>Assm!H15</f>
        <v>Value Added Tax - Sales</v>
      </c>
      <c r="C18" s="694">
        <f>Assm!J15</f>
        <v>0.13</v>
      </c>
      <c r="D18" s="691" t="str">
        <f>IF(Assm!K15=0," ",Assm!K15)</f>
        <v>Not Applicable - 0% Rated</v>
      </c>
      <c r="E18" s="9"/>
      <c r="F18" s="902" t="s">
        <v>618</v>
      </c>
      <c r="G18" s="903">
        <v>35888</v>
      </c>
      <c r="H18" s="902" t="s">
        <v>80</v>
      </c>
      <c r="I18" s="904" t="s">
        <v>672</v>
      </c>
    </row>
    <row r="19" spans="1:10">
      <c r="A19" s="586"/>
      <c r="B19" s="13" t="str">
        <f>Assm!H16</f>
        <v>Value Added Tax - Goods / Services</v>
      </c>
      <c r="C19" s="694">
        <f>Assm!J16</f>
        <v>0.14942528735632185</v>
      </c>
      <c r="D19" s="691" t="str">
        <f>IF(Assm!K16=0," ",Assm!K16)</f>
        <v>Grossed Up</v>
      </c>
      <c r="E19" s="9"/>
      <c r="F19" s="902" t="s">
        <v>618</v>
      </c>
      <c r="G19" s="903">
        <v>35888</v>
      </c>
      <c r="H19" s="902" t="s">
        <v>80</v>
      </c>
      <c r="I19" s="904" t="s">
        <v>672</v>
      </c>
    </row>
    <row r="20" spans="1:10">
      <c r="A20" s="586"/>
      <c r="B20" s="999" t="str">
        <f>Assm!H17</f>
        <v>Customs Duties</v>
      </c>
      <c r="C20" s="695"/>
      <c r="D20" s="691"/>
      <c r="E20" s="9"/>
      <c r="F20" s="902"/>
      <c r="G20" s="903"/>
      <c r="H20" s="902"/>
      <c r="I20" s="904"/>
    </row>
    <row r="21" spans="1:10">
      <c r="A21" s="586"/>
      <c r="B21" s="13" t="str">
        <f>Assm!H18</f>
        <v>Import Duties</v>
      </c>
      <c r="C21" s="694">
        <f>Assm!J18</f>
        <v>0.1</v>
      </c>
      <c r="D21" s="691" t="str">
        <f>IF(Assm!K18=0," ",Assm!K18)</f>
        <v>On CIF Value, Subject To VAT</v>
      </c>
      <c r="E21" s="9"/>
      <c r="F21" s="902" t="s">
        <v>618</v>
      </c>
      <c r="G21" s="903">
        <v>35888</v>
      </c>
      <c r="H21" s="902" t="s">
        <v>80</v>
      </c>
      <c r="I21" s="904" t="s">
        <v>673</v>
      </c>
    </row>
    <row r="22" spans="1:10">
      <c r="A22" s="586"/>
      <c r="B22" s="13" t="str">
        <f>Assm!H19</f>
        <v>Customs Agency Fees</v>
      </c>
      <c r="C22" s="694">
        <f>Assm!J19</f>
        <v>0.02</v>
      </c>
      <c r="D22" s="691" t="str">
        <f>IF(Assm!K19=0," ",Assm!K19)</f>
        <v>On CIF Value, Subject To VAT</v>
      </c>
      <c r="E22" s="9"/>
      <c r="F22" s="902" t="s">
        <v>618</v>
      </c>
      <c r="G22" s="903">
        <v>35888</v>
      </c>
      <c r="H22" s="902" t="s">
        <v>80</v>
      </c>
      <c r="I22" s="904" t="s">
        <v>673</v>
      </c>
    </row>
    <row r="23" spans="1:10">
      <c r="A23" s="586"/>
      <c r="B23" s="13" t="str">
        <f>Assm!H20</f>
        <v>Inspection / Verification Fees</v>
      </c>
      <c r="C23" s="694">
        <f>Assm!J20</f>
        <v>1.9199999999999998E-2</v>
      </c>
      <c r="D23" s="691" t="str">
        <f>IF(Assm!K20=0," ",Assm!K20)</f>
        <v>On CIF Value, Subject To VAT</v>
      </c>
      <c r="E23" s="9"/>
      <c r="F23" s="902" t="s">
        <v>618</v>
      </c>
      <c r="G23" s="903">
        <v>35888</v>
      </c>
      <c r="H23" s="902" t="s">
        <v>80</v>
      </c>
      <c r="I23" s="904" t="s">
        <v>673</v>
      </c>
    </row>
    <row r="24" spans="1:10">
      <c r="A24" s="586"/>
      <c r="B24" s="13" t="str">
        <f>Assm!H21</f>
        <v>Customs Warehouse (AADAA) Fees</v>
      </c>
      <c r="C24" s="694">
        <f>Assm!J21</f>
        <v>5.0000000000000001E-3</v>
      </c>
      <c r="D24" s="691" t="str">
        <f>IF(Assm!K21=0," ",Assm!K21)</f>
        <v>On CIF Value, Subject To VAT</v>
      </c>
      <c r="E24" s="9"/>
      <c r="F24" s="902" t="s">
        <v>618</v>
      </c>
      <c r="G24" s="903">
        <v>35888</v>
      </c>
      <c r="H24" s="902" t="s">
        <v>80</v>
      </c>
      <c r="I24" s="904" t="s">
        <v>673</v>
      </c>
    </row>
    <row r="25" spans="1:10">
      <c r="A25" s="586"/>
      <c r="B25" s="13" t="str">
        <f>Assm!H22</f>
        <v>GAC (Brazilian Imports)</v>
      </c>
      <c r="C25" s="694">
        <f>Assm!J22</f>
        <v>6.5000000000000002E-2</v>
      </c>
      <c r="D25" s="691" t="str">
        <f>IF(Assm!K22=0," ",Assm!K22)</f>
        <v>On CIF Value</v>
      </c>
      <c r="E25" s="9"/>
      <c r="F25" s="902" t="s">
        <v>618</v>
      </c>
      <c r="G25" s="903">
        <v>35888</v>
      </c>
      <c r="H25" s="902" t="s">
        <v>80</v>
      </c>
      <c r="I25" s="904" t="s">
        <v>673</v>
      </c>
    </row>
    <row r="26" spans="1:10">
      <c r="A26" s="586"/>
      <c r="B26" s="13" t="str">
        <f>Assm!H23</f>
        <v>GAC (Non-Brazilian Imports)</v>
      </c>
      <c r="C26" s="694">
        <f>Assm!J23</f>
        <v>0.1</v>
      </c>
      <c r="D26" s="691" t="str">
        <f>IF(Assm!K23=0," ",Assm!K23)</f>
        <v>On CIF Value</v>
      </c>
      <c r="E26" s="9"/>
      <c r="F26" s="902" t="s">
        <v>618</v>
      </c>
      <c r="G26" s="903">
        <v>35888</v>
      </c>
      <c r="H26" s="902" t="s">
        <v>80</v>
      </c>
      <c r="I26" s="904" t="s">
        <v>673</v>
      </c>
    </row>
    <row r="27" spans="1:10">
      <c r="A27" s="586"/>
      <c r="B27" s="999" t="str">
        <f>Assm!H24</f>
        <v>Other Fees</v>
      </c>
      <c r="C27" s="695"/>
      <c r="D27" s="691"/>
      <c r="E27" s="9"/>
      <c r="F27" s="902"/>
      <c r="G27" s="903"/>
      <c r="H27" s="902"/>
      <c r="I27" s="904"/>
    </row>
    <row r="28" spans="1:10" ht="13.5" thickBot="1">
      <c r="A28" s="587"/>
      <c r="B28" s="582" t="str">
        <f>Assm!H25</f>
        <v>SIRESE Fee</v>
      </c>
      <c r="C28" s="696">
        <f>Assm!J25</f>
        <v>0.01</v>
      </c>
      <c r="D28" s="692" t="str">
        <f>IF(Assm!K25=0," ",Assm!K25)</f>
        <v>On Gross Invoice Amount</v>
      </c>
      <c r="E28" s="588"/>
      <c r="F28" s="905" t="s">
        <v>618</v>
      </c>
      <c r="G28" s="906">
        <v>35888</v>
      </c>
      <c r="H28" s="905" t="s">
        <v>80</v>
      </c>
      <c r="I28" s="907" t="s">
        <v>674</v>
      </c>
    </row>
    <row r="29" spans="1:10" ht="13.5" thickBot="1">
      <c r="A29" s="8"/>
      <c r="B29" s="8"/>
      <c r="C29" s="8"/>
      <c r="F29" s="8"/>
      <c r="G29" s="8"/>
      <c r="H29" s="8"/>
      <c r="I29" s="8"/>
      <c r="J29" s="8"/>
    </row>
    <row r="30" spans="1:10">
      <c r="A30" s="583" t="str">
        <f>Assm!H27</f>
        <v>US Taxes</v>
      </c>
      <c r="B30" s="580" t="str">
        <f>Assm!H28</f>
        <v>Tax Position</v>
      </c>
      <c r="C30" s="601" t="str">
        <f>Assm!J28</f>
        <v>Deferral</v>
      </c>
      <c r="D30" s="148"/>
      <c r="E30" s="602"/>
      <c r="F30" s="899" t="s">
        <v>780</v>
      </c>
      <c r="G30" s="900">
        <v>36004</v>
      </c>
      <c r="H30" s="899" t="s">
        <v>470</v>
      </c>
      <c r="I30" s="901"/>
    </row>
    <row r="31" spans="1:10" ht="13.5" thickBot="1">
      <c r="A31" s="587"/>
      <c r="B31" s="582" t="str">
        <f>Assm!H29</f>
        <v>Federal Income Tax</v>
      </c>
      <c r="C31" s="603">
        <f>Assm!J29</f>
        <v>0.37</v>
      </c>
      <c r="D31" s="676"/>
      <c r="E31" s="604"/>
      <c r="F31" s="905" t="s">
        <v>781</v>
      </c>
      <c r="G31" s="906"/>
      <c r="H31" s="905"/>
      <c r="I31" s="907"/>
    </row>
    <row r="32" spans="1:10" ht="13.5" thickBot="1">
      <c r="A32" s="8"/>
      <c r="B32" s="8"/>
      <c r="C32" s="8"/>
      <c r="D32" s="8"/>
      <c r="F32" s="8"/>
      <c r="G32" s="8"/>
      <c r="H32" s="8"/>
      <c r="I32" s="8"/>
      <c r="J32" s="8"/>
    </row>
    <row r="33" spans="1:9">
      <c r="A33" s="583" t="str">
        <f>Assm!H31</f>
        <v>VAT</v>
      </c>
      <c r="B33" s="395" t="str">
        <f>Assm!H32</f>
        <v>Assume we are a 0% rated company (no VAT received on revenues).</v>
      </c>
      <c r="C33" s="655"/>
      <c r="D33" s="677"/>
      <c r="E33" s="605"/>
      <c r="F33" s="899"/>
      <c r="G33" s="900"/>
      <c r="H33" s="899"/>
      <c r="I33" s="901"/>
    </row>
    <row r="34" spans="1:9">
      <c r="A34" s="586"/>
      <c r="B34" s="3" t="str">
        <f>Assm!H33</f>
        <v>Receive VAT certificates annually (based on calc'd amount) to be sold to 3rd parties.</v>
      </c>
      <c r="C34" s="656"/>
      <c r="D34" s="678"/>
      <c r="E34" s="377"/>
      <c r="F34" s="902"/>
      <c r="G34" s="903"/>
      <c r="H34" s="902"/>
      <c r="I34" s="904"/>
    </row>
    <row r="35" spans="1:9" ht="13.5" thickBot="1">
      <c r="A35" s="587"/>
      <c r="B35" s="564" t="str">
        <f>Assm!H34</f>
        <v>Loss On Sale Of Certificate</v>
      </c>
      <c r="C35" s="603">
        <f>Assm!J34</f>
        <v>0.02</v>
      </c>
      <c r="D35" s="679"/>
      <c r="E35" s="606"/>
      <c r="F35" s="905" t="s">
        <v>618</v>
      </c>
      <c r="G35" s="906">
        <v>35888</v>
      </c>
      <c r="H35" s="905" t="s">
        <v>80</v>
      </c>
      <c r="I35" s="907" t="s">
        <v>881</v>
      </c>
    </row>
    <row r="36" spans="1:9" s="8" customFormat="1" ht="13.5" thickBot="1"/>
    <row r="37" spans="1:9">
      <c r="A37" s="583" t="s">
        <v>123</v>
      </c>
      <c r="B37" s="580" t="s">
        <v>438</v>
      </c>
      <c r="C37" s="600">
        <f>Assm!I36</f>
        <v>0.05</v>
      </c>
      <c r="D37" s="73"/>
      <c r="E37" s="585"/>
      <c r="F37" s="899"/>
      <c r="G37" s="900"/>
      <c r="H37" s="899"/>
      <c r="I37" s="857"/>
    </row>
    <row r="38" spans="1:9" ht="13.5" thickBot="1">
      <c r="A38" s="587"/>
      <c r="B38" s="582" t="str">
        <f>CONCATENATE("Capped @ ",TEXT(Assm!I37,"0.00%")," ",Assm!J37)</f>
        <v>Capped @ 50.00% Of Original Equity Equal To</v>
      </c>
      <c r="C38" s="607">
        <f>Assm!L37</f>
        <v>20000</v>
      </c>
      <c r="D38" s="149"/>
      <c r="E38" s="608"/>
      <c r="F38" s="905" t="s">
        <v>618</v>
      </c>
      <c r="G38" s="906">
        <v>36172</v>
      </c>
      <c r="H38" s="905" t="s">
        <v>80</v>
      </c>
      <c r="I38" s="828" t="s">
        <v>970</v>
      </c>
    </row>
    <row r="39" spans="1:9" s="8" customFormat="1" ht="13.5" thickBot="1"/>
    <row r="40" spans="1:9">
      <c r="A40" s="583" t="str">
        <f>Assm!H39</f>
        <v>Depreciation Assumptions</v>
      </c>
      <c r="B40" s="395"/>
      <c r="C40" s="616" t="s">
        <v>81</v>
      </c>
      <c r="D40" s="680" t="s">
        <v>113</v>
      </c>
      <c r="E40" s="680" t="s">
        <v>590</v>
      </c>
      <c r="F40" s="899"/>
      <c r="G40" s="900"/>
      <c r="H40" s="899"/>
      <c r="I40" s="901"/>
    </row>
    <row r="41" spans="1:9">
      <c r="A41" s="586"/>
      <c r="B41" s="3" t="str">
        <f>Assm!H41</f>
        <v>Tax</v>
      </c>
      <c r="C41" s="700">
        <f ca="1">Assm!J41</f>
        <v>144209.98709660902</v>
      </c>
      <c r="D41" s="43" t="str">
        <f>Assm!L41</f>
        <v>S/L</v>
      </c>
      <c r="E41" s="228">
        <f>Assm!K41</f>
        <v>10</v>
      </c>
      <c r="F41" s="902" t="s">
        <v>618</v>
      </c>
      <c r="G41" s="903">
        <v>35888</v>
      </c>
      <c r="H41" s="902" t="s">
        <v>80</v>
      </c>
      <c r="I41" s="904" t="s">
        <v>667</v>
      </c>
    </row>
    <row r="42" spans="1:9">
      <c r="A42" s="586"/>
      <c r="B42" s="3" t="str">
        <f>Assm!H42</f>
        <v>Book</v>
      </c>
      <c r="C42" s="700">
        <f ca="1">Assm!J42</f>
        <v>144209.98709660902</v>
      </c>
      <c r="D42" s="43" t="str">
        <f>Assm!L42</f>
        <v>S/L</v>
      </c>
      <c r="E42" s="228">
        <f>Assm!K42</f>
        <v>20</v>
      </c>
      <c r="F42" s="902" t="s">
        <v>782</v>
      </c>
      <c r="G42" s="903"/>
      <c r="H42" s="902"/>
      <c r="I42" s="904"/>
    </row>
    <row r="43" spans="1:9" ht="13.5" thickBot="1">
      <c r="A43" s="587"/>
      <c r="B43" s="564" t="str">
        <f>Assm!H43</f>
        <v>GAAP</v>
      </c>
      <c r="C43" s="701">
        <f ca="1">Assm!J43</f>
        <v>144209.98709660902</v>
      </c>
      <c r="D43" s="702" t="str">
        <f>Assm!L43</f>
        <v>S/L</v>
      </c>
      <c r="E43" s="702">
        <f>Assm!K43</f>
        <v>20</v>
      </c>
      <c r="F43" s="905" t="s">
        <v>782</v>
      </c>
      <c r="G43" s="906"/>
      <c r="H43" s="905"/>
      <c r="I43" s="907"/>
    </row>
    <row r="44" spans="1:9" ht="13.5" thickBot="1">
      <c r="A44" s="8"/>
      <c r="B44" s="8"/>
      <c r="C44" s="8"/>
      <c r="D44" s="8"/>
      <c r="F44" s="8"/>
      <c r="G44" s="8"/>
      <c r="H44" s="82"/>
      <c r="I44" s="8"/>
    </row>
    <row r="45" spans="1:9">
      <c r="A45" s="583" t="str">
        <f>Assm!H45</f>
        <v>Trapped Cash</v>
      </c>
      <c r="B45" s="580" t="str">
        <f>Assm!H46</f>
        <v>Distributions Limited To Retained Earnings</v>
      </c>
      <c r="C45" s="650"/>
      <c r="D45" s="513"/>
      <c r="E45" s="651"/>
      <c r="F45" s="899" t="s">
        <v>618</v>
      </c>
      <c r="G45" s="900">
        <v>36172</v>
      </c>
      <c r="H45" s="899" t="s">
        <v>80</v>
      </c>
      <c r="I45" s="857" t="s">
        <v>970</v>
      </c>
    </row>
    <row r="46" spans="1:9">
      <c r="A46" s="139"/>
      <c r="B46" s="13" t="str">
        <f>Assm!H51</f>
        <v>Interest Income To Project On Trapped Cash Loans</v>
      </c>
      <c r="C46" s="351"/>
      <c r="D46" s="17">
        <f>Assm!L51</f>
        <v>0.05</v>
      </c>
      <c r="E46" s="352"/>
      <c r="F46" s="902" t="s">
        <v>780</v>
      </c>
      <c r="G46" s="903">
        <v>36004</v>
      </c>
      <c r="H46" s="902" t="s">
        <v>470</v>
      </c>
      <c r="I46" s="826"/>
    </row>
    <row r="47" spans="1:9" ht="13.5" thickBot="1">
      <c r="A47" s="141"/>
      <c r="B47" s="582" t="str">
        <f>Assm!H52</f>
        <v>Interest Expense To Shareholders On Trapped Cash Loans</v>
      </c>
      <c r="C47" s="1079"/>
      <c r="D47" s="1080">
        <f>Assm!L52</f>
        <v>0.06</v>
      </c>
      <c r="E47" s="1078"/>
      <c r="F47" s="905" t="s">
        <v>780</v>
      </c>
      <c r="G47" s="906">
        <v>36004</v>
      </c>
      <c r="H47" s="905" t="s">
        <v>470</v>
      </c>
      <c r="I47" s="828"/>
    </row>
    <row r="48" spans="1:9" ht="13.5" thickBot="1">
      <c r="A48" s="8"/>
      <c r="B48" s="95"/>
      <c r="C48" s="8"/>
      <c r="D48" s="80"/>
      <c r="E48" s="80"/>
      <c r="F48" s="8"/>
      <c r="G48" s="117"/>
      <c r="H48" s="8"/>
      <c r="I48" s="8"/>
    </row>
    <row r="49" spans="1:9">
      <c r="A49" s="583" t="str">
        <f>Assm!H78</f>
        <v>Political Risk Insurance</v>
      </c>
      <c r="B49" s="580"/>
      <c r="C49" s="395"/>
      <c r="D49" s="73"/>
      <c r="E49" s="585"/>
      <c r="F49" s="899"/>
      <c r="G49" s="900"/>
      <c r="H49" s="899"/>
      <c r="I49" s="857"/>
    </row>
    <row r="50" spans="1:9" ht="13.5" thickBot="1">
      <c r="A50" s="587"/>
      <c r="B50" s="582" t="str">
        <f>Assm!H79</f>
        <v>Book Earnings Method</v>
      </c>
      <c r="C50" s="611">
        <f>Opic</f>
        <v>0.01</v>
      </c>
      <c r="D50" s="149"/>
      <c r="E50" s="608"/>
      <c r="F50" s="905" t="s">
        <v>505</v>
      </c>
      <c r="G50" s="906">
        <v>36084</v>
      </c>
      <c r="H50" s="905" t="s">
        <v>504</v>
      </c>
      <c r="I50" s="828" t="s">
        <v>475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F91"/>
  <sheetViews>
    <sheetView showGridLines="0" topLeftCell="A16" zoomScale="75" workbookViewId="0">
      <selection activeCell="F35" sqref="F35"/>
    </sheetView>
  </sheetViews>
  <sheetFormatPr defaultRowHeight="12.75"/>
  <cols>
    <col min="1" max="1" width="20.7109375" style="5" customWidth="1"/>
    <col min="2" max="6" width="11.7109375" style="5" customWidth="1"/>
    <col min="7" max="7" width="3.7109375" style="5" customWidth="1"/>
    <col min="8" max="8" width="25.7109375" style="5" customWidth="1"/>
    <col min="9" max="11" width="13.7109375" style="5" customWidth="1"/>
    <col min="12" max="12" width="15" style="5" customWidth="1"/>
    <col min="13" max="13" width="3.7109375" style="5" customWidth="1"/>
    <col min="14" max="14" width="20.7109375" style="5" customWidth="1"/>
    <col min="15" max="18" width="12.7109375" style="5" customWidth="1"/>
    <col min="19" max="19" width="3.7109375" style="5" customWidth="1"/>
    <col min="20" max="20" width="28.7109375" style="5" customWidth="1"/>
    <col min="21" max="24" width="12.7109375" style="5" customWidth="1"/>
    <col min="25" max="25" width="9.140625" style="5"/>
    <col min="26" max="27" width="9.7109375" style="5" customWidth="1"/>
    <col min="28" max="28" width="9.140625" style="5"/>
    <col min="29" max="29" width="20.7109375" style="5" customWidth="1"/>
    <col min="30" max="32" width="11.7109375" style="5" customWidth="1"/>
    <col min="33" max="16384" width="9.140625" style="5"/>
  </cols>
  <sheetData>
    <row r="1" spans="1:32" ht="15.75">
      <c r="A1" s="996" t="str">
        <f>CONCATENATE(TOC!B2," ",TOC!B6)</f>
        <v>GAS ORIENTE BOLIVIANO S.A. (GASBOL) *** DRAFT COPY ***</v>
      </c>
      <c r="B1" s="134"/>
      <c r="C1" s="134"/>
      <c r="I1" s="1063" t="str">
        <f ca="1">IF(Loopfactor=0," ", "WARNING: MODEL HAS NOT BEEN CONVERGED")</f>
        <v xml:space="preserve"> </v>
      </c>
      <c r="O1" s="1063" t="str">
        <f ca="1">IF(((X9+X18+X27+X36+X45))-Debt&lt;0.05," ","WARNING:  THE SUM OF THE DEBT LISTED IN THE TRANCHES DOES NOT EQUAL TOTAL DEBT")</f>
        <v xml:space="preserve"> </v>
      </c>
      <c r="S1" s="94"/>
    </row>
    <row r="2" spans="1:32" ht="15.75">
      <c r="A2" s="996" t="str">
        <f>TOC!B3</f>
        <v>369 KM PIPELINE SPUR FOR CUIABA POWER PLANT (BOLIVIA)</v>
      </c>
      <c r="B2" s="134"/>
      <c r="C2" s="134"/>
      <c r="I2" s="1063" t="str">
        <f ca="1">IF(Commit_Factor=0," ", "WARNING: COMMITMENT FEE HAS NOT BEEN CONVERGED")</f>
        <v xml:space="preserve"> </v>
      </c>
      <c r="O2" s="1063" t="str">
        <f ca="1">IF(ABS(Returns!AA10+Equity)&lt;0.5," ","WARNING:  EQUITY DISTRIBUTED IN THE RETURNS CALC DOES NOT EQUAL TOTAL EQUITY")</f>
        <v xml:space="preserve"> </v>
      </c>
      <c r="S2" s="94"/>
    </row>
    <row r="3" spans="1:32" ht="15.75">
      <c r="A3" s="206" t="str">
        <f>TOC!B4</f>
        <v>ENRON INTERNATIONAL</v>
      </c>
      <c r="B3" s="134"/>
      <c r="C3" s="134"/>
      <c r="F3" s="29"/>
      <c r="I3" s="1063" t="str">
        <f ca="1">IF(ABS(BS_IS!AC35)&lt;0.1," ","WARNING: BALANCE SHEET IS NOT BALANCED")</f>
        <v xml:space="preserve"> </v>
      </c>
      <c r="T3" s="69"/>
    </row>
    <row r="4" spans="1:32" ht="15.75">
      <c r="A4" s="820" t="s">
        <v>90</v>
      </c>
      <c r="B4" s="134"/>
      <c r="C4" s="134"/>
      <c r="F4" s="29"/>
      <c r="I4" s="1063" t="str">
        <f ca="1">IF(V78&lt;W78,"WARNING: A-TAX TARGET MINIMUM DCR HAS NOT BEEN MET"," ")</f>
        <v>WARNING: A-TAX TARGET MINIMUM DCR HAS NOT BEEN MET</v>
      </c>
      <c r="O4" s="1063" t="str">
        <f ca="1">IF(V79&lt;W79,"WARNING:  A-TAX TARGET AVERAGE DCR HAS NOT BEEN MET"," ")</f>
        <v xml:space="preserve"> </v>
      </c>
    </row>
    <row r="5" spans="1:32" ht="13.5" thickBot="1">
      <c r="A5" s="76" t="s">
        <v>92</v>
      </c>
      <c r="E5" s="47"/>
      <c r="F5" s="29"/>
    </row>
    <row r="6" spans="1:32" ht="13.5" thickBot="1">
      <c r="A6" s="211" t="s">
        <v>258</v>
      </c>
      <c r="B6" s="78"/>
      <c r="C6" s="78"/>
      <c r="D6" s="73"/>
      <c r="E6" s="138">
        <f>YEAR(Startops1)</f>
        <v>2001</v>
      </c>
      <c r="F6" s="142"/>
      <c r="H6" s="211" t="s">
        <v>270</v>
      </c>
      <c r="I6" s="78"/>
      <c r="J6" s="73"/>
      <c r="K6" s="159" t="s">
        <v>94</v>
      </c>
      <c r="L6" s="836" t="s">
        <v>95</v>
      </c>
      <c r="N6" s="211" t="s">
        <v>894</v>
      </c>
      <c r="O6" s="73"/>
      <c r="P6" s="73"/>
      <c r="Q6" s="73"/>
      <c r="R6" s="1008" t="s">
        <v>192</v>
      </c>
      <c r="S6" s="95"/>
      <c r="T6" s="211" t="s">
        <v>898</v>
      </c>
      <c r="U6" s="73"/>
      <c r="V6" s="73"/>
      <c r="W6" s="73"/>
      <c r="X6" s="144"/>
      <c r="AC6" s="214" t="s">
        <v>296</v>
      </c>
      <c r="AD6" s="160" t="s">
        <v>96</v>
      </c>
      <c r="AE6" s="160" t="s">
        <v>97</v>
      </c>
      <c r="AF6" s="161" t="s">
        <v>98</v>
      </c>
    </row>
    <row r="7" spans="1:32">
      <c r="A7" s="139" t="s">
        <v>255</v>
      </c>
      <c r="B7" s="32"/>
      <c r="C7" s="32"/>
      <c r="D7" s="8"/>
      <c r="E7" s="821">
        <v>369</v>
      </c>
      <c r="F7" s="143" t="s">
        <v>256</v>
      </c>
      <c r="H7" s="1005" t="s">
        <v>99</v>
      </c>
      <c r="I7" s="8"/>
      <c r="J7" s="55"/>
      <c r="K7" s="8"/>
      <c r="L7" s="150"/>
      <c r="N7" s="139" t="s">
        <v>769</v>
      </c>
      <c r="O7" s="8"/>
      <c r="P7" s="8"/>
      <c r="Q7" s="8"/>
      <c r="R7" s="221">
        <f>Turnkey!C21</f>
        <v>92999.02800000002</v>
      </c>
      <c r="S7" s="34"/>
      <c r="T7" s="139"/>
      <c r="U7" s="8"/>
      <c r="V7" s="8"/>
      <c r="W7" s="8"/>
      <c r="X7" s="150"/>
      <c r="AC7" s="139"/>
      <c r="AD7" s="152"/>
      <c r="AE7" s="152"/>
      <c r="AF7" s="174"/>
    </row>
    <row r="8" spans="1:32" ht="13.5" thickBot="1">
      <c r="A8" s="141" t="s">
        <v>102</v>
      </c>
      <c r="B8" s="79"/>
      <c r="C8" s="79"/>
      <c r="D8" s="76"/>
      <c r="E8" s="944">
        <v>18</v>
      </c>
      <c r="F8" s="757" t="s">
        <v>257</v>
      </c>
      <c r="H8" s="139" t="s">
        <v>657</v>
      </c>
      <c r="I8" s="8"/>
      <c r="J8" s="837">
        <v>0.25</v>
      </c>
      <c r="K8" s="97" t="s">
        <v>272</v>
      </c>
      <c r="L8" s="150"/>
      <c r="N8" s="139" t="s">
        <v>926</v>
      </c>
      <c r="O8" s="8"/>
      <c r="P8" s="8"/>
      <c r="Q8" s="8"/>
      <c r="R8" s="221">
        <f>Turnkey!D48</f>
        <v>6173.8189999999995</v>
      </c>
      <c r="S8" s="98"/>
      <c r="T8" s="976" t="s">
        <v>478</v>
      </c>
      <c r="U8" s="195"/>
      <c r="V8" s="186"/>
      <c r="W8" s="186"/>
      <c r="X8" s="189"/>
      <c r="AC8" s="139" t="s">
        <v>297</v>
      </c>
      <c r="AD8" s="1300">
        <f ca="1">AE8</f>
        <v>156184.0925154642</v>
      </c>
      <c r="AE8" s="53">
        <f ca="1">Cost</f>
        <v>156184.0925154642</v>
      </c>
      <c r="AF8" s="213">
        <f ca="1">AE8-Est_Cost</f>
        <v>0</v>
      </c>
    </row>
    <row r="9" spans="1:32" ht="13.5" thickBot="1">
      <c r="B9" s="8"/>
      <c r="C9" s="8"/>
      <c r="H9" s="139" t="s">
        <v>596</v>
      </c>
      <c r="I9" s="8"/>
      <c r="J9" s="837">
        <v>0.03</v>
      </c>
      <c r="K9" s="97" t="s">
        <v>595</v>
      </c>
      <c r="L9" s="150"/>
      <c r="N9" s="139" t="s">
        <v>928</v>
      </c>
      <c r="O9" s="8"/>
      <c r="P9" s="8"/>
      <c r="Q9" s="8"/>
      <c r="R9" s="221">
        <f>Turnkey!D54</f>
        <v>0</v>
      </c>
      <c r="S9" s="98"/>
      <c r="T9" s="139" t="s">
        <v>74</v>
      </c>
      <c r="U9" s="8"/>
      <c r="V9" s="8"/>
      <c r="W9" s="862">
        <f ca="1">X9/Debt</f>
        <v>1</v>
      </c>
      <c r="X9" s="183">
        <f ca="1">Debt-SUM(X18,X27,X36,X45)</f>
        <v>93710.455509278516</v>
      </c>
      <c r="AC9" s="139" t="s">
        <v>298</v>
      </c>
      <c r="AD9" s="1300">
        <f ca="1">AE9</f>
        <v>7955.1089695050259</v>
      </c>
      <c r="AE9" s="53">
        <f ca="1">IDC!$D$69</f>
        <v>7955.1089695050259</v>
      </c>
      <c r="AF9" s="213">
        <f ca="1">AE9-Est_IDC</f>
        <v>0</v>
      </c>
    </row>
    <row r="10" spans="1:32" ht="13.5" thickBot="1">
      <c r="A10" s="211" t="s">
        <v>103</v>
      </c>
      <c r="B10" s="73"/>
      <c r="C10" s="73"/>
      <c r="D10" s="73"/>
      <c r="E10" s="73"/>
      <c r="F10" s="144"/>
      <c r="H10" s="139" t="s">
        <v>597</v>
      </c>
      <c r="I10" s="20"/>
      <c r="J10" s="838">
        <v>1</v>
      </c>
      <c r="K10" s="97" t="s">
        <v>267</v>
      </c>
      <c r="L10" s="150"/>
      <c r="N10" s="139" t="s">
        <v>927</v>
      </c>
      <c r="O10" s="8"/>
      <c r="P10" s="23"/>
      <c r="Q10" s="8"/>
      <c r="R10" s="221">
        <f>Turnkey!D60</f>
        <v>7914</v>
      </c>
      <c r="S10" s="98"/>
      <c r="T10" s="139" t="s">
        <v>734</v>
      </c>
      <c r="U10" s="8"/>
      <c r="V10" s="8"/>
      <c r="W10" s="187"/>
      <c r="X10" s="867">
        <v>3</v>
      </c>
      <c r="AC10" s="139" t="s">
        <v>719</v>
      </c>
      <c r="AD10" s="1300">
        <f ca="1">AE10</f>
        <v>475.77727694755021</v>
      </c>
      <c r="AE10" s="53">
        <f ca="1">IDC!AO53</f>
        <v>475.77727694755021</v>
      </c>
      <c r="AF10" s="213">
        <f ca="1">AE10-AD10</f>
        <v>0</v>
      </c>
    </row>
    <row r="11" spans="1:32">
      <c r="A11" s="139" t="s">
        <v>843</v>
      </c>
      <c r="B11" s="8"/>
      <c r="C11" s="8"/>
      <c r="D11" s="8"/>
      <c r="F11" s="1015">
        <v>35886</v>
      </c>
      <c r="H11" s="139" t="s">
        <v>599</v>
      </c>
      <c r="I11" s="8"/>
      <c r="J11" s="837">
        <v>0.03</v>
      </c>
      <c r="K11" s="97" t="s">
        <v>598</v>
      </c>
      <c r="L11" s="150"/>
      <c r="N11" s="139" t="s">
        <v>998</v>
      </c>
      <c r="O11" s="8"/>
      <c r="P11" s="23"/>
      <c r="Q11" s="8"/>
      <c r="R11" s="850">
        <v>0</v>
      </c>
      <c r="S11" s="98"/>
      <c r="T11" s="139" t="s">
        <v>754</v>
      </c>
      <c r="U11" s="868">
        <v>15</v>
      </c>
      <c r="W11" s="82" t="s">
        <v>756</v>
      </c>
      <c r="X11" s="190">
        <f ca="1">IF(U11=0,0,U11-ROUND(((Startops2-Fin_Close)/365),0)+X12/2)*2</f>
        <v>29</v>
      </c>
      <c r="Z11" s="207" t="s">
        <v>106</v>
      </c>
      <c r="AA11" s="208"/>
      <c r="AC11" s="139" t="s">
        <v>73</v>
      </c>
      <c r="AD11" s="1300">
        <f ca="1">AE11</f>
        <v>18.041976124151429</v>
      </c>
      <c r="AE11" s="53">
        <f ca="1">IDC!D86</f>
        <v>18.041976124151429</v>
      </c>
      <c r="AF11" s="213">
        <f ca="1">AE11-Est_Commit</f>
        <v>0</v>
      </c>
    </row>
    <row r="12" spans="1:32" ht="13.5" thickBot="1">
      <c r="A12" s="139" t="s">
        <v>844</v>
      </c>
      <c r="B12" s="8"/>
      <c r="C12" s="8"/>
      <c r="D12" s="8"/>
      <c r="F12" s="1015">
        <v>36342</v>
      </c>
      <c r="H12" s="139" t="s">
        <v>601</v>
      </c>
      <c r="I12" s="8"/>
      <c r="J12" s="837">
        <v>0.125</v>
      </c>
      <c r="K12" s="97" t="s">
        <v>604</v>
      </c>
      <c r="L12" s="150"/>
      <c r="N12" s="139" t="s">
        <v>945</v>
      </c>
      <c r="O12" s="8"/>
      <c r="P12" s="1070">
        <v>1</v>
      </c>
      <c r="R12" s="222">
        <f>(-Turnkey!C20+Turnkey!D20)*$P12</f>
        <v>810.68994344827661</v>
      </c>
      <c r="S12" s="98"/>
      <c r="T12" s="139" t="s">
        <v>755</v>
      </c>
      <c r="U12" s="636">
        <f ca="1">IF(X12=0,0,X12+ROUND(((Startops2-Fin_Close)/365),2))</f>
        <v>1.92</v>
      </c>
      <c r="W12" s="82" t="s">
        <v>757</v>
      </c>
      <c r="X12" s="870">
        <v>1</v>
      </c>
      <c r="Z12" s="209">
        <f ca="1">IF(ABS(SUM(AF14))&lt;0.05,0,1)</f>
        <v>0</v>
      </c>
      <c r="AA12" s="210"/>
      <c r="AC12" s="139" t="s">
        <v>434</v>
      </c>
      <c r="AD12" s="1300">
        <f ca="1">AE12</f>
        <v>1405.6568326391778</v>
      </c>
      <c r="AE12" s="53">
        <f ca="1">Debt*X74</f>
        <v>1405.6568326391778</v>
      </c>
      <c r="AF12" s="213">
        <f ca="1">AE12-AD12</f>
        <v>0</v>
      </c>
    </row>
    <row r="13" spans="1:32">
      <c r="A13" s="145" t="s">
        <v>842</v>
      </c>
      <c r="B13" s="8"/>
      <c r="C13" s="8"/>
      <c r="D13" s="8"/>
      <c r="E13" s="99"/>
      <c r="F13" s="1015">
        <f>[4]RAROC!$J$50</f>
        <v>36892</v>
      </c>
      <c r="H13" s="139" t="s">
        <v>602</v>
      </c>
      <c r="I13" s="8"/>
      <c r="J13" s="837">
        <v>0.125</v>
      </c>
      <c r="K13" s="97" t="s">
        <v>603</v>
      </c>
      <c r="L13" s="150"/>
      <c r="N13" s="177" t="s">
        <v>826</v>
      </c>
      <c r="O13" s="23"/>
      <c r="P13" s="23"/>
      <c r="Q13" s="8"/>
      <c r="R13" s="223">
        <f>SUM(R7:R12)</f>
        <v>107897.5369434483</v>
      </c>
      <c r="S13" s="98"/>
      <c r="T13" s="139" t="s">
        <v>768</v>
      </c>
      <c r="U13" s="8"/>
      <c r="V13" s="8"/>
      <c r="W13" s="188"/>
      <c r="X13" s="637">
        <f ca="1">IF(X9=0,0,ROUND(U11/2+(Term_C/12),1))</f>
        <v>10.4</v>
      </c>
      <c r="AC13" s="139"/>
      <c r="AD13" s="8"/>
      <c r="AE13" s="8"/>
      <c r="AF13" s="150"/>
    </row>
    <row r="14" spans="1:32" ht="13.5" thickBot="1">
      <c r="A14" s="145" t="s">
        <v>845</v>
      </c>
      <c r="B14" s="8"/>
      <c r="C14" s="8"/>
      <c r="D14" s="8"/>
      <c r="E14" s="99"/>
      <c r="F14" s="150">
        <f>ROUND((Startops1-Startconst)/(365/12),0)</f>
        <v>35</v>
      </c>
      <c r="H14" s="139" t="s">
        <v>613</v>
      </c>
      <c r="I14" s="8"/>
      <c r="J14" s="837">
        <v>0.125</v>
      </c>
      <c r="K14" s="97" t="s">
        <v>273</v>
      </c>
      <c r="L14" s="150"/>
      <c r="N14" s="177"/>
      <c r="O14" s="23"/>
      <c r="P14" s="23"/>
      <c r="Q14" s="8"/>
      <c r="R14" s="178"/>
      <c r="S14" s="98"/>
      <c r="T14" s="139" t="s">
        <v>774</v>
      </c>
      <c r="U14" s="8"/>
      <c r="V14" s="869">
        <v>6.3125000000000001E-2</v>
      </c>
      <c r="W14" s="869">
        <v>4.7E-2</v>
      </c>
      <c r="X14" s="191">
        <f>[4]RAROC!$E$92</f>
        <v>0.1101</v>
      </c>
      <c r="AC14" s="936" t="s">
        <v>791</v>
      </c>
      <c r="AD14" s="937"/>
      <c r="AE14" s="937"/>
      <c r="AF14" s="938">
        <f ca="1">SUM(AF8:AF13)</f>
        <v>0</v>
      </c>
    </row>
    <row r="15" spans="1:32">
      <c r="A15" s="139" t="s">
        <v>498</v>
      </c>
      <c r="B15" s="8"/>
      <c r="C15" s="12"/>
      <c r="F15" s="1015">
        <f>[4]RAROC!$J$51</f>
        <v>36951</v>
      </c>
      <c r="H15" s="139" t="s">
        <v>600</v>
      </c>
      <c r="I15" s="8"/>
      <c r="J15" s="837">
        <v>0.13</v>
      </c>
      <c r="K15" s="97" t="s">
        <v>654</v>
      </c>
      <c r="L15" s="150"/>
      <c r="N15" s="139" t="s">
        <v>149</v>
      </c>
      <c r="O15" s="8"/>
      <c r="P15" s="8"/>
      <c r="Q15" s="8"/>
      <c r="R15" s="851">
        <f>303-83</f>
        <v>220</v>
      </c>
      <c r="S15" s="98"/>
      <c r="T15" s="139" t="s">
        <v>434</v>
      </c>
      <c r="U15" s="8"/>
      <c r="V15" s="152"/>
      <c r="W15" s="152"/>
      <c r="X15" s="871">
        <v>1.4999999999999999E-2</v>
      </c>
    </row>
    <row r="16" spans="1:32">
      <c r="A16" s="139" t="s">
        <v>499</v>
      </c>
      <c r="B16" s="8"/>
      <c r="C16" s="12"/>
      <c r="F16" s="1015">
        <f>[4]RAROC!$J$52</f>
        <v>37104</v>
      </c>
      <c r="H16" s="139" t="s">
        <v>605</v>
      </c>
      <c r="I16" s="8"/>
      <c r="J16" s="21">
        <f>Vat/(1-Vat)</f>
        <v>0.14942528735632185</v>
      </c>
      <c r="K16" s="97" t="s">
        <v>340</v>
      </c>
      <c r="L16" s="150"/>
      <c r="N16" s="139" t="s">
        <v>832</v>
      </c>
      <c r="O16" s="8"/>
      <c r="P16" s="8"/>
      <c r="Q16" s="8"/>
      <c r="R16" s="851">
        <v>600</v>
      </c>
      <c r="S16" s="98"/>
      <c r="T16" s="139" t="s">
        <v>73</v>
      </c>
      <c r="U16" s="8"/>
      <c r="V16" s="152"/>
      <c r="W16" s="152"/>
      <c r="X16" s="871">
        <v>5.0000000000000001E-3</v>
      </c>
    </row>
    <row r="17" spans="1:24">
      <c r="A17" s="139" t="s">
        <v>707</v>
      </c>
      <c r="B17" s="8"/>
      <c r="C17" s="12"/>
      <c r="D17" s="8"/>
      <c r="F17" s="1016">
        <v>43556</v>
      </c>
      <c r="H17" s="146" t="s">
        <v>607</v>
      </c>
      <c r="I17" s="8"/>
      <c r="J17" s="96"/>
      <c r="K17" s="97"/>
      <c r="L17" s="150"/>
      <c r="N17" s="139" t="s">
        <v>854</v>
      </c>
      <c r="O17" s="831">
        <v>802</v>
      </c>
      <c r="P17" s="1019" t="s">
        <v>840</v>
      </c>
      <c r="Q17" s="831">
        <v>0</v>
      </c>
      <c r="R17" s="221">
        <f>SUM(O17,Q17)</f>
        <v>802</v>
      </c>
      <c r="S17" s="100"/>
      <c r="T17" s="977" t="s">
        <v>564</v>
      </c>
      <c r="U17" s="859"/>
      <c r="V17" s="860"/>
      <c r="W17" s="860"/>
      <c r="X17" s="861"/>
    </row>
    <row r="18" spans="1:24">
      <c r="A18" s="139" t="s">
        <v>259</v>
      </c>
      <c r="B18" s="8"/>
      <c r="C18" s="19"/>
      <c r="D18" s="8"/>
      <c r="E18" s="8"/>
      <c r="F18" s="823">
        <v>20</v>
      </c>
      <c r="H18" s="139" t="s">
        <v>606</v>
      </c>
      <c r="I18" s="8"/>
      <c r="J18" s="837">
        <v>0.1</v>
      </c>
      <c r="K18" s="97" t="s">
        <v>610</v>
      </c>
      <c r="L18" s="150"/>
      <c r="N18" s="139" t="s">
        <v>828</v>
      </c>
      <c r="O18" s="8"/>
      <c r="P18" s="21"/>
      <c r="Q18" s="8"/>
      <c r="R18" s="851">
        <f>1100+150</f>
        <v>1250</v>
      </c>
      <c r="S18" s="101"/>
      <c r="T18" s="163" t="s">
        <v>74</v>
      </c>
      <c r="U18" s="23"/>
      <c r="V18" s="23"/>
      <c r="W18" s="862">
        <f ca="1">X18/Debt</f>
        <v>0</v>
      </c>
      <c r="X18" s="850">
        <v>0</v>
      </c>
    </row>
    <row r="19" spans="1:24" ht="13.5" thickBot="1">
      <c r="A19" s="141" t="s">
        <v>100</v>
      </c>
      <c r="B19" s="79"/>
      <c r="C19" s="79"/>
      <c r="D19" s="76"/>
      <c r="E19" s="76"/>
      <c r="F19" s="824" t="s">
        <v>101</v>
      </c>
      <c r="H19" s="139" t="s">
        <v>609</v>
      </c>
      <c r="I19" s="8"/>
      <c r="J19" s="837">
        <v>0.02</v>
      </c>
      <c r="K19" s="97" t="s">
        <v>610</v>
      </c>
      <c r="L19" s="150"/>
      <c r="N19" s="139" t="s">
        <v>831</v>
      </c>
      <c r="O19" s="8"/>
      <c r="P19" s="21"/>
      <c r="Q19" s="8"/>
      <c r="R19" s="851">
        <v>0</v>
      </c>
      <c r="S19" s="101"/>
      <c r="T19" s="163" t="s">
        <v>734</v>
      </c>
      <c r="U19" s="23"/>
      <c r="V19" s="23"/>
      <c r="W19" s="863"/>
      <c r="X19" s="867">
        <v>2</v>
      </c>
    </row>
    <row r="20" spans="1:24" ht="13.5" thickBot="1">
      <c r="B20" s="8"/>
      <c r="C20" s="8"/>
      <c r="H20" s="139" t="s">
        <v>614</v>
      </c>
      <c r="I20" s="8"/>
      <c r="J20" s="837">
        <v>1.9199999999999998E-2</v>
      </c>
      <c r="K20" s="97" t="s">
        <v>610</v>
      </c>
      <c r="L20" s="150"/>
      <c r="N20" s="139" t="s">
        <v>829</v>
      </c>
      <c r="O20" s="8"/>
      <c r="P20" s="8"/>
      <c r="Q20" s="8"/>
      <c r="R20" s="851">
        <v>11183.5134</v>
      </c>
      <c r="S20" s="101"/>
      <c r="T20" s="139" t="s">
        <v>754</v>
      </c>
      <c r="U20" s="868">
        <v>0</v>
      </c>
      <c r="W20" s="82" t="s">
        <v>756</v>
      </c>
      <c r="X20" s="190">
        <f ca="1">IF(U20=0,0,U20-ROUND(((Startops2-Fin_Close)/365),0)+X21/2)*2</f>
        <v>0</v>
      </c>
    </row>
    <row r="21" spans="1:24" ht="13.5" thickBot="1">
      <c r="A21" s="211" t="s">
        <v>659</v>
      </c>
      <c r="B21" s="73"/>
      <c r="C21" s="73"/>
      <c r="D21" s="73"/>
      <c r="E21" s="73"/>
      <c r="F21" s="144"/>
      <c r="H21" s="139" t="s">
        <v>615</v>
      </c>
      <c r="I21" s="8"/>
      <c r="J21" s="837">
        <v>5.0000000000000001E-3</v>
      </c>
      <c r="K21" s="97" t="s">
        <v>610</v>
      </c>
      <c r="L21" s="150"/>
      <c r="N21" s="139" t="s">
        <v>856</v>
      </c>
      <c r="O21" s="8"/>
      <c r="P21" s="8"/>
      <c r="Q21" s="8"/>
      <c r="R21" s="852">
        <v>5150.8</v>
      </c>
      <c r="S21" s="101"/>
      <c r="T21" s="139" t="s">
        <v>755</v>
      </c>
      <c r="U21" s="636">
        <f ca="1">IF(X21=0,0,X21+ROUND(((Startops2-Fin_Close)/365),2))</f>
        <v>1.92</v>
      </c>
      <c r="W21" s="82" t="s">
        <v>757</v>
      </c>
      <c r="X21" s="870">
        <v>1</v>
      </c>
    </row>
    <row r="22" spans="1:24">
      <c r="A22" s="139" t="s">
        <v>658</v>
      </c>
      <c r="B22" s="8"/>
      <c r="C22" s="8"/>
      <c r="D22" s="8"/>
      <c r="E22" s="8"/>
      <c r="F22" s="1109">
        <f ca="1">[1]RAC_ASSUMP!$C$15</f>
        <v>36770</v>
      </c>
      <c r="H22" s="139" t="s">
        <v>612</v>
      </c>
      <c r="I22" s="8"/>
      <c r="J22" s="837">
        <v>6.5000000000000002E-2</v>
      </c>
      <c r="K22" s="97" t="s">
        <v>608</v>
      </c>
      <c r="L22" s="150"/>
      <c r="N22" s="177" t="s">
        <v>827</v>
      </c>
      <c r="O22" s="23"/>
      <c r="P22" s="23"/>
      <c r="Q22" s="8"/>
      <c r="R22" s="223">
        <f>SUM(R15:R21)</f>
        <v>19206.313399999999</v>
      </c>
      <c r="S22" s="98"/>
      <c r="T22" s="139" t="s">
        <v>767</v>
      </c>
      <c r="U22" s="23"/>
      <c r="V22" s="23"/>
      <c r="W22" s="348"/>
      <c r="X22" s="637">
        <f>IF(X18=0,0,ROUND(U20/2+(Term_C/12),1))</f>
        <v>0</v>
      </c>
    </row>
    <row r="23" spans="1:24">
      <c r="A23" s="139" t="s">
        <v>260</v>
      </c>
      <c r="B23" s="8"/>
      <c r="C23" s="8"/>
      <c r="D23" s="8"/>
      <c r="E23" s="8"/>
      <c r="F23" s="150">
        <f ca="1">ROUND((Fin_Close-Startconst)/(365/12),0)</f>
        <v>29</v>
      </c>
      <c r="H23" s="139" t="s">
        <v>611</v>
      </c>
      <c r="I23" s="8"/>
      <c r="J23" s="837">
        <v>0.1</v>
      </c>
      <c r="K23" s="97" t="s">
        <v>608</v>
      </c>
      <c r="L23" s="150"/>
      <c r="N23" s="177"/>
      <c r="O23" s="23"/>
      <c r="P23" s="23"/>
      <c r="Q23" s="8"/>
      <c r="R23" s="178"/>
      <c r="S23" s="98"/>
      <c r="T23" s="139" t="s">
        <v>774</v>
      </c>
      <c r="U23" s="23"/>
      <c r="V23" s="869">
        <v>6.7699999999999996E-2</v>
      </c>
      <c r="W23" s="869">
        <v>2.5000000000000001E-2</v>
      </c>
      <c r="X23" s="864">
        <f>W23+V23</f>
        <v>9.2700000000000005E-2</v>
      </c>
    </row>
    <row r="24" spans="1:24">
      <c r="A24" s="139" t="s">
        <v>864</v>
      </c>
      <c r="B24" s="8"/>
      <c r="C24" s="8"/>
      <c r="D24" s="8"/>
      <c r="E24" s="8"/>
      <c r="F24" s="823">
        <v>6</v>
      </c>
      <c r="H24" s="146" t="s">
        <v>616</v>
      </c>
      <c r="I24" s="8"/>
      <c r="J24" s="96"/>
      <c r="K24" s="97"/>
      <c r="L24" s="150"/>
      <c r="N24" s="139" t="s">
        <v>283</v>
      </c>
      <c r="O24" s="8"/>
      <c r="P24" s="8"/>
      <c r="Q24" s="8"/>
      <c r="R24" s="221">
        <f ca="1">Est_IDC</f>
        <v>7955.1089695050259</v>
      </c>
      <c r="S24" s="98"/>
      <c r="T24" s="163" t="s">
        <v>434</v>
      </c>
      <c r="U24" s="23"/>
      <c r="V24" s="283"/>
      <c r="W24" s="283"/>
      <c r="X24" s="871">
        <v>1.4999999999999999E-2</v>
      </c>
    </row>
    <row r="25" spans="1:24" ht="13.5" thickBot="1">
      <c r="A25" s="141" t="s">
        <v>557</v>
      </c>
      <c r="B25" s="76"/>
      <c r="C25" s="76"/>
      <c r="D25" s="76"/>
      <c r="E25" s="76"/>
      <c r="F25" s="1017">
        <f>EDATE(Startops2,F24)</f>
        <v>37288</v>
      </c>
      <c r="H25" s="141" t="s">
        <v>625</v>
      </c>
      <c r="I25" s="76"/>
      <c r="J25" s="839">
        <v>0.01</v>
      </c>
      <c r="K25" s="639" t="s">
        <v>617</v>
      </c>
      <c r="L25" s="151"/>
      <c r="N25" s="139" t="s">
        <v>796</v>
      </c>
      <c r="O25" s="8"/>
      <c r="P25" s="8"/>
      <c r="Q25" s="8"/>
      <c r="R25" s="221">
        <f ca="1">AD10</f>
        <v>475.77727694755021</v>
      </c>
      <c r="S25" s="98"/>
      <c r="T25" s="163" t="s">
        <v>73</v>
      </c>
      <c r="U25" s="23"/>
      <c r="V25" s="283"/>
      <c r="W25" s="283"/>
      <c r="X25" s="871">
        <v>2.5000000000000001E-3</v>
      </c>
    </row>
    <row r="26" spans="1:24" ht="13.5" thickBot="1">
      <c r="N26" s="139" t="s">
        <v>73</v>
      </c>
      <c r="O26" s="8"/>
      <c r="P26" s="8"/>
      <c r="Q26" s="8"/>
      <c r="R26" s="221">
        <f ca="1">Est_Commit</f>
        <v>18.041976124151429</v>
      </c>
      <c r="S26" s="98"/>
      <c r="T26" s="977" t="s">
        <v>288</v>
      </c>
      <c r="U26" s="859"/>
      <c r="V26" s="860"/>
      <c r="W26" s="860"/>
      <c r="X26" s="861"/>
    </row>
    <row r="27" spans="1:24" ht="13.5" thickBot="1">
      <c r="A27" s="211" t="s">
        <v>799</v>
      </c>
      <c r="B27" s="73"/>
      <c r="C27" s="1034">
        <v>0.57320000000000004</v>
      </c>
      <c r="D27" s="148"/>
      <c r="E27" s="148"/>
      <c r="F27" s="144"/>
      <c r="H27" s="211" t="s">
        <v>109</v>
      </c>
      <c r="I27" s="73"/>
      <c r="J27" s="73"/>
      <c r="K27" s="73"/>
      <c r="L27" s="144"/>
      <c r="N27" s="139" t="s">
        <v>434</v>
      </c>
      <c r="O27" s="8"/>
      <c r="P27" s="8"/>
      <c r="Q27" s="8"/>
      <c r="R27" s="221">
        <f ca="1">AD12</f>
        <v>1405.6568326391778</v>
      </c>
      <c r="S27" s="98"/>
      <c r="T27" s="163" t="s">
        <v>74</v>
      </c>
      <c r="U27" s="23"/>
      <c r="V27" s="23"/>
      <c r="W27" s="862">
        <f ca="1">X27/Debt</f>
        <v>0</v>
      </c>
      <c r="X27" s="850">
        <v>0</v>
      </c>
    </row>
    <row r="28" spans="1:24">
      <c r="A28" s="139"/>
      <c r="B28" s="8"/>
      <c r="C28" s="8"/>
      <c r="D28" s="157">
        <v>1998</v>
      </c>
      <c r="F28" s="140" t="s">
        <v>108</v>
      </c>
      <c r="H28" s="139" t="s">
        <v>619</v>
      </c>
      <c r="I28" s="8"/>
      <c r="J28" s="821" t="s">
        <v>953</v>
      </c>
      <c r="K28" s="8"/>
      <c r="L28" s="150"/>
      <c r="N28" s="139" t="s">
        <v>841</v>
      </c>
      <c r="O28" s="8"/>
      <c r="P28" s="8"/>
      <c r="Q28" s="8"/>
      <c r="R28" s="851">
        <v>3055.55</v>
      </c>
      <c r="S28" s="98"/>
      <c r="T28" s="163" t="s">
        <v>734</v>
      </c>
      <c r="U28" s="23"/>
      <c r="V28" s="23"/>
      <c r="W28" s="863"/>
      <c r="X28" s="867">
        <v>0</v>
      </c>
    </row>
    <row r="29" spans="1:24" ht="13.5" thickBot="1">
      <c r="A29" s="139" t="s">
        <v>800</v>
      </c>
      <c r="B29" s="8"/>
      <c r="C29" s="152" t="s">
        <v>261</v>
      </c>
      <c r="D29" s="1367">
        <f>ROUND($C$27*(0.4606/(0.4606+0.0052)),4)*[4]RAROC!$B$135</f>
        <v>0.56679999999999997</v>
      </c>
      <c r="E29" s="973"/>
      <c r="F29" s="844" t="s">
        <v>817</v>
      </c>
      <c r="H29" s="141" t="s">
        <v>620</v>
      </c>
      <c r="I29" s="76"/>
      <c r="J29" s="839">
        <v>0.37</v>
      </c>
      <c r="K29" s="76"/>
      <c r="L29" s="151"/>
      <c r="N29" s="139" t="s">
        <v>1158</v>
      </c>
      <c r="O29" s="8"/>
      <c r="P29" s="8"/>
      <c r="Q29" s="8"/>
      <c r="R29" s="851">
        <v>0</v>
      </c>
      <c r="S29" s="98"/>
      <c r="T29" s="139" t="s">
        <v>754</v>
      </c>
      <c r="U29" s="868">
        <v>0</v>
      </c>
      <c r="W29" s="82" t="s">
        <v>756</v>
      </c>
      <c r="X29" s="190">
        <f ca="1">IF(U29=0,0,U29-ROUND(((Startops2-Fin_Close)/365),0)+X30/2)*2</f>
        <v>0</v>
      </c>
    </row>
    <row r="30" spans="1:24" ht="13.5" thickBot="1">
      <c r="A30" s="141" t="s">
        <v>815</v>
      </c>
      <c r="B30" s="76"/>
      <c r="C30" s="149" t="s">
        <v>261</v>
      </c>
      <c r="D30" s="1369">
        <f>ROUND($C$27*(0.0052/(0.4606+0.0052)),4)</f>
        <v>6.4000000000000003E-3</v>
      </c>
      <c r="E30" s="76"/>
      <c r="F30" s="169" t="str">
        <f>F29</f>
        <v>Greater Of CPI Or 1.005</v>
      </c>
      <c r="N30" s="139" t="s">
        <v>451</v>
      </c>
      <c r="O30" s="8"/>
      <c r="P30" s="8"/>
      <c r="Q30" s="8"/>
      <c r="R30" s="851">
        <v>1526.85</v>
      </c>
      <c r="S30" s="98"/>
      <c r="T30" s="139" t="s">
        <v>755</v>
      </c>
      <c r="U30" s="636">
        <f ca="1">IF(X30=0,0,X30+ROUND(((Startops2-Fin_Close)/365),2))</f>
        <v>0</v>
      </c>
      <c r="W30" s="82" t="s">
        <v>757</v>
      </c>
      <c r="X30" s="870">
        <v>0</v>
      </c>
    </row>
    <row r="31" spans="1:24" ht="13.5" thickBot="1">
      <c r="B31" s="8"/>
      <c r="C31" s="8"/>
      <c r="H31" s="211" t="s">
        <v>139</v>
      </c>
      <c r="I31" s="73"/>
      <c r="J31" s="73"/>
      <c r="K31" s="73"/>
      <c r="L31" s="144"/>
      <c r="N31" s="139" t="s">
        <v>661</v>
      </c>
      <c r="O31" s="8" t="s">
        <v>93</v>
      </c>
      <c r="P31" s="8"/>
      <c r="Q31" s="8"/>
      <c r="R31" s="852">
        <f>839.522</f>
        <v>839.52200000000005</v>
      </c>
      <c r="S31" s="98"/>
      <c r="T31" s="139" t="s">
        <v>768</v>
      </c>
      <c r="U31" s="23"/>
      <c r="V31" s="23"/>
      <c r="W31" s="348"/>
      <c r="X31" s="637">
        <f>IF(X27=0,0,ROUND(U29/2+(Term_C/12),1))</f>
        <v>0</v>
      </c>
    </row>
    <row r="32" spans="1:24" ht="13.5" thickBot="1">
      <c r="A32" s="211" t="s">
        <v>802</v>
      </c>
      <c r="B32" s="73"/>
      <c r="C32" s="73"/>
      <c r="D32" s="73"/>
      <c r="E32" s="703" t="s">
        <v>801</v>
      </c>
      <c r="F32" s="1363">
        <f>Startops2</f>
        <v>37104</v>
      </c>
      <c r="H32" s="139" t="s">
        <v>279</v>
      </c>
      <c r="I32" s="8"/>
      <c r="J32" s="8"/>
      <c r="K32" s="80"/>
      <c r="L32" s="150"/>
      <c r="N32" s="177" t="s">
        <v>523</v>
      </c>
      <c r="O32" s="23"/>
      <c r="P32" s="23"/>
      <c r="Q32" s="8"/>
      <c r="R32" s="223">
        <f ca="1">SUM(R24:R31)</f>
        <v>15276.507055215907</v>
      </c>
      <c r="S32" s="98"/>
      <c r="T32" s="139" t="s">
        <v>774</v>
      </c>
      <c r="U32" s="23"/>
      <c r="V32" s="869">
        <v>0</v>
      </c>
      <c r="W32" s="869">
        <v>0</v>
      </c>
      <c r="X32" s="864">
        <f>W32+V32</f>
        <v>0</v>
      </c>
    </row>
    <row r="33" spans="1:24">
      <c r="A33" s="139"/>
      <c r="B33" s="8"/>
      <c r="C33" s="132" t="s">
        <v>804</v>
      </c>
      <c r="D33" s="713" t="s">
        <v>119</v>
      </c>
      <c r="E33" s="713"/>
      <c r="F33" s="968"/>
      <c r="H33" s="139" t="s">
        <v>278</v>
      </c>
      <c r="I33" s="8"/>
      <c r="J33" s="8"/>
      <c r="K33" s="80"/>
      <c r="L33" s="150"/>
      <c r="N33" s="177"/>
      <c r="O33" s="23"/>
      <c r="P33" s="23"/>
      <c r="Q33" s="8"/>
      <c r="R33" s="178"/>
      <c r="S33" s="98"/>
      <c r="T33" s="163" t="s">
        <v>434</v>
      </c>
      <c r="U33" s="23"/>
      <c r="V33" s="283"/>
      <c r="W33" s="283"/>
      <c r="X33" s="871">
        <v>0</v>
      </c>
    </row>
    <row r="34" spans="1:24" ht="13.5" thickBot="1">
      <c r="A34" s="139"/>
      <c r="B34" s="943" t="s">
        <v>803</v>
      </c>
      <c r="C34" s="945" t="s">
        <v>644</v>
      </c>
      <c r="D34" s="943" t="s">
        <v>803</v>
      </c>
      <c r="E34" s="945" t="s">
        <v>805</v>
      </c>
      <c r="F34" s="969" t="s">
        <v>816</v>
      </c>
      <c r="H34" s="141" t="s">
        <v>645</v>
      </c>
      <c r="I34" s="76"/>
      <c r="J34" s="839">
        <v>0.02</v>
      </c>
      <c r="K34" s="76"/>
      <c r="L34" s="151"/>
      <c r="N34" s="139" t="s">
        <v>281</v>
      </c>
      <c r="O34" s="831">
        <v>7384.6381167999998</v>
      </c>
      <c r="P34" s="1019" t="s">
        <v>840</v>
      </c>
      <c r="Q34" s="831">
        <v>0</v>
      </c>
      <c r="R34" s="221">
        <f>SUM(O34,Q34)</f>
        <v>7384.6381167999998</v>
      </c>
      <c r="S34" s="98"/>
      <c r="T34" s="163" t="s">
        <v>73</v>
      </c>
      <c r="U34" s="23"/>
      <c r="V34" s="283"/>
      <c r="W34" s="283"/>
      <c r="X34" s="871">
        <v>0</v>
      </c>
    </row>
    <row r="35" spans="1:24" ht="13.5" thickBot="1">
      <c r="A35" s="141"/>
      <c r="B35" s="822">
        <v>102990</v>
      </c>
      <c r="C35" s="946">
        <v>0</v>
      </c>
      <c r="D35" s="947">
        <f>B35*((365-C35)/365)</f>
        <v>102990</v>
      </c>
      <c r="E35" s="842">
        <v>1</v>
      </c>
      <c r="F35" s="1365">
        <f>D35*E35</f>
        <v>102990</v>
      </c>
      <c r="N35" s="139" t="s">
        <v>282</v>
      </c>
      <c r="O35" s="831">
        <v>0</v>
      </c>
      <c r="P35" s="1019" t="s">
        <v>840</v>
      </c>
      <c r="Q35" s="831">
        <v>0</v>
      </c>
      <c r="R35" s="221">
        <f>SUM(O35,Q35)</f>
        <v>0</v>
      </c>
      <c r="S35" s="98"/>
      <c r="T35" s="977" t="s">
        <v>289</v>
      </c>
      <c r="U35" s="859"/>
      <c r="V35" s="860"/>
      <c r="W35" s="860"/>
      <c r="X35" s="861"/>
    </row>
    <row r="36" spans="1:24" ht="13.5" thickBot="1">
      <c r="B36" s="8"/>
      <c r="C36" s="8"/>
      <c r="H36" s="211" t="s">
        <v>123</v>
      </c>
      <c r="I36" s="841">
        <v>0.05</v>
      </c>
      <c r="J36" s="73" t="s">
        <v>264</v>
      </c>
      <c r="K36" s="73"/>
      <c r="L36" s="144"/>
      <c r="N36" s="139" t="s">
        <v>280</v>
      </c>
      <c r="O36" s="390"/>
      <c r="P36" s="8"/>
      <c r="Q36" s="8"/>
      <c r="R36" s="853">
        <f>923+269</f>
        <v>1192</v>
      </c>
      <c r="S36" s="100"/>
      <c r="T36" s="163" t="s">
        <v>74</v>
      </c>
      <c r="U36" s="23"/>
      <c r="V36" s="23"/>
      <c r="W36" s="862">
        <f ca="1">X36/Debt</f>
        <v>0</v>
      </c>
      <c r="X36" s="850">
        <v>0</v>
      </c>
    </row>
    <row r="37" spans="1:24" ht="13.5" thickBot="1">
      <c r="A37" s="212" t="s">
        <v>890</v>
      </c>
      <c r="B37" s="399"/>
      <c r="C37" s="73"/>
      <c r="D37" s="73"/>
      <c r="E37" s="159" t="s">
        <v>531</v>
      </c>
      <c r="F37" s="829" t="s">
        <v>708</v>
      </c>
      <c r="H37" s="341" t="s">
        <v>168</v>
      </c>
      <c r="I37" s="839">
        <v>0.5</v>
      </c>
      <c r="J37" s="76" t="s">
        <v>265</v>
      </c>
      <c r="K37" s="76"/>
      <c r="L37" s="155">
        <f>I37*J64</f>
        <v>20000</v>
      </c>
      <c r="N37" s="177" t="s">
        <v>524</v>
      </c>
      <c r="O37" s="23"/>
      <c r="P37" s="23"/>
      <c r="Q37" s="8"/>
      <c r="R37" s="223">
        <f>SUM(R34:R36)</f>
        <v>8576.6381168000007</v>
      </c>
      <c r="S37" s="102"/>
      <c r="T37" s="163" t="s">
        <v>734</v>
      </c>
      <c r="U37" s="23"/>
      <c r="V37" s="23"/>
      <c r="W37" s="863"/>
      <c r="X37" s="867">
        <v>0</v>
      </c>
    </row>
    <row r="38" spans="1:24" ht="13.5" thickBot="1">
      <c r="A38" s="139"/>
      <c r="B38" s="8"/>
      <c r="C38" s="8"/>
      <c r="D38" s="8"/>
      <c r="E38" s="92"/>
      <c r="F38" s="150"/>
      <c r="N38" s="177"/>
      <c r="O38" s="23"/>
      <c r="P38" s="23"/>
      <c r="Q38" s="8"/>
      <c r="R38" s="178"/>
      <c r="S38" s="98"/>
      <c r="T38" s="139" t="s">
        <v>754</v>
      </c>
      <c r="U38" s="868">
        <v>0</v>
      </c>
      <c r="W38" s="82" t="s">
        <v>756</v>
      </c>
      <c r="X38" s="190">
        <f ca="1">IF(U38=0,0,U38-ROUND(((Startops2-Fin_Close)/365),0)+X39/2)*2</f>
        <v>0</v>
      </c>
    </row>
    <row r="39" spans="1:24" ht="13.5" thickBot="1">
      <c r="A39" s="146" t="s">
        <v>576</v>
      </c>
      <c r="B39" s="8"/>
      <c r="C39" s="8"/>
      <c r="D39" s="8"/>
      <c r="E39" s="157">
        <v>1998</v>
      </c>
      <c r="F39" s="140" t="s">
        <v>108</v>
      </c>
      <c r="H39" s="211" t="s">
        <v>110</v>
      </c>
      <c r="I39" s="73"/>
      <c r="J39" s="160" t="s">
        <v>111</v>
      </c>
      <c r="K39" s="160" t="s">
        <v>112</v>
      </c>
      <c r="L39" s="161" t="s">
        <v>113</v>
      </c>
      <c r="N39" s="139" t="s">
        <v>1026</v>
      </c>
      <c r="O39" s="97" t="s">
        <v>1159</v>
      </c>
      <c r="P39" s="8"/>
      <c r="Q39" s="8"/>
      <c r="R39" s="853">
        <v>0</v>
      </c>
      <c r="S39" s="98"/>
      <c r="T39" s="139" t="s">
        <v>755</v>
      </c>
      <c r="U39" s="636">
        <f ca="1">IF(X39=0,0,X39+ROUND(((Startops2-Fin_Close)/365),2))</f>
        <v>0</v>
      </c>
      <c r="W39" s="82" t="s">
        <v>757</v>
      </c>
      <c r="X39" s="870">
        <v>0</v>
      </c>
    </row>
    <row r="40" spans="1:24">
      <c r="A40" s="139" t="s">
        <v>433</v>
      </c>
      <c r="B40" s="8"/>
      <c r="C40" s="8"/>
      <c r="D40" s="8"/>
      <c r="E40" s="1373">
        <v>236</v>
      </c>
      <c r="F40" s="374" t="str">
        <f t="shared" ref="F40:F48" si="0">CPI</f>
        <v>CPI Annual</v>
      </c>
      <c r="H40" s="139"/>
      <c r="I40" s="8"/>
      <c r="J40" s="43"/>
      <c r="K40" s="43"/>
      <c r="L40" s="162"/>
      <c r="N40" s="177" t="s">
        <v>525</v>
      </c>
      <c r="O40" s="23"/>
      <c r="P40" s="23"/>
      <c r="Q40" s="8"/>
      <c r="R40" s="223">
        <f>SUM(R39:R39)</f>
        <v>0</v>
      </c>
      <c r="S40" s="98"/>
      <c r="T40" s="139" t="s">
        <v>768</v>
      </c>
      <c r="U40" s="23"/>
      <c r="V40" s="23"/>
      <c r="W40" s="348"/>
      <c r="X40" s="637">
        <f>IF(X36=0,0,ROUND(U38/2+(Term_C/12),1))</f>
        <v>0</v>
      </c>
    </row>
    <row r="41" spans="1:24">
      <c r="A41" s="139" t="s">
        <v>677</v>
      </c>
      <c r="B41" s="8"/>
      <c r="C41" s="8"/>
      <c r="D41" s="8"/>
      <c r="E41" s="1373">
        <v>81</v>
      </c>
      <c r="F41" s="374" t="str">
        <f t="shared" si="0"/>
        <v>CPI Annual</v>
      </c>
      <c r="H41" s="139" t="s">
        <v>222</v>
      </c>
      <c r="I41" s="8"/>
      <c r="J41" s="218">
        <f ca="1">Depr!D19</f>
        <v>144209.98709660902</v>
      </c>
      <c r="K41" s="825">
        <v>10</v>
      </c>
      <c r="L41" s="162" t="s">
        <v>115</v>
      </c>
      <c r="N41" s="177"/>
      <c r="O41" s="23"/>
      <c r="P41" s="23"/>
      <c r="Q41" s="8"/>
      <c r="R41" s="178"/>
      <c r="S41" s="98"/>
      <c r="T41" s="139" t="s">
        <v>774</v>
      </c>
      <c r="U41" s="23"/>
      <c r="V41" s="869">
        <v>0</v>
      </c>
      <c r="W41" s="869">
        <v>0</v>
      </c>
      <c r="X41" s="864">
        <f>W41+V41</f>
        <v>0</v>
      </c>
    </row>
    <row r="42" spans="1:24">
      <c r="A42" s="139" t="s">
        <v>678</v>
      </c>
      <c r="B42" s="8"/>
      <c r="C42" s="8"/>
      <c r="D42" s="8"/>
      <c r="E42" s="830">
        <v>375</v>
      </c>
      <c r="F42" s="374" t="str">
        <f t="shared" si="0"/>
        <v>CPI Annual</v>
      </c>
      <c r="H42" s="163" t="s">
        <v>223</v>
      </c>
      <c r="I42" s="23"/>
      <c r="J42" s="219">
        <f ca="1">Depr!F19</f>
        <v>144209.98709660902</v>
      </c>
      <c r="K42" s="825">
        <v>20</v>
      </c>
      <c r="L42" s="164" t="s">
        <v>115</v>
      </c>
      <c r="N42" s="139" t="s">
        <v>1160</v>
      </c>
      <c r="O42" s="1"/>
      <c r="P42" s="1021"/>
      <c r="Q42" s="373"/>
      <c r="R42" s="850">
        <f>5227.097+RAROC!J15</f>
        <v>5227.0969999999998</v>
      </c>
      <c r="S42" s="98"/>
      <c r="T42" s="163" t="s">
        <v>434</v>
      </c>
      <c r="U42" s="23"/>
      <c r="V42" s="283"/>
      <c r="W42" s="283"/>
      <c r="X42" s="871">
        <v>0</v>
      </c>
    </row>
    <row r="43" spans="1:24" ht="13.5" thickBot="1">
      <c r="A43" s="139" t="s">
        <v>582</v>
      </c>
      <c r="B43" s="831">
        <v>900</v>
      </c>
      <c r="C43" s="8" t="s">
        <v>262</v>
      </c>
      <c r="D43" s="8"/>
      <c r="E43" s="830">
        <v>995.19299999999998</v>
      </c>
      <c r="F43" s="374" t="str">
        <f t="shared" si="0"/>
        <v>CPI Annual</v>
      </c>
      <c r="H43" s="141" t="s">
        <v>117</v>
      </c>
      <c r="I43" s="76"/>
      <c r="J43" s="220">
        <f ca="1">Depr!H19</f>
        <v>144209.98709660902</v>
      </c>
      <c r="K43" s="827">
        <v>20</v>
      </c>
      <c r="L43" s="165" t="s">
        <v>115</v>
      </c>
      <c r="N43" s="139" t="s">
        <v>1161</v>
      </c>
      <c r="O43" s="8"/>
      <c r="P43" s="1021"/>
      <c r="Q43" s="373"/>
      <c r="R43" s="853">
        <v>0</v>
      </c>
      <c r="S43" s="100"/>
      <c r="T43" s="163" t="s">
        <v>73</v>
      </c>
      <c r="U43" s="23"/>
      <c r="V43" s="283"/>
      <c r="W43" s="283"/>
      <c r="X43" s="871">
        <v>0</v>
      </c>
    </row>
    <row r="44" spans="1:24" ht="13.5" thickBot="1">
      <c r="A44" s="139" t="s">
        <v>114</v>
      </c>
      <c r="B44" s="831">
        <v>30</v>
      </c>
      <c r="C44" s="8" t="s">
        <v>263</v>
      </c>
      <c r="D44" s="8"/>
      <c r="E44" s="830">
        <v>7.2</v>
      </c>
      <c r="F44" s="374" t="str">
        <f t="shared" si="0"/>
        <v>CPI Annual</v>
      </c>
      <c r="N44" s="177" t="s">
        <v>526</v>
      </c>
      <c r="O44" s="23"/>
      <c r="P44" s="23"/>
      <c r="Q44" s="8"/>
      <c r="R44" s="223">
        <f>SUM(R42:R43)</f>
        <v>5227.0969999999998</v>
      </c>
      <c r="S44" s="102"/>
      <c r="T44" s="977" t="s">
        <v>292</v>
      </c>
      <c r="U44" s="859"/>
      <c r="V44" s="860"/>
      <c r="W44" s="860"/>
      <c r="X44" s="861"/>
    </row>
    <row r="45" spans="1:24" ht="13.5" thickBot="1">
      <c r="A45" s="139" t="s">
        <v>116</v>
      </c>
      <c r="B45" s="8"/>
      <c r="C45" s="8"/>
      <c r="D45" s="8"/>
      <c r="E45" s="830">
        <v>0</v>
      </c>
      <c r="F45" s="374" t="str">
        <f t="shared" si="0"/>
        <v>CPI Annual</v>
      </c>
      <c r="H45" s="211" t="s">
        <v>127</v>
      </c>
      <c r="I45" s="148"/>
      <c r="J45" s="148"/>
      <c r="K45" s="148"/>
      <c r="L45" s="170"/>
      <c r="N45" s="177"/>
      <c r="O45" s="23"/>
      <c r="P45" s="23"/>
      <c r="Q45" s="8"/>
      <c r="R45" s="179"/>
      <c r="S45" s="98"/>
      <c r="T45" s="163" t="s">
        <v>74</v>
      </c>
      <c r="U45" s="23"/>
      <c r="V45" s="23"/>
      <c r="W45" s="862">
        <f ca="1">X45/Debt</f>
        <v>0</v>
      </c>
      <c r="X45" s="850">
        <v>0</v>
      </c>
    </row>
    <row r="46" spans="1:24">
      <c r="A46" s="139" t="s">
        <v>585</v>
      </c>
      <c r="B46" s="8"/>
      <c r="C46" s="8"/>
      <c r="D46" s="8"/>
      <c r="E46" s="830">
        <v>253.96799999999999</v>
      </c>
      <c r="F46" s="374" t="str">
        <f t="shared" si="0"/>
        <v>CPI Annual</v>
      </c>
      <c r="H46" s="139" t="s">
        <v>954</v>
      </c>
      <c r="I46" s="8"/>
      <c r="J46" s="8"/>
      <c r="K46" s="8"/>
      <c r="L46" s="171"/>
      <c r="N46" s="633" t="s">
        <v>527</v>
      </c>
      <c r="O46" s="634"/>
      <c r="P46" s="634"/>
      <c r="Q46" s="634"/>
      <c r="R46" s="635">
        <f ca="1">SUM(R13,R22,R32,R37,R40,R44)</f>
        <v>156184.0925154642</v>
      </c>
      <c r="S46" s="98"/>
      <c r="T46" s="163" t="s">
        <v>734</v>
      </c>
      <c r="U46" s="23"/>
      <c r="V46" s="23"/>
      <c r="W46" s="863"/>
      <c r="X46" s="867">
        <v>0</v>
      </c>
    </row>
    <row r="47" spans="1:24" ht="13.5" thickBot="1">
      <c r="A47" s="139" t="s">
        <v>583</v>
      </c>
      <c r="B47" s="711"/>
      <c r="C47" s="712"/>
      <c r="D47" s="713" t="s">
        <v>119</v>
      </c>
      <c r="E47" s="156">
        <f>Trapped!$AA$44/(Trapped!$AA$9/12)</f>
        <v>118.43119266055045</v>
      </c>
      <c r="F47" s="374" t="str">
        <f t="shared" si="0"/>
        <v>CPI Annual</v>
      </c>
      <c r="H47" s="139" t="s">
        <v>957</v>
      </c>
      <c r="I47" s="8"/>
      <c r="J47" s="363"/>
      <c r="K47" s="363"/>
      <c r="L47" s="1074">
        <v>0</v>
      </c>
      <c r="N47" s="75" t="s">
        <v>528</v>
      </c>
      <c r="O47" s="76"/>
      <c r="P47" s="76"/>
      <c r="Q47" s="76"/>
      <c r="R47" s="225">
        <f ca="1">Cost/Capacity</f>
        <v>1.5164976455526187</v>
      </c>
      <c r="S47" s="98"/>
      <c r="T47" s="139" t="s">
        <v>754</v>
      </c>
      <c r="U47" s="868">
        <v>0</v>
      </c>
      <c r="W47" s="82" t="s">
        <v>756</v>
      </c>
      <c r="X47" s="190">
        <f ca="1">IF(U47=0,0,U47-ROUND(((Startops2-Fin_Close)/365),0)+X48/2)*2</f>
        <v>0</v>
      </c>
    </row>
    <row r="48" spans="1:24" ht="13.5" thickBot="1">
      <c r="A48" s="139" t="s">
        <v>584</v>
      </c>
      <c r="B48" s="8"/>
      <c r="C48" s="8"/>
      <c r="D48" s="8"/>
      <c r="E48" s="1023">
        <v>462.91300000000001</v>
      </c>
      <c r="F48" s="374" t="str">
        <f t="shared" si="0"/>
        <v>CPI Annual</v>
      </c>
      <c r="H48" s="139" t="s">
        <v>958</v>
      </c>
      <c r="I48" s="8"/>
      <c r="J48" s="363"/>
      <c r="K48" s="363"/>
      <c r="L48" s="1074">
        <v>1</v>
      </c>
      <c r="S48" s="100"/>
      <c r="T48" s="139" t="s">
        <v>755</v>
      </c>
      <c r="U48" s="636">
        <f ca="1">IF(X48=0,0,X48+ROUND(((Startops2-Fin_Close)/365),2))</f>
        <v>0</v>
      </c>
      <c r="W48" s="82" t="s">
        <v>757</v>
      </c>
      <c r="X48" s="870">
        <v>0</v>
      </c>
    </row>
    <row r="49" spans="1:24" ht="13.5" thickBot="1">
      <c r="A49" s="141" t="s">
        <v>847</v>
      </c>
      <c r="B49" s="76"/>
      <c r="C49" s="76"/>
      <c r="D49" s="76"/>
      <c r="E49" s="1024">
        <f>SUM(E40:E48)</f>
        <v>2529.7051926605504</v>
      </c>
      <c r="F49" s="375"/>
      <c r="H49" s="139" t="s">
        <v>959</v>
      </c>
      <c r="I49" s="8"/>
      <c r="J49" s="363"/>
      <c r="K49" s="363"/>
      <c r="L49" s="1074">
        <v>1</v>
      </c>
      <c r="N49" s="212" t="s">
        <v>895</v>
      </c>
      <c r="O49" s="698"/>
      <c r="P49" s="73"/>
      <c r="Q49" s="73"/>
      <c r="R49" s="144"/>
      <c r="S49" s="102"/>
      <c r="T49" s="139" t="s">
        <v>768</v>
      </c>
      <c r="U49" s="23"/>
      <c r="V49" s="23"/>
      <c r="W49" s="348"/>
      <c r="X49" s="637">
        <f>IF(X45=0,0,ROUND(U47/2+(Term_C/12),1))</f>
        <v>0</v>
      </c>
    </row>
    <row r="50" spans="1:24" ht="13.5" thickBot="1">
      <c r="H50" s="139"/>
      <c r="I50" s="8"/>
      <c r="J50" s="363"/>
      <c r="K50" s="363"/>
      <c r="L50" s="1075"/>
      <c r="N50" s="385"/>
      <c r="O50" s="363"/>
      <c r="P50" s="34" t="s">
        <v>124</v>
      </c>
      <c r="Q50" s="34" t="s">
        <v>125</v>
      </c>
      <c r="R50" s="140" t="s">
        <v>126</v>
      </c>
      <c r="S50" s="98"/>
      <c r="T50" s="139" t="s">
        <v>774</v>
      </c>
      <c r="U50" s="23"/>
      <c r="V50" s="869">
        <v>0</v>
      </c>
      <c r="W50" s="869">
        <v>0</v>
      </c>
      <c r="X50" s="864">
        <f>W50+V50</f>
        <v>0</v>
      </c>
    </row>
    <row r="51" spans="1:24" ht="13.5" thickBot="1">
      <c r="A51" s="212" t="s">
        <v>891</v>
      </c>
      <c r="B51" s="399"/>
      <c r="C51" s="400" t="s">
        <v>574</v>
      </c>
      <c r="D51" s="73"/>
      <c r="E51" s="73"/>
      <c r="F51" s="144"/>
      <c r="H51" s="139" t="s">
        <v>955</v>
      </c>
      <c r="I51" s="8"/>
      <c r="J51" s="8"/>
      <c r="K51" s="8"/>
      <c r="L51" s="1076">
        <v>0.05</v>
      </c>
      <c r="N51" s="388" t="s">
        <v>529</v>
      </c>
      <c r="O51" s="363"/>
      <c r="P51" s="854">
        <f ca="1">+RAROC!B13</f>
        <v>0.19</v>
      </c>
      <c r="Q51" s="180">
        <f ca="1">Returns!C20</f>
        <v>0.16005484620537791</v>
      </c>
      <c r="R51" s="181">
        <f ca="1">Returns!C19</f>
        <v>-13076.154731264984</v>
      </c>
      <c r="S51" s="98"/>
      <c r="T51" s="163" t="s">
        <v>434</v>
      </c>
      <c r="U51" s="23"/>
      <c r="V51" s="283"/>
      <c r="W51" s="283"/>
      <c r="X51" s="871">
        <v>0</v>
      </c>
    </row>
    <row r="52" spans="1:24" ht="13.5" thickBot="1">
      <c r="A52" s="139"/>
      <c r="B52" s="8"/>
      <c r="C52" s="19" t="s">
        <v>577</v>
      </c>
      <c r="D52" s="8"/>
      <c r="E52" s="8"/>
      <c r="F52" s="150"/>
      <c r="H52" s="141" t="s">
        <v>956</v>
      </c>
      <c r="I52" s="76"/>
      <c r="J52" s="76"/>
      <c r="K52" s="76"/>
      <c r="L52" s="1073">
        <v>0.06</v>
      </c>
      <c r="N52" s="385"/>
      <c r="O52" s="363"/>
      <c r="P52" s="152"/>
      <c r="Q52" s="838">
        <v>0.15</v>
      </c>
      <c r="R52" s="182" t="s">
        <v>129</v>
      </c>
      <c r="S52" s="98"/>
      <c r="T52" s="163" t="s">
        <v>73</v>
      </c>
      <c r="U52" s="23"/>
      <c r="V52" s="283"/>
      <c r="W52" s="283"/>
      <c r="X52" s="871">
        <v>0</v>
      </c>
    </row>
    <row r="53" spans="1:24" ht="13.5" thickBot="1">
      <c r="A53" s="139"/>
      <c r="B53" s="8"/>
      <c r="C53" s="8"/>
      <c r="D53" s="8"/>
      <c r="E53" s="8"/>
      <c r="F53" s="150"/>
      <c r="H53" s="8"/>
      <c r="I53" s="8"/>
      <c r="J53" s="8"/>
      <c r="K53" s="8"/>
      <c r="L53" s="1098"/>
      <c r="N53" s="385"/>
      <c r="O53" s="363"/>
      <c r="P53" s="8"/>
      <c r="Q53" s="8"/>
      <c r="R53" s="150"/>
      <c r="S53" s="98"/>
      <c r="T53" s="977" t="s">
        <v>1128</v>
      </c>
      <c r="U53" s="859"/>
      <c r="V53" s="860"/>
      <c r="W53" s="860"/>
      <c r="X53" s="861"/>
    </row>
    <row r="54" spans="1:24" ht="13.5" thickBot="1">
      <c r="A54" s="139" t="s">
        <v>944</v>
      </c>
      <c r="B54" s="1070">
        <v>0</v>
      </c>
      <c r="D54" s="8" t="s">
        <v>578</v>
      </c>
      <c r="E54" s="8"/>
      <c r="F54" s="834">
        <v>2004</v>
      </c>
      <c r="H54" s="211" t="s">
        <v>984</v>
      </c>
      <c r="I54" s="486"/>
      <c r="J54" s="1099"/>
      <c r="K54" s="73"/>
      <c r="L54" s="1100"/>
      <c r="N54" s="385" t="str">
        <f>H61</f>
        <v>Enron</v>
      </c>
      <c r="O54" s="363"/>
      <c r="P54" s="21">
        <f ca="1">Disc</f>
        <v>0.19</v>
      </c>
      <c r="Q54" s="21">
        <f ca="1">Returns!C60</f>
        <v>0.15550470415492412</v>
      </c>
      <c r="R54" s="183">
        <f ca="1">Returns!C59</f>
        <v>-4395.8914403922072</v>
      </c>
      <c r="S54" s="106"/>
      <c r="T54" s="163" t="s">
        <v>74</v>
      </c>
      <c r="U54" s="23"/>
      <c r="V54" s="23"/>
      <c r="W54" s="862">
        <f ca="1">X54/Debt</f>
        <v>2.6396595585225412E-2</v>
      </c>
      <c r="X54" s="221">
        <f ca="1">X69</f>
        <v>2473.6369961856835</v>
      </c>
    </row>
    <row r="55" spans="1:24" ht="13.5" thickBot="1">
      <c r="A55" s="141"/>
      <c r="B55" s="76"/>
      <c r="C55" s="76"/>
      <c r="D55" s="76" t="s">
        <v>575</v>
      </c>
      <c r="E55" s="76"/>
      <c r="F55" s="835">
        <v>5000</v>
      </c>
      <c r="H55" s="865" t="s">
        <v>985</v>
      </c>
      <c r="I55" s="248"/>
      <c r="J55" s="248"/>
      <c r="K55" s="248"/>
      <c r="L55" s="1105">
        <f ca="1">'[2]Monthly Curve Calc.'!$F$12</f>
        <v>0</v>
      </c>
      <c r="N55" s="385" t="str">
        <f>H62</f>
        <v>Shell</v>
      </c>
      <c r="O55" s="363"/>
      <c r="P55" s="21">
        <f ca="1">Disc</f>
        <v>0.19</v>
      </c>
      <c r="Q55" s="21">
        <f ca="1">Returns!C95</f>
        <v>0.15003037038556744</v>
      </c>
      <c r="R55" s="183">
        <f ca="1">Returns!C94</f>
        <v>-5092.7333420920522</v>
      </c>
      <c r="S55" s="107"/>
      <c r="T55" s="163" t="s">
        <v>734</v>
      </c>
      <c r="U55" s="23"/>
      <c r="V55" s="23"/>
      <c r="W55" s="863"/>
      <c r="X55" s="867">
        <v>2</v>
      </c>
    </row>
    <row r="56" spans="1:24" ht="13.5" thickBot="1">
      <c r="N56" s="385" t="str">
        <f>H63</f>
        <v>Transredes</v>
      </c>
      <c r="O56" s="363"/>
      <c r="P56" s="21">
        <f ca="1">Disc</f>
        <v>0.19</v>
      </c>
      <c r="Q56" s="21">
        <f ca="1">Returns!C113</f>
        <v>0.1540338794393524</v>
      </c>
      <c r="R56" s="184">
        <f ca="1">Returns!C112</f>
        <v>-6093.0283670802546</v>
      </c>
      <c r="S56" s="102"/>
      <c r="T56" s="139" t="s">
        <v>754</v>
      </c>
      <c r="U56" s="868">
        <v>12</v>
      </c>
      <c r="W56" s="82" t="s">
        <v>756</v>
      </c>
      <c r="X56" s="190">
        <f ca="1">IF(U56=0,0,U56-ROUND(((Startops2-Fin_Close)/365),0)+X57/2)*2</f>
        <v>23</v>
      </c>
    </row>
    <row r="57" spans="1:24" ht="13.5" thickBot="1">
      <c r="A57" s="211" t="str">
        <f>PROPER("Fuel CONVERSION")</f>
        <v>Fuel Conversion</v>
      </c>
      <c r="B57" s="73"/>
      <c r="C57" s="73"/>
      <c r="D57" s="73"/>
      <c r="E57" s="73"/>
      <c r="F57" s="144"/>
      <c r="H57" s="211" t="s">
        <v>40</v>
      </c>
      <c r="I57" s="211"/>
      <c r="J57" s="1241"/>
      <c r="K57" s="73"/>
      <c r="L57" s="144"/>
      <c r="N57" s="385" t="s">
        <v>135</v>
      </c>
      <c r="O57" s="363"/>
      <c r="P57" s="363"/>
      <c r="Q57" s="363"/>
      <c r="R57" s="183">
        <f ca="1">SUM(R54:R56)</f>
        <v>-15581.653149564514</v>
      </c>
      <c r="S57" s="98"/>
      <c r="T57" s="139" t="s">
        <v>755</v>
      </c>
      <c r="U57" s="636">
        <f ca="1">IF(X57=0,0,X57+ROUND(((Startops2-Fin_Close)/365),2))</f>
        <v>1.92</v>
      </c>
      <c r="W57" s="82" t="s">
        <v>757</v>
      </c>
      <c r="X57" s="870">
        <v>1</v>
      </c>
    </row>
    <row r="58" spans="1:24">
      <c r="A58" s="139"/>
      <c r="B58" s="8"/>
      <c r="C58" s="8"/>
      <c r="D58" s="59" t="s">
        <v>74</v>
      </c>
      <c r="E58" s="59" t="s">
        <v>271</v>
      </c>
      <c r="F58" s="150"/>
      <c r="H58" s="163" t="s">
        <v>44</v>
      </c>
      <c r="I58" s="24"/>
      <c r="J58" s="1243">
        <v>36678</v>
      </c>
      <c r="K58" s="8"/>
      <c r="L58" s="150"/>
      <c r="N58" s="385"/>
      <c r="O58" s="363"/>
      <c r="P58" s="363"/>
      <c r="Q58" s="363"/>
      <c r="R58" s="183"/>
      <c r="S58" s="98"/>
      <c r="T58" s="139" t="s">
        <v>768</v>
      </c>
      <c r="U58" s="23"/>
      <c r="V58" s="23"/>
      <c r="W58" s="348"/>
      <c r="X58" s="637">
        <f ca="1">IF(X54=0,0,ROUND(U56/2+(Term_C/12),1))</f>
        <v>8.9</v>
      </c>
    </row>
    <row r="59" spans="1:24">
      <c r="A59" s="139" t="s">
        <v>269</v>
      </c>
      <c r="B59" s="8"/>
      <c r="C59" s="152" t="s">
        <v>879</v>
      </c>
      <c r="D59" s="832">
        <v>9.1999999999999993</v>
      </c>
      <c r="E59" s="43" t="s">
        <v>268</v>
      </c>
      <c r="F59" s="150"/>
      <c r="H59" s="163" t="s">
        <v>45</v>
      </c>
      <c r="I59" s="24"/>
      <c r="J59" s="1244">
        <f>SUMIF(IDC!E7:AN7,"&gt;dilute_date",IDC!E60:AN60)*0+40000</f>
        <v>40000</v>
      </c>
      <c r="K59" s="8"/>
      <c r="L59" s="150"/>
      <c r="N59" s="385" t="s">
        <v>284</v>
      </c>
      <c r="O59" s="363"/>
      <c r="P59" s="363"/>
      <c r="Q59" s="389" t="s">
        <v>182</v>
      </c>
      <c r="R59" s="183">
        <f ca="1">-(Returns!AB26+Returns!AB82+Returns!AB100)</f>
        <v>1891.1511424366361</v>
      </c>
      <c r="S59" s="98"/>
      <c r="T59" s="139" t="s">
        <v>774</v>
      </c>
      <c r="U59" s="23"/>
      <c r="V59" s="23"/>
      <c r="W59" s="23"/>
      <c r="X59" s="871">
        <v>0.13</v>
      </c>
    </row>
    <row r="60" spans="1:24">
      <c r="A60" s="139"/>
      <c r="B60" s="8"/>
      <c r="C60" s="152" t="s">
        <v>140</v>
      </c>
      <c r="D60" s="833">
        <v>3.9683000000000002</v>
      </c>
      <c r="E60" s="43" t="s">
        <v>878</v>
      </c>
      <c r="F60" s="150"/>
      <c r="H60" s="177"/>
      <c r="I60" s="24"/>
      <c r="J60" s="34" t="s">
        <v>893</v>
      </c>
      <c r="K60" s="34" t="s">
        <v>277</v>
      </c>
      <c r="L60" s="140" t="s">
        <v>276</v>
      </c>
      <c r="N60" s="385" t="s">
        <v>286</v>
      </c>
      <c r="O60" s="363"/>
      <c r="P60" s="363"/>
      <c r="Q60" s="389" t="s">
        <v>182</v>
      </c>
      <c r="R60" s="183">
        <f ca="1">-Returns!AB29-Returns!AB85-Returns!AB103</f>
        <v>3188.0506877331527</v>
      </c>
      <c r="S60" s="108"/>
      <c r="T60" s="163" t="s">
        <v>434</v>
      </c>
      <c r="U60" s="23"/>
      <c r="V60" s="283"/>
      <c r="W60" s="283"/>
      <c r="X60" s="871">
        <v>0</v>
      </c>
    </row>
    <row r="61" spans="1:24" ht="13.5" thickBot="1">
      <c r="A61" s="141"/>
      <c r="B61" s="76"/>
      <c r="C61" s="149" t="s">
        <v>880</v>
      </c>
      <c r="D61" s="653">
        <f>D59*D60</f>
        <v>36.508359999999996</v>
      </c>
      <c r="E61" s="153" t="s">
        <v>141</v>
      </c>
      <c r="F61" s="151"/>
      <c r="H61" s="139" t="s">
        <v>120</v>
      </c>
      <c r="I61" s="8"/>
      <c r="J61" s="215">
        <f>K61*Dilute_Date</f>
        <v>11999.999999999998</v>
      </c>
      <c r="K61" s="166">
        <f>1-K62-K63</f>
        <v>0.29999999999999993</v>
      </c>
      <c r="L61" s="167">
        <f>1-L62-L63</f>
        <v>0.29999999999999993</v>
      </c>
      <c r="N61" s="385" t="s">
        <v>136</v>
      </c>
      <c r="O61" s="363"/>
      <c r="P61" s="363"/>
      <c r="Q61" s="389" t="s">
        <v>182</v>
      </c>
      <c r="R61" s="183">
        <f ca="1">-Returns!AB30</f>
        <v>834.75392856803001</v>
      </c>
      <c r="S61" s="102"/>
      <c r="T61" s="865" t="s">
        <v>73</v>
      </c>
      <c r="U61" s="248"/>
      <c r="V61" s="866"/>
      <c r="W61" s="866"/>
      <c r="X61" s="872">
        <v>0</v>
      </c>
    </row>
    <row r="62" spans="1:24" ht="13.5" thickBot="1">
      <c r="H62" s="139" t="s">
        <v>121</v>
      </c>
      <c r="I62" s="8"/>
      <c r="J62" s="215">
        <f>K62*Dilute_Date</f>
        <v>12000</v>
      </c>
      <c r="K62" s="843">
        <f>+RAROC!F13</f>
        <v>0.3</v>
      </c>
      <c r="L62" s="844">
        <f>+RAROC!F13</f>
        <v>0.3</v>
      </c>
      <c r="N62" s="385" t="s">
        <v>142</v>
      </c>
      <c r="O62" s="363"/>
      <c r="P62" s="363"/>
      <c r="Q62" s="389" t="s">
        <v>182</v>
      </c>
      <c r="R62" s="183">
        <f ca="1">-Returns!AB31</f>
        <v>-5320.8199516721297</v>
      </c>
      <c r="S62" s="102"/>
    </row>
    <row r="63" spans="1:24" ht="13.5" thickBot="1">
      <c r="A63" s="212" t="s">
        <v>892</v>
      </c>
      <c r="B63" s="399"/>
      <c r="C63" s="73"/>
      <c r="D63" s="73"/>
      <c r="E63" s="154" t="s">
        <v>944</v>
      </c>
      <c r="F63" s="1069">
        <v>1</v>
      </c>
      <c r="H63" s="139" t="s">
        <v>122</v>
      </c>
      <c r="I63" s="8"/>
      <c r="J63" s="216">
        <f>K63*Dilute_Date</f>
        <v>16000</v>
      </c>
      <c r="K63" s="845">
        <f>+RAROC!F14</f>
        <v>0.4</v>
      </c>
      <c r="L63" s="846">
        <f>+RAROC!F14</f>
        <v>0.4</v>
      </c>
      <c r="N63" s="385" t="s">
        <v>285</v>
      </c>
      <c r="O63" s="363"/>
      <c r="P63" s="363"/>
      <c r="Q63" s="389" t="s">
        <v>182</v>
      </c>
      <c r="R63" s="183">
        <f ca="1">-Returns!AB32</f>
        <v>665.10249395901621</v>
      </c>
      <c r="T63" s="211" t="s">
        <v>971</v>
      </c>
      <c r="U63" s="73" t="s">
        <v>975</v>
      </c>
      <c r="V63" s="73"/>
      <c r="W63" s="73"/>
      <c r="X63" s="1081">
        <v>100</v>
      </c>
    </row>
    <row r="64" spans="1:24" ht="13.5" thickBot="1">
      <c r="A64" s="139"/>
      <c r="B64" s="157">
        <f>YEAR(Startops1)</f>
        <v>2001</v>
      </c>
      <c r="C64" s="157">
        <f>B64+1</f>
        <v>2002</v>
      </c>
      <c r="D64" s="157">
        <f>C64+3</f>
        <v>2005</v>
      </c>
      <c r="E64" s="157">
        <f>D64+1</f>
        <v>2006</v>
      </c>
      <c r="F64" s="1033">
        <f>B64+6</f>
        <v>2007</v>
      </c>
      <c r="G64" s="1032">
        <v>1</v>
      </c>
      <c r="H64" s="141" t="s">
        <v>83</v>
      </c>
      <c r="I64" s="76"/>
      <c r="J64" s="217">
        <f>SUM(J61:J63)</f>
        <v>40000</v>
      </c>
      <c r="K64" s="168">
        <f>SUM(K61:K63)</f>
        <v>0.99999999999999989</v>
      </c>
      <c r="L64" s="169">
        <f>SUM(L61:L63)</f>
        <v>0.99999999999999989</v>
      </c>
      <c r="N64" s="385" t="s">
        <v>999</v>
      </c>
      <c r="O64" s="363"/>
      <c r="P64" s="363"/>
      <c r="Q64" s="389" t="s">
        <v>182</v>
      </c>
      <c r="R64" s="183">
        <f ca="1">-Returns!AB33</f>
        <v>67.722640901889875</v>
      </c>
      <c r="T64" s="139"/>
      <c r="U64" s="8" t="s">
        <v>972</v>
      </c>
      <c r="V64" s="8"/>
      <c r="W64" s="1082">
        <v>0.3</v>
      </c>
      <c r="X64" s="183">
        <f>W64*X63</f>
        <v>30</v>
      </c>
    </row>
    <row r="65" spans="1:28" ht="13.5" thickBot="1">
      <c r="A65" s="141"/>
      <c r="B65" s="1031">
        <v>1000</v>
      </c>
      <c r="C65" s="1031">
        <v>2000</v>
      </c>
      <c r="D65" s="1031">
        <v>3000</v>
      </c>
      <c r="E65" s="1031">
        <f>1000*0</f>
        <v>0</v>
      </c>
      <c r="F65" s="835">
        <v>0</v>
      </c>
      <c r="G65" s="1032">
        <f>G64+1</f>
        <v>2</v>
      </c>
      <c r="N65" s="385" t="s">
        <v>1000</v>
      </c>
      <c r="O65" s="363"/>
      <c r="P65" s="363"/>
      <c r="Q65" s="389" t="s">
        <v>182</v>
      </c>
      <c r="R65" s="183">
        <f ca="1">-Returns!AB34</f>
        <v>273.05204052534481</v>
      </c>
      <c r="T65" s="141"/>
      <c r="U65" s="76" t="s">
        <v>973</v>
      </c>
      <c r="V65" s="76"/>
      <c r="W65" s="1084">
        <f ca="1">YEAR(Fin_Close)+U11</f>
        <v>2015</v>
      </c>
      <c r="X65" s="1083"/>
    </row>
    <row r="66" spans="1:28" ht="13.5" thickBot="1">
      <c r="H66" s="211" t="s">
        <v>41</v>
      </c>
      <c r="I66" s="211"/>
      <c r="J66" s="1241"/>
      <c r="K66" s="703" t="s">
        <v>43</v>
      </c>
      <c r="L66" s="1068">
        <v>1</v>
      </c>
      <c r="N66" s="385" t="s">
        <v>143</v>
      </c>
      <c r="O66" s="363"/>
      <c r="P66" s="363"/>
      <c r="Q66" s="389" t="s">
        <v>182</v>
      </c>
      <c r="R66" s="183">
        <f ca="1">-(Returns!AB35+Returns!AB86+Returns!AB104)</f>
        <v>0</v>
      </c>
    </row>
    <row r="67" spans="1:28" ht="13.5" thickBot="1">
      <c r="H67" s="177"/>
      <c r="I67" s="24"/>
      <c r="J67" s="8"/>
      <c r="K67" s="713"/>
      <c r="L67" s="1242"/>
      <c r="N67" s="385" t="s">
        <v>586</v>
      </c>
      <c r="O67" s="363"/>
      <c r="P67" s="363"/>
      <c r="Q67" s="389" t="s">
        <v>182</v>
      </c>
      <c r="R67" s="183">
        <f ca="1">-Returns!AB36-Returns!AB87-Returns!AB105</f>
        <v>-1106.7980249351556</v>
      </c>
      <c r="T67" s="211" t="s">
        <v>897</v>
      </c>
      <c r="U67" s="73"/>
      <c r="V67" s="73"/>
      <c r="W67" s="73"/>
      <c r="X67" s="144"/>
    </row>
    <row r="68" spans="1:28">
      <c r="H68" s="177"/>
      <c r="I68" s="24"/>
      <c r="J68" s="34" t="s">
        <v>893</v>
      </c>
      <c r="K68" s="34" t="s">
        <v>277</v>
      </c>
      <c r="L68" s="140" t="s">
        <v>276</v>
      </c>
      <c r="N68" s="385" t="s">
        <v>453</v>
      </c>
      <c r="O68" s="363"/>
      <c r="P68" s="363"/>
      <c r="Q68" s="363"/>
      <c r="R68" s="183">
        <f ca="1">-Returns!AB37-Returns!AB88-Returns!AB106</f>
        <v>517.60638842034507</v>
      </c>
      <c r="T68" s="198" t="s">
        <v>275</v>
      </c>
      <c r="U68" s="8"/>
      <c r="V68" s="8"/>
      <c r="W68" s="192">
        <f ca="1">1-Equity_Perc-Subdebt_Perc</f>
        <v>0.6</v>
      </c>
      <c r="X68" s="183">
        <f ca="1">Cost*Debt_Perc</f>
        <v>93710.455509278516</v>
      </c>
      <c r="Z68" s="5">
        <f ca="1">0.3*Cost</f>
        <v>46855.227754639258</v>
      </c>
      <c r="AB68" s="5">
        <f ca="1">0.6*Debt</f>
        <v>56226.273305567105</v>
      </c>
    </row>
    <row r="69" spans="1:28">
      <c r="C69" s="5">
        <f>SUMIF(IDC!E7:AN7,"&lt;J58",IDC!E60:AN60)</f>
        <v>0</v>
      </c>
      <c r="G69" s="5" t="s">
        <v>93</v>
      </c>
      <c r="H69" s="139" t="s">
        <v>120</v>
      </c>
      <c r="I69" s="8"/>
      <c r="J69" s="215">
        <f ca="1">K69*Equity</f>
        <v>18000.000002999997</v>
      </c>
      <c r="K69" s="166">
        <f>1-K70-K71</f>
        <v>0.29999999999999993</v>
      </c>
      <c r="L69" s="167">
        <f>1-L70-L71</f>
        <v>0.29999999999999993</v>
      </c>
      <c r="N69" s="385" t="s">
        <v>137</v>
      </c>
      <c r="O69" s="363"/>
      <c r="P69" s="363"/>
      <c r="Q69" s="363"/>
      <c r="R69" s="183">
        <f ca="1">-Returns!AB48</f>
        <v>16655.76818440243</v>
      </c>
      <c r="T69" s="139" t="s">
        <v>1125</v>
      </c>
      <c r="U69" s="8"/>
      <c r="V69" s="8"/>
      <c r="W69" s="1190">
        <f ca="1">0.4-Equity_Perc</f>
        <v>1.5837957351135246E-2</v>
      </c>
      <c r="X69" s="183">
        <f ca="1">Cost*Subdebt_Perc</f>
        <v>2473.6369961856835</v>
      </c>
      <c r="Z69" s="5">
        <f ca="1">Equity</f>
        <v>60000.000010000003</v>
      </c>
    </row>
    <row r="70" spans="1:28">
      <c r="H70" s="139" t="s">
        <v>121</v>
      </c>
      <c r="I70" s="8"/>
      <c r="J70" s="215">
        <f ca="1">K70*Equity</f>
        <v>18000.000003000001</v>
      </c>
      <c r="K70" s="843">
        <v>0.3</v>
      </c>
      <c r="L70" s="844">
        <v>0.3</v>
      </c>
      <c r="M70" s="8"/>
      <c r="N70" s="385" t="s">
        <v>138</v>
      </c>
      <c r="O70" s="363"/>
      <c r="P70" s="363"/>
      <c r="Q70" s="363"/>
      <c r="R70" s="183">
        <f ca="1">-Returns!AB49</f>
        <v>-14856.875313859577</v>
      </c>
      <c r="T70" s="139" t="s">
        <v>290</v>
      </c>
      <c r="U70" s="8"/>
      <c r="V70" s="8"/>
      <c r="W70" s="1312">
        <f ca="1">IDC!$AO$60/Cost</f>
        <v>0.38416204264886478</v>
      </c>
      <c r="X70" s="184">
        <f ca="1">Cost*Equity_Perc</f>
        <v>60000.000010000003</v>
      </c>
      <c r="Y70" s="5" t="s">
        <v>1027</v>
      </c>
      <c r="Z70" s="5">
        <f ca="1">Z68-Z69</f>
        <v>-13144.772255360745</v>
      </c>
    </row>
    <row r="71" spans="1:28">
      <c r="H71" s="139" t="s">
        <v>122</v>
      </c>
      <c r="I71" s="8"/>
      <c r="J71" s="216">
        <f ca="1">K71*Equity</f>
        <v>24000.000004000001</v>
      </c>
      <c r="K71" s="845">
        <v>0.4</v>
      </c>
      <c r="L71" s="846">
        <v>0.4</v>
      </c>
      <c r="N71" s="385" t="s">
        <v>520</v>
      </c>
      <c r="O71" s="363"/>
      <c r="P71" s="363"/>
      <c r="Q71" s="389" t="s">
        <v>354</v>
      </c>
      <c r="R71" s="183">
        <f ca="1">-Returns!AB50</f>
        <v>-708.02929492817168</v>
      </c>
      <c r="T71" s="199" t="s">
        <v>291</v>
      </c>
      <c r="U71" s="193"/>
      <c r="V71" s="193"/>
      <c r="W71" s="194">
        <f ca="1">SUM(W68:W70)</f>
        <v>1</v>
      </c>
      <c r="X71" s="224">
        <f ca="1">SUM(X68:X70)</f>
        <v>156184.0925154642</v>
      </c>
    </row>
    <row r="72" spans="1:28" ht="13.5" thickBot="1">
      <c r="H72" s="141" t="s">
        <v>83</v>
      </c>
      <c r="I72" s="76"/>
      <c r="J72" s="217">
        <f ca="1">SUM(J69:J71)</f>
        <v>60000.000010000003</v>
      </c>
      <c r="K72" s="168">
        <f>SUM(K69:K71)</f>
        <v>0.99999999999999989</v>
      </c>
      <c r="L72" s="169">
        <f>SUM(L69:L71)</f>
        <v>0.99999999999999989</v>
      </c>
      <c r="N72" s="385" t="s">
        <v>588</v>
      </c>
      <c r="O72" s="363"/>
      <c r="P72" s="363"/>
      <c r="Q72" s="389" t="s">
        <v>354</v>
      </c>
      <c r="R72" s="183">
        <f ca="1">-Returns!AB52</f>
        <v>138.23071531539804</v>
      </c>
      <c r="T72" s="139" t="s">
        <v>295</v>
      </c>
      <c r="U72" s="8"/>
      <c r="V72" s="8"/>
      <c r="W72" s="8"/>
      <c r="X72" s="200">
        <f ca="1">MAX(X11,X20,X29,X38,X47,X56)</f>
        <v>29</v>
      </c>
    </row>
    <row r="73" spans="1:28" ht="13.5" thickBot="1">
      <c r="N73" s="385" t="s">
        <v>521</v>
      </c>
      <c r="O73" s="363"/>
      <c r="P73" s="363"/>
      <c r="Q73" s="363"/>
      <c r="R73" s="184">
        <f ca="1">-Returns!AB53</f>
        <v>178.07911956629829</v>
      </c>
      <c r="T73" s="201" t="s">
        <v>293</v>
      </c>
      <c r="U73" s="196"/>
      <c r="V73" s="197">
        <f ca="1">IF(Debt=0,0,(($X$27*V32)+($X$18*V23)+($X$9*V14)+($X$36*V41)+($X$45*V50)+($X$54*V59))/(Debt))</f>
        <v>6.3125000000000001E-2</v>
      </c>
      <c r="W73" s="197">
        <f ca="1">IF(Debt=0,0,(($X$27*W32)+($X$18*W23)+($X$9*W14)+($X$36*W41)+($X$45*W50)+($X$54*W59))/(Debt))</f>
        <v>4.7E-2</v>
      </c>
      <c r="X73" s="202">
        <f ca="1">V73+W73</f>
        <v>0.110125</v>
      </c>
    </row>
    <row r="74" spans="1:28" ht="13.5" thickBot="1">
      <c r="H74" s="211" t="s">
        <v>649</v>
      </c>
      <c r="I74" s="160" t="s">
        <v>120</v>
      </c>
      <c r="J74" s="160" t="s">
        <v>121</v>
      </c>
      <c r="K74" s="160" t="s">
        <v>122</v>
      </c>
      <c r="L74" s="161" t="s">
        <v>192</v>
      </c>
      <c r="N74" s="385" t="s">
        <v>144</v>
      </c>
      <c r="O74" s="363"/>
      <c r="P74" s="363"/>
      <c r="Q74" s="363"/>
      <c r="R74" s="183">
        <f ca="1">SUM(R59:R73)</f>
        <v>2416.9947564335071</v>
      </c>
      <c r="T74" s="139" t="s">
        <v>775</v>
      </c>
      <c r="U74" s="8"/>
      <c r="V74" s="8"/>
      <c r="W74" s="8"/>
      <c r="X74" s="204">
        <f ca="1">IF(Debt=0,0,((X$9*X15)+(X$18*X24)+(X$27*X$33)+(X$36*X42)+(X$45*X51)+(X$54*X60))/(Debt))</f>
        <v>1.4999999999999999E-2</v>
      </c>
    </row>
    <row r="75" spans="1:28" ht="13.5" thickBot="1">
      <c r="H75" s="139" t="s">
        <v>282</v>
      </c>
      <c r="I75" s="847">
        <f>+RAROC!F12</f>
        <v>0.3</v>
      </c>
      <c r="J75" s="847">
        <f>+RAROC!F13</f>
        <v>0.3</v>
      </c>
      <c r="K75" s="847">
        <f>+RAROC!F14</f>
        <v>0.4</v>
      </c>
      <c r="L75" s="374">
        <f>SUM(I75:K75)</f>
        <v>1</v>
      </c>
      <c r="N75" s="385"/>
      <c r="O75" s="363"/>
      <c r="P75" s="363"/>
      <c r="Q75" s="363"/>
      <c r="R75" s="183"/>
      <c r="T75" s="141" t="s">
        <v>294</v>
      </c>
      <c r="U75" s="76"/>
      <c r="V75" s="76"/>
      <c r="W75" s="76"/>
      <c r="X75" s="203">
        <f ca="1">IF(Debt=0,0,((X$9*X16)+(X$18*X25)+(X$27*X$33)+(X$36*X43)+(X$45*X52)+(X$54*X61))/(Debt))</f>
        <v>5.0000000000000001E-3</v>
      </c>
    </row>
    <row r="76" spans="1:28" ht="13.5" thickBot="1">
      <c r="H76" s="141" t="s">
        <v>585</v>
      </c>
      <c r="I76" s="848">
        <v>0</v>
      </c>
      <c r="J76" s="848">
        <v>0</v>
      </c>
      <c r="K76" s="848">
        <v>1</v>
      </c>
      <c r="L76" s="375">
        <f>SUM(I76:K76)</f>
        <v>1</v>
      </c>
      <c r="N76" s="385" t="s">
        <v>287</v>
      </c>
      <c r="O76" s="363"/>
      <c r="P76" s="363"/>
      <c r="Q76" s="363"/>
      <c r="R76" s="184">
        <f ca="1">R57+R74</f>
        <v>-13164.658393131007</v>
      </c>
    </row>
    <row r="77" spans="1:28" ht="13.5" thickBot="1">
      <c r="N77" s="386" t="s">
        <v>589</v>
      </c>
      <c r="O77" s="387"/>
      <c r="P77" s="387"/>
      <c r="Q77" s="387"/>
      <c r="R77" s="185">
        <f ca="1">R76-R51</f>
        <v>-88.503661866023322</v>
      </c>
      <c r="T77" s="211" t="s">
        <v>132</v>
      </c>
      <c r="U77" s="160" t="s">
        <v>133</v>
      </c>
      <c r="V77" s="160" t="s">
        <v>134</v>
      </c>
      <c r="W77" s="160" t="s">
        <v>274</v>
      </c>
      <c r="X77" s="173"/>
    </row>
    <row r="78" spans="1:28" ht="13.5" thickBot="1">
      <c r="H78" s="211" t="s">
        <v>501</v>
      </c>
      <c r="I78" s="73"/>
      <c r="J78" s="73"/>
      <c r="K78" s="73"/>
      <c r="L78" s="142"/>
      <c r="T78" s="359" t="s">
        <v>448</v>
      </c>
      <c r="U78" s="103">
        <f ca="1">MIN(PLRisk!G59:Z59)</f>
        <v>1.0869812210855803</v>
      </c>
      <c r="V78" s="103">
        <f ca="1">MIN(PLRisk!G65:Z65)</f>
        <v>1.0869812210855803</v>
      </c>
      <c r="W78" s="855">
        <v>1.4</v>
      </c>
      <c r="X78" s="174" t="s">
        <v>275</v>
      </c>
    </row>
    <row r="79" spans="1:28" ht="13.5" thickBot="1">
      <c r="H79" s="141" t="s">
        <v>503</v>
      </c>
      <c r="I79" s="76"/>
      <c r="J79" s="147" t="s">
        <v>502</v>
      </c>
      <c r="K79" s="76"/>
      <c r="L79" s="849">
        <v>0.01</v>
      </c>
      <c r="N79" s="212" t="s">
        <v>896</v>
      </c>
      <c r="O79" s="399"/>
      <c r="P79" s="73"/>
      <c r="Q79" s="73"/>
      <c r="R79" s="144"/>
      <c r="T79" s="360" t="s">
        <v>119</v>
      </c>
      <c r="U79" s="175">
        <f ca="1">AVERAGE(PLRisk!G59:Z59)</f>
        <v>2.1839852057774869</v>
      </c>
      <c r="V79" s="175">
        <f ca="1">AVERAGE(PLRisk!G65:Z65)</f>
        <v>1.957035809515151</v>
      </c>
      <c r="W79" s="856">
        <v>1.8</v>
      </c>
      <c r="X79" s="176" t="s">
        <v>275</v>
      </c>
    </row>
    <row r="80" spans="1:28" ht="13.5" thickBot="1">
      <c r="N80" s="1110" t="s">
        <v>999</v>
      </c>
      <c r="O80" s="8"/>
      <c r="P80" s="8"/>
      <c r="Q80" s="8"/>
      <c r="R80" s="1111">
        <f>(1035.084/4775.883)*775.883</f>
        <v>168.15823988401729</v>
      </c>
    </row>
    <row r="81" spans="8:24" ht="13.5" thickBot="1">
      <c r="H81" s="212" t="s">
        <v>938</v>
      </c>
      <c r="I81" s="698"/>
      <c r="J81" s="73"/>
      <c r="K81" s="154" t="s">
        <v>943</v>
      </c>
      <c r="L81" s="1068">
        <v>1</v>
      </c>
      <c r="N81" s="139" t="s">
        <v>1000</v>
      </c>
      <c r="O81" s="8"/>
      <c r="P81" s="8"/>
      <c r="Q81" s="8"/>
      <c r="R81" s="1111">
        <v>678</v>
      </c>
      <c r="T81" s="211" t="s">
        <v>128</v>
      </c>
      <c r="U81" s="73"/>
      <c r="V81" s="154" t="s">
        <v>982</v>
      </c>
      <c r="W81" s="1086" t="s">
        <v>983</v>
      </c>
      <c r="X81" s="1085"/>
    </row>
    <row r="82" spans="8:24">
      <c r="H82" s="139" t="s">
        <v>939</v>
      </c>
      <c r="I82" s="8"/>
      <c r="J82" s="8"/>
      <c r="K82" s="8"/>
      <c r="L82" s="1064">
        <f ca="1">CF!Y46</f>
        <v>11528.791954895343</v>
      </c>
      <c r="N82" s="139"/>
      <c r="O82" s="8"/>
      <c r="P82" s="8"/>
      <c r="Q82" s="8"/>
      <c r="R82" s="150"/>
      <c r="T82" s="139"/>
      <c r="U82" s="840">
        <v>6</v>
      </c>
      <c r="V82" s="8" t="s">
        <v>266</v>
      </c>
      <c r="W82" s="8"/>
      <c r="X82" s="150"/>
    </row>
    <row r="83" spans="8:24" ht="13.5" thickBot="1">
      <c r="H83" s="139" t="s">
        <v>940</v>
      </c>
      <c r="I83" s="8"/>
      <c r="J83" s="8"/>
      <c r="K83" s="8"/>
      <c r="L83" s="1065">
        <f>CF!Y9</f>
        <v>4</v>
      </c>
      <c r="N83" s="139"/>
      <c r="O83" s="157">
        <f>EINC!E7</f>
        <v>1998</v>
      </c>
      <c r="P83" s="157">
        <f>EINC!F7</f>
        <v>1999</v>
      </c>
      <c r="Q83" s="157">
        <f>EINC!G7</f>
        <v>2000</v>
      </c>
      <c r="R83" s="342">
        <f>EINC!H7</f>
        <v>2001</v>
      </c>
      <c r="T83" s="141"/>
      <c r="U83" s="839">
        <v>2.5000000000000001E-2</v>
      </c>
      <c r="V83" s="76" t="s">
        <v>130</v>
      </c>
      <c r="W83" s="76"/>
      <c r="X83" s="151"/>
    </row>
    <row r="84" spans="8:24" ht="13.5" thickBot="1">
      <c r="H84" s="139" t="s">
        <v>941</v>
      </c>
      <c r="I84" s="8"/>
      <c r="J84" s="8"/>
      <c r="K84" s="8"/>
      <c r="L84" s="221">
        <f ca="1">L82/L83*12</f>
        <v>34586.37586468603</v>
      </c>
      <c r="N84" s="139" t="s">
        <v>53</v>
      </c>
      <c r="O84" s="156">
        <f ca="1">EINC!E50</f>
        <v>412.72761782153952</v>
      </c>
      <c r="P84" s="156">
        <f ca="1">EINC!F50</f>
        <v>1675.5282415730862</v>
      </c>
      <c r="Q84" s="156">
        <f ca="1">EINC!G50</f>
        <v>153.19365085214653</v>
      </c>
      <c r="R84" s="343">
        <f ca="1">EINC!H50</f>
        <v>-495.72807200789953</v>
      </c>
    </row>
    <row r="85" spans="8:24" ht="13.5" thickBot="1">
      <c r="H85" s="139" t="s">
        <v>942</v>
      </c>
      <c r="I85" s="8"/>
      <c r="J85" s="8"/>
      <c r="K85" s="8"/>
      <c r="L85" s="1066">
        <v>10</v>
      </c>
      <c r="N85" s="139" t="str">
        <f>EINC!A60</f>
        <v>Enron Avg Book Income (Years 1-5) - Comm Ops</v>
      </c>
      <c r="O85" s="43"/>
      <c r="P85" s="43"/>
      <c r="Q85" s="43"/>
      <c r="R85" s="343">
        <f ca="1">EINC!C60</f>
        <v>-441.4023064313875</v>
      </c>
      <c r="T85" s="211" t="s">
        <v>795</v>
      </c>
      <c r="U85" s="73"/>
      <c r="V85" s="73"/>
      <c r="W85" s="73"/>
      <c r="X85" s="941" t="s">
        <v>794</v>
      </c>
    </row>
    <row r="86" spans="8:24" ht="13.5" thickBot="1">
      <c r="H86" s="141" t="s">
        <v>938</v>
      </c>
      <c r="I86" s="76"/>
      <c r="J86" s="76"/>
      <c r="K86" s="76"/>
      <c r="L86" s="1067">
        <f ca="1">L84*L85</f>
        <v>345863.75864686031</v>
      </c>
      <c r="N86" s="141" t="str">
        <f>EINC!A61</f>
        <v>Enron Avg Book Income (Project Life) - Comm Ops</v>
      </c>
      <c r="O86" s="153"/>
      <c r="P86" s="153"/>
      <c r="Q86" s="153"/>
      <c r="R86" s="344">
        <f ca="1">EINC!C61</f>
        <v>2098.0199623724516</v>
      </c>
      <c r="T86" s="139" t="s">
        <v>74</v>
      </c>
      <c r="U86" s="53">
        <f ca="1">HLOOKUP(Fin_Close,Idc_Table,IDC!$AP$25)</f>
        <v>70129.403773188504</v>
      </c>
      <c r="V86" s="8"/>
      <c r="W86" s="8"/>
      <c r="X86" s="150"/>
    </row>
    <row r="87" spans="8:24" ht="13.5" thickBot="1">
      <c r="T87" s="455" t="s">
        <v>75</v>
      </c>
      <c r="U87" s="839">
        <v>0.06</v>
      </c>
      <c r="V87" s="76"/>
      <c r="W87" s="382" t="s">
        <v>793</v>
      </c>
      <c r="X87" s="858">
        <v>6.5000000000000002E-2</v>
      </c>
    </row>
    <row r="88" spans="8:24" ht="13.5" thickBot="1"/>
    <row r="89" spans="8:24" ht="13.5" thickBot="1">
      <c r="T89" s="211" t="s">
        <v>1096</v>
      </c>
      <c r="U89" s="73"/>
      <c r="V89" s="73"/>
      <c r="W89" s="73"/>
      <c r="X89" s="941" t="s">
        <v>1097</v>
      </c>
    </row>
    <row r="90" spans="8:24">
      <c r="T90" s="139" t="s">
        <v>1098</v>
      </c>
      <c r="U90" s="8"/>
      <c r="V90" s="8"/>
      <c r="W90" s="8"/>
      <c r="X90" s="1187">
        <v>1</v>
      </c>
    </row>
    <row r="91" spans="8:24" ht="13.5" thickBot="1">
      <c r="T91" s="141"/>
      <c r="U91" s="76"/>
      <c r="V91" s="76"/>
      <c r="W91" s="76"/>
      <c r="X91" s="151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colBreaks count="1" manualBreakCount="1">
    <brk id="1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504825</xdr:colOff>
                    <xdr:row>2</xdr:row>
                    <xdr:rowOff>47625</xdr:rowOff>
                  </from>
                  <to>
                    <xdr:col>2</xdr:col>
                    <xdr:colOff>676275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_Model">
                <anchor moveWithCells="1" sizeWithCells="1">
                  <from>
                    <xdr:col>4</xdr:col>
                    <xdr:colOff>342900</xdr:colOff>
                    <xdr:row>2</xdr:row>
                    <xdr:rowOff>38100</xdr:rowOff>
                  </from>
                  <to>
                    <xdr:col>5</xdr:col>
                    <xdr:colOff>609600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" name="Button 122">
              <controlPr defaultSize="0" print="0" autoFill="0" autoPict="0" macro="[0]!Converge_Commit">
                <anchor moveWithCells="1" sizeWithCells="1">
                  <from>
                    <xdr:col>3</xdr:col>
                    <xdr:colOff>28575</xdr:colOff>
                    <xdr:row>2</xdr:row>
                    <xdr:rowOff>57150</xdr:rowOff>
                  </from>
                  <to>
                    <xdr:col>4</xdr:col>
                    <xdr:colOff>209550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" name="Button 123">
              <controlPr defaultSize="0" print="0" autoFill="0" autoPict="0" macro="[0]!Print_Append">
                <anchor moveWithCells="1" sizeWithCells="1">
                  <from>
                    <xdr:col>5</xdr:col>
                    <xdr:colOff>733425</xdr:colOff>
                    <xdr:row>2</xdr:row>
                    <xdr:rowOff>38100</xdr:rowOff>
                  </from>
                  <to>
                    <xdr:col>7</xdr:col>
                    <xdr:colOff>752475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autoPageBreaks="0" fitToPage="1"/>
  </sheetPr>
  <dimension ref="A1:I66"/>
  <sheetViews>
    <sheetView showGridLines="0" topLeftCell="A4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3.7109375" style="5" customWidth="1"/>
    <col min="9" max="9" width="47.28515625" style="5" bestFit="1" customWidth="1"/>
    <col min="10" max="16384" width="9.140625" style="5"/>
  </cols>
  <sheetData>
    <row r="1" spans="1:9" s="240" customFormat="1" ht="15.75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75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.75">
      <c r="A4" s="873" t="s">
        <v>84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78</v>
      </c>
      <c r="I7" s="448"/>
    </row>
    <row r="8" spans="1:9" ht="13.5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5" thickBot="1">
      <c r="B9" s="32"/>
    </row>
    <row r="10" spans="1:9">
      <c r="A10" s="583" t="str">
        <f>Assm!N6</f>
        <v>Project Costs ($000)</v>
      </c>
      <c r="B10" s="908" t="s">
        <v>70</v>
      </c>
      <c r="C10" s="612" t="str">
        <f>Assm!R6</f>
        <v>Total</v>
      </c>
      <c r="D10" s="160"/>
      <c r="E10" s="613"/>
      <c r="F10" s="899"/>
      <c r="G10" s="900"/>
      <c r="H10" s="899"/>
      <c r="I10" s="901"/>
    </row>
    <row r="11" spans="1:9">
      <c r="A11" s="586"/>
      <c r="B11" s="13" t="str">
        <f>Assm!N7</f>
        <v>EPC Turnkey Contract</v>
      </c>
      <c r="C11" s="60">
        <f>Assm!R7</f>
        <v>92999.02800000002</v>
      </c>
      <c r="D11" s="54"/>
      <c r="E11" s="93"/>
      <c r="F11" s="902" t="s">
        <v>771</v>
      </c>
      <c r="G11" s="903">
        <v>35664</v>
      </c>
      <c r="H11" s="902" t="s">
        <v>470</v>
      </c>
      <c r="I11" s="904" t="s">
        <v>772</v>
      </c>
    </row>
    <row r="12" spans="1:9">
      <c r="A12" s="586"/>
      <c r="B12" s="13" t="str">
        <f>Assm!N8</f>
        <v>Approved Change Orders</v>
      </c>
      <c r="C12" s="60">
        <f>Assm!R8</f>
        <v>6173.8189999999995</v>
      </c>
      <c r="D12" s="54"/>
      <c r="E12" s="93"/>
      <c r="F12" s="902" t="s">
        <v>929</v>
      </c>
      <c r="G12" s="903">
        <v>36209</v>
      </c>
      <c r="H12" s="902" t="s">
        <v>930</v>
      </c>
      <c r="I12" s="904" t="s">
        <v>931</v>
      </c>
    </row>
    <row r="13" spans="1:9">
      <c r="A13" s="586"/>
      <c r="B13" s="13" t="str">
        <f>Assm!N9</f>
        <v>Pending Change Orders</v>
      </c>
      <c r="C13" s="60">
        <f>Assm!R9</f>
        <v>0</v>
      </c>
      <c r="D13" s="54"/>
      <c r="E13" s="93"/>
      <c r="F13" s="902" t="s">
        <v>932</v>
      </c>
      <c r="G13" s="903">
        <v>36410</v>
      </c>
      <c r="H13" s="902" t="s">
        <v>988</v>
      </c>
      <c r="I13" s="904" t="s">
        <v>989</v>
      </c>
    </row>
    <row r="14" spans="1:9">
      <c r="A14" s="586"/>
      <c r="B14" s="13" t="str">
        <f>Assm!N10</f>
        <v>Other Change Orders</v>
      </c>
      <c r="C14" s="60">
        <f>Assm!R10</f>
        <v>7914</v>
      </c>
      <c r="D14" s="54"/>
      <c r="E14" s="93"/>
      <c r="F14" s="902" t="s">
        <v>933</v>
      </c>
      <c r="G14" s="903">
        <v>36297</v>
      </c>
      <c r="H14" s="902" t="s">
        <v>934</v>
      </c>
      <c r="I14" s="904" t="s">
        <v>855</v>
      </c>
    </row>
    <row r="15" spans="1:9">
      <c r="A15" s="586"/>
      <c r="B15" s="13" t="str">
        <f>Assm!N11</f>
        <v>Onshore Payment Adjustment</v>
      </c>
      <c r="C15" s="60">
        <f>Assm!R11</f>
        <v>0</v>
      </c>
      <c r="D15" s="54"/>
      <c r="E15" s="93"/>
      <c r="F15" s="902" t="s">
        <v>933</v>
      </c>
      <c r="G15" s="903">
        <v>36297</v>
      </c>
      <c r="H15" s="902" t="s">
        <v>934</v>
      </c>
      <c r="I15" s="904" t="s">
        <v>855</v>
      </c>
    </row>
    <row r="16" spans="1:9">
      <c r="A16" s="586"/>
      <c r="B16" s="13" t="str">
        <f>Assm!N12</f>
        <v>Turnkey Tax Adjustment</v>
      </c>
      <c r="C16" s="333">
        <f>Assm!R12</f>
        <v>810.68994344827661</v>
      </c>
      <c r="D16" s="54"/>
      <c r="E16" s="93"/>
      <c r="F16" s="902" t="s">
        <v>771</v>
      </c>
      <c r="G16" s="903">
        <v>35664</v>
      </c>
      <c r="H16" s="902" t="s">
        <v>470</v>
      </c>
      <c r="I16" s="904" t="s">
        <v>773</v>
      </c>
    </row>
    <row r="17" spans="1:9">
      <c r="A17" s="586"/>
      <c r="B17" s="114" t="str">
        <f>Assm!N13</f>
        <v>Total Turnkey Construction</v>
      </c>
      <c r="C17" s="332">
        <f>Assm!R13</f>
        <v>107897.5369434483</v>
      </c>
      <c r="D17" s="127"/>
      <c r="E17" s="105"/>
      <c r="F17" s="902"/>
      <c r="G17" s="903"/>
      <c r="H17" s="902"/>
      <c r="I17" s="904"/>
    </row>
    <row r="18" spans="1:9">
      <c r="A18" s="586"/>
      <c r="B18" s="114"/>
      <c r="C18" s="332"/>
      <c r="D18" s="127"/>
      <c r="E18" s="105"/>
      <c r="F18" s="902"/>
      <c r="G18" s="903"/>
      <c r="H18" s="902"/>
      <c r="I18" s="904"/>
    </row>
    <row r="19" spans="1:9">
      <c r="A19" s="586"/>
      <c r="B19" s="13" t="str">
        <f>Assm!N15</f>
        <v>Linefill</v>
      </c>
      <c r="C19" s="60">
        <f>Assm!R15</f>
        <v>220</v>
      </c>
      <c r="D19" s="54"/>
      <c r="E19" s="93"/>
      <c r="F19" s="902" t="s">
        <v>848</v>
      </c>
      <c r="G19" s="903">
        <v>36294</v>
      </c>
      <c r="H19" s="902" t="s">
        <v>849</v>
      </c>
      <c r="I19" s="904" t="s">
        <v>850</v>
      </c>
    </row>
    <row r="20" spans="1:9">
      <c r="A20" s="586"/>
      <c r="B20" s="13" t="str">
        <f>Assm!N16</f>
        <v>Land &amp; Rights Of Way</v>
      </c>
      <c r="C20" s="60">
        <f>Assm!R16</f>
        <v>600</v>
      </c>
      <c r="D20" s="54"/>
      <c r="E20" s="93"/>
      <c r="F20" s="902" t="s">
        <v>848</v>
      </c>
      <c r="G20" s="903">
        <v>36294</v>
      </c>
      <c r="H20" s="902" t="s">
        <v>849</v>
      </c>
      <c r="I20" s="904" t="s">
        <v>850</v>
      </c>
    </row>
    <row r="21" spans="1:9">
      <c r="A21" s="586"/>
      <c r="B21" s="13" t="str">
        <f>Assm!N17</f>
        <v>Consulting Fees</v>
      </c>
      <c r="C21" s="60">
        <f>Assm!R17</f>
        <v>802</v>
      </c>
      <c r="D21" s="54"/>
      <c r="E21" s="93"/>
      <c r="F21" s="902" t="s">
        <v>848</v>
      </c>
      <c r="G21" s="903">
        <v>36298</v>
      </c>
      <c r="H21" s="902" t="s">
        <v>830</v>
      </c>
      <c r="I21" s="904" t="s">
        <v>855</v>
      </c>
    </row>
    <row r="22" spans="1:9">
      <c r="A22" s="586"/>
      <c r="B22" s="13" t="str">
        <f>Assm!N18</f>
        <v>Owner's Engineer (Parsons)</v>
      </c>
      <c r="C22" s="60">
        <f>Assm!R18</f>
        <v>1250</v>
      </c>
      <c r="D22" s="54"/>
      <c r="E22" s="93"/>
      <c r="F22" s="902" t="s">
        <v>848</v>
      </c>
      <c r="G22" s="903">
        <v>36294</v>
      </c>
      <c r="H22" s="902" t="s">
        <v>849</v>
      </c>
      <c r="I22" s="904" t="s">
        <v>850</v>
      </c>
    </row>
    <row r="23" spans="1:9">
      <c r="A23" s="586"/>
      <c r="B23" s="13" t="str">
        <f>Assm!N19</f>
        <v>Other Engineering Costs</v>
      </c>
      <c r="C23" s="60">
        <f>Assm!R19</f>
        <v>0</v>
      </c>
      <c r="D23" s="54"/>
      <c r="E23" s="93"/>
      <c r="F23" s="902" t="s">
        <v>848</v>
      </c>
      <c r="G23" s="903">
        <v>36294</v>
      </c>
      <c r="H23" s="902" t="s">
        <v>849</v>
      </c>
      <c r="I23" s="904" t="s">
        <v>850</v>
      </c>
    </row>
    <row r="24" spans="1:9">
      <c r="A24" s="586"/>
      <c r="B24" s="13" t="str">
        <f>Assm!N20</f>
        <v>Environmental &amp; Permitting</v>
      </c>
      <c r="C24" s="60">
        <f>Assm!R20</f>
        <v>11183.5134</v>
      </c>
      <c r="D24" s="54"/>
      <c r="E24" s="93"/>
      <c r="F24" s="902" t="s">
        <v>848</v>
      </c>
      <c r="G24" s="903">
        <v>36403</v>
      </c>
      <c r="H24" s="902" t="s">
        <v>849</v>
      </c>
      <c r="I24" s="904" t="s">
        <v>993</v>
      </c>
    </row>
    <row r="25" spans="1:9">
      <c r="A25" s="586"/>
      <c r="B25" s="13" t="str">
        <f>Assm!N21</f>
        <v>Indigenous People Programs</v>
      </c>
      <c r="C25" s="333">
        <f>Assm!R21</f>
        <v>5150.8</v>
      </c>
      <c r="D25" s="54"/>
      <c r="E25" s="93"/>
      <c r="F25" s="902" t="s">
        <v>990</v>
      </c>
      <c r="G25" s="903">
        <v>36390</v>
      </c>
      <c r="H25" s="902" t="s">
        <v>991</v>
      </c>
      <c r="I25" s="904" t="s">
        <v>992</v>
      </c>
    </row>
    <row r="26" spans="1:9">
      <c r="A26" s="586"/>
      <c r="B26" s="114" t="str">
        <f>Assm!N22</f>
        <v>Total Other Construction</v>
      </c>
      <c r="C26" s="332">
        <f>Assm!R22</f>
        <v>19206.313399999999</v>
      </c>
      <c r="D26" s="54"/>
      <c r="E26" s="93"/>
      <c r="F26" s="902"/>
      <c r="G26" s="903"/>
      <c r="H26" s="902"/>
      <c r="I26" s="904"/>
    </row>
    <row r="27" spans="1:9">
      <c r="A27" s="586"/>
      <c r="B27" s="13"/>
      <c r="C27" s="60"/>
      <c r="D27" s="54"/>
      <c r="E27" s="93"/>
      <c r="F27" s="902"/>
      <c r="G27" s="903"/>
      <c r="H27" s="902"/>
      <c r="I27" s="904" t="s">
        <v>93</v>
      </c>
    </row>
    <row r="28" spans="1:9">
      <c r="A28" s="586"/>
      <c r="B28" s="13" t="str">
        <f>Assm!N24</f>
        <v xml:space="preserve">Interest During Construction "IDC" </v>
      </c>
      <c r="C28" s="60">
        <f ca="1">Assm!R24</f>
        <v>7955.1089695050259</v>
      </c>
      <c r="D28" s="54"/>
      <c r="E28" s="93"/>
      <c r="F28" s="902" t="s">
        <v>82</v>
      </c>
      <c r="G28" s="903"/>
      <c r="H28" s="902"/>
      <c r="I28" s="904"/>
    </row>
    <row r="29" spans="1:9">
      <c r="A29" s="586"/>
      <c r="B29" s="13" t="str">
        <f>Assm!N25</f>
        <v>W/H Tax - IDC (Shareholder Construction Loan)</v>
      </c>
      <c r="C29" s="60">
        <f ca="1">Assm!R25</f>
        <v>475.77727694755021</v>
      </c>
      <c r="D29" s="54"/>
      <c r="E29" s="93"/>
      <c r="F29" s="902" t="s">
        <v>82</v>
      </c>
      <c r="G29" s="903"/>
      <c r="H29" s="902"/>
      <c r="I29" s="904"/>
    </row>
    <row r="30" spans="1:9">
      <c r="A30" s="586"/>
      <c r="B30" s="13" t="str">
        <f>Assm!N26</f>
        <v>Commitment Fee</v>
      </c>
      <c r="C30" s="60">
        <f ca="1">Assm!R26</f>
        <v>18.041976124151429</v>
      </c>
      <c r="D30" s="54"/>
      <c r="E30" s="93"/>
      <c r="F30" s="902" t="s">
        <v>82</v>
      </c>
      <c r="G30" s="903"/>
      <c r="H30" s="902"/>
      <c r="I30" s="904"/>
    </row>
    <row r="31" spans="1:9">
      <c r="A31" s="586"/>
      <c r="B31" s="13" t="str">
        <f>Assm!N27</f>
        <v>Upfront Fee</v>
      </c>
      <c r="C31" s="60">
        <f ca="1">Assm!R27</f>
        <v>1405.6568326391778</v>
      </c>
      <c r="D31" s="54"/>
      <c r="E31" s="93"/>
      <c r="F31" s="902" t="s">
        <v>82</v>
      </c>
      <c r="G31" s="903"/>
      <c r="H31" s="902"/>
      <c r="I31" s="904"/>
    </row>
    <row r="32" spans="1:9">
      <c r="A32" s="586"/>
      <c r="B32" s="13" t="str">
        <f>Assm!N28</f>
        <v>Financing Costs (Borrower)</v>
      </c>
      <c r="C32" s="60">
        <f>Assm!R28</f>
        <v>3055.55</v>
      </c>
      <c r="D32" s="54"/>
      <c r="E32" s="93"/>
      <c r="F32" s="902" t="s">
        <v>848</v>
      </c>
      <c r="G32" s="903">
        <v>36298</v>
      </c>
      <c r="H32" s="902" t="s">
        <v>830</v>
      </c>
      <c r="I32" s="904" t="s">
        <v>855</v>
      </c>
    </row>
    <row r="33" spans="1:9">
      <c r="A33" s="586"/>
      <c r="B33" s="13" t="str">
        <f>Assm!N29</f>
        <v>Financing Costs (Other)</v>
      </c>
      <c r="C33" s="60">
        <f>Assm!R29</f>
        <v>0</v>
      </c>
      <c r="D33" s="54"/>
      <c r="E33" s="93"/>
      <c r="F33" s="902" t="s">
        <v>848</v>
      </c>
      <c r="G33" s="903">
        <v>36298</v>
      </c>
      <c r="H33" s="902" t="s">
        <v>830</v>
      </c>
      <c r="I33" s="904" t="s">
        <v>855</v>
      </c>
    </row>
    <row r="34" spans="1:9">
      <c r="A34" s="586"/>
      <c r="B34" s="13" t="str">
        <f>Assm!N30</f>
        <v>3rd Party Legal Fees</v>
      </c>
      <c r="C34" s="60">
        <f>Assm!R30</f>
        <v>1526.85</v>
      </c>
      <c r="D34" s="54"/>
      <c r="E34" s="93"/>
      <c r="F34" s="902" t="s">
        <v>848</v>
      </c>
      <c r="G34" s="903">
        <v>36403</v>
      </c>
      <c r="H34" s="902" t="s">
        <v>849</v>
      </c>
      <c r="I34" s="904" t="s">
        <v>993</v>
      </c>
    </row>
    <row r="35" spans="1:9">
      <c r="A35" s="586"/>
      <c r="B35" s="13" t="str">
        <f>Assm!N31</f>
        <v xml:space="preserve">Construction Insurance </v>
      </c>
      <c r="C35" s="333">
        <f>Assm!R31</f>
        <v>839.52200000000005</v>
      </c>
      <c r="D35" s="54"/>
      <c r="E35" s="93"/>
      <c r="F35" s="902" t="s">
        <v>662</v>
      </c>
      <c r="G35" s="903">
        <v>36157</v>
      </c>
      <c r="H35" s="902" t="s">
        <v>86</v>
      </c>
      <c r="I35" s="904" t="s">
        <v>676</v>
      </c>
    </row>
    <row r="36" spans="1:9">
      <c r="A36" s="586"/>
      <c r="B36" s="114" t="str">
        <f>Assm!N32</f>
        <v>Total 3rd Party Dev / Financing Costs</v>
      </c>
      <c r="C36" s="332">
        <f ca="1">Assm!R32</f>
        <v>15276.507055215907</v>
      </c>
      <c r="D36" s="54"/>
      <c r="E36" s="93"/>
      <c r="F36" s="902"/>
      <c r="G36" s="903"/>
      <c r="H36" s="902"/>
      <c r="I36" s="904"/>
    </row>
    <row r="37" spans="1:9">
      <c r="A37" s="586"/>
      <c r="B37" s="114"/>
      <c r="C37" s="60"/>
      <c r="D37" s="54"/>
      <c r="E37" s="93"/>
      <c r="F37" s="902"/>
      <c r="G37" s="903"/>
      <c r="H37" s="902"/>
      <c r="I37" s="904"/>
    </row>
    <row r="38" spans="1:9">
      <c r="A38" s="586"/>
      <c r="B38" s="13" t="str">
        <f>Assm!N34</f>
        <v>Development Costs</v>
      </c>
      <c r="C38" s="60">
        <f>Assm!R34</f>
        <v>7384.6381167999998</v>
      </c>
      <c r="D38" s="54"/>
      <c r="E38" s="93"/>
      <c r="F38" s="902" t="s">
        <v>848</v>
      </c>
      <c r="G38" s="903">
        <v>36403</v>
      </c>
      <c r="H38" s="902" t="s">
        <v>849</v>
      </c>
      <c r="I38" s="904" t="s">
        <v>993</v>
      </c>
    </row>
    <row r="39" spans="1:9">
      <c r="A39" s="586"/>
      <c r="B39" s="13" t="str">
        <f>Assm!N35</f>
        <v>Development Fee</v>
      </c>
      <c r="C39" s="60">
        <f>Assm!R35</f>
        <v>0</v>
      </c>
      <c r="D39" s="54"/>
      <c r="E39" s="93"/>
      <c r="F39" s="902"/>
      <c r="G39" s="903"/>
      <c r="H39" s="902"/>
      <c r="I39" s="904" t="s">
        <v>776</v>
      </c>
    </row>
    <row r="40" spans="1:9">
      <c r="A40" s="586"/>
      <c r="B40" s="13" t="str">
        <f>Assm!N36</f>
        <v>Operations Mobilization</v>
      </c>
      <c r="C40" s="333">
        <f>Assm!R36</f>
        <v>1192</v>
      </c>
      <c r="D40" s="54"/>
      <c r="E40" s="93"/>
      <c r="F40" s="902" t="s">
        <v>848</v>
      </c>
      <c r="G40" s="903">
        <v>36294</v>
      </c>
      <c r="H40" s="902" t="s">
        <v>849</v>
      </c>
      <c r="I40" s="904" t="s">
        <v>850</v>
      </c>
    </row>
    <row r="41" spans="1:9">
      <c r="A41" s="586"/>
      <c r="B41" s="114" t="str">
        <f>Assm!N37</f>
        <v>Total Development Costs / Fees</v>
      </c>
      <c r="C41" s="332">
        <f>Assm!R37</f>
        <v>8576.6381168000007</v>
      </c>
      <c r="D41" s="54"/>
      <c r="E41" s="93"/>
      <c r="F41" s="902"/>
      <c r="G41" s="903"/>
      <c r="H41" s="902"/>
      <c r="I41" s="904"/>
    </row>
    <row r="42" spans="1:9">
      <c r="A42" s="586"/>
      <c r="B42" s="114"/>
      <c r="C42" s="60"/>
      <c r="D42" s="127"/>
      <c r="E42" s="105"/>
      <c r="F42" s="902"/>
      <c r="G42" s="903"/>
      <c r="H42" s="902"/>
      <c r="I42" s="904"/>
    </row>
    <row r="43" spans="1:9">
      <c r="A43" s="586"/>
      <c r="B43" s="13" t="str">
        <f>Assm!N39</f>
        <v xml:space="preserve">Working Capital </v>
      </c>
      <c r="C43" s="333">
        <f>Assm!R39</f>
        <v>0</v>
      </c>
      <c r="D43" s="54"/>
      <c r="E43" s="93"/>
      <c r="F43" s="902" t="s">
        <v>851</v>
      </c>
      <c r="G43" s="903"/>
      <c r="H43" s="902"/>
      <c r="I43" s="904"/>
    </row>
    <row r="44" spans="1:9">
      <c r="A44" s="586"/>
      <c r="B44" s="114" t="str">
        <f>Assm!N40</f>
        <v>Total Other Costs</v>
      </c>
      <c r="C44" s="332">
        <f>Assm!R40</f>
        <v>0</v>
      </c>
      <c r="D44" s="54"/>
      <c r="E44" s="93"/>
      <c r="F44" s="902"/>
      <c r="G44" s="903"/>
      <c r="H44" s="902"/>
      <c r="I44" s="904"/>
    </row>
    <row r="45" spans="1:9">
      <c r="A45" s="586"/>
      <c r="B45" s="114"/>
      <c r="C45" s="60"/>
      <c r="D45" s="127"/>
      <c r="E45" s="105"/>
      <c r="F45" s="902"/>
      <c r="G45" s="903"/>
      <c r="H45" s="902"/>
      <c r="I45" s="904"/>
    </row>
    <row r="46" spans="1:9">
      <c r="A46" s="586"/>
      <c r="B46" s="13" t="str">
        <f>Assm!N42</f>
        <v>Contingency - Change Orders</v>
      </c>
      <c r="C46" s="60">
        <f>Assm!R42</f>
        <v>5227.0969999999998</v>
      </c>
      <c r="D46" s="54"/>
      <c r="E46" s="93"/>
      <c r="F46" s="902" t="s">
        <v>82</v>
      </c>
      <c r="G46" s="903"/>
      <c r="H46" s="902"/>
      <c r="I46" s="904" t="str">
        <f>CONCATENATE(TEXT(Assm!Q42,"0.00%")," ",Assm!P42)</f>
        <v xml:space="preserve">0.00% </v>
      </c>
    </row>
    <row r="47" spans="1:9">
      <c r="A47" s="586"/>
      <c r="B47" s="13" t="str">
        <f>Assm!N43</f>
        <v>Contingency - Other</v>
      </c>
      <c r="C47" s="333">
        <f>Assm!R43</f>
        <v>0</v>
      </c>
      <c r="D47" s="54"/>
      <c r="E47" s="93"/>
      <c r="F47" s="902" t="s">
        <v>82</v>
      </c>
      <c r="G47" s="903"/>
      <c r="H47" s="902"/>
      <c r="I47" s="904" t="str">
        <f>CONCATENATE(TEXT(Assm!Q43,"0.00%")," ",Assm!P43)</f>
        <v xml:space="preserve">0.00% </v>
      </c>
    </row>
    <row r="48" spans="1:9">
      <c r="A48" s="586"/>
      <c r="B48" s="114" t="str">
        <f>Assm!N44</f>
        <v>Total Contingency</v>
      </c>
      <c r="C48" s="332">
        <f>Assm!R44</f>
        <v>5227.0969999999998</v>
      </c>
      <c r="D48" s="54"/>
      <c r="E48" s="93"/>
      <c r="F48" s="902"/>
      <c r="G48" s="903"/>
      <c r="H48" s="902"/>
      <c r="I48" s="904"/>
    </row>
    <row r="49" spans="1:9">
      <c r="A49" s="586"/>
      <c r="B49" s="114"/>
      <c r="C49" s="60"/>
      <c r="D49" s="127"/>
      <c r="E49" s="105"/>
      <c r="F49" s="902"/>
      <c r="G49" s="903"/>
      <c r="H49" s="902"/>
      <c r="I49" s="904"/>
    </row>
    <row r="50" spans="1:9">
      <c r="A50" s="586"/>
      <c r="B50" s="114" t="str">
        <f>Assm!N46</f>
        <v>Total Project Costs</v>
      </c>
      <c r="C50" s="332">
        <f ca="1">Assm!R46</f>
        <v>156184.0925154642</v>
      </c>
      <c r="D50" s="127"/>
      <c r="E50" s="105"/>
      <c r="F50" s="902"/>
      <c r="G50" s="903"/>
      <c r="H50" s="902"/>
      <c r="I50" s="904"/>
    </row>
    <row r="51" spans="1:9" ht="13.5" thickBot="1">
      <c r="A51" s="587"/>
      <c r="B51" s="614" t="str">
        <f>Assm!N47</f>
        <v>Total Project Costs ($/MCM/Day)</v>
      </c>
      <c r="C51" s="935">
        <f ca="1">Assm!R47</f>
        <v>1.5164976455526187</v>
      </c>
      <c r="D51" s="227"/>
      <c r="E51" s="615"/>
      <c r="F51" s="905"/>
      <c r="G51" s="906"/>
      <c r="H51" s="905"/>
      <c r="I51" s="907"/>
    </row>
    <row r="52" spans="1:9" ht="13.5" thickBot="1"/>
    <row r="53" spans="1:9">
      <c r="A53" s="583" t="str">
        <f>Assm!H57</f>
        <v>Project Ownership (Pre-Dilution)</v>
      </c>
      <c r="B53" s="580"/>
      <c r="C53" s="616" t="str">
        <f>Assm!K60</f>
        <v>Equity %</v>
      </c>
      <c r="D53" s="680" t="str">
        <f>Assm!L60</f>
        <v>Cashflow %</v>
      </c>
      <c r="E53" s="590"/>
      <c r="F53" s="899"/>
      <c r="G53" s="900"/>
      <c r="H53" s="899"/>
      <c r="I53" s="901"/>
    </row>
    <row r="54" spans="1:9">
      <c r="A54" s="586"/>
      <c r="B54" s="13" t="str">
        <f>Assm!H61</f>
        <v>Enron</v>
      </c>
      <c r="C54" s="337">
        <f>Assm!K61</f>
        <v>0.29999999999999993</v>
      </c>
      <c r="D54" s="15">
        <f>Assm!L61</f>
        <v>0.29999999999999993</v>
      </c>
      <c r="E54" s="339"/>
      <c r="F54" s="902" t="s">
        <v>882</v>
      </c>
      <c r="G54" s="903" t="s">
        <v>883</v>
      </c>
      <c r="H54" s="902" t="s">
        <v>470</v>
      </c>
      <c r="I54" s="904" t="s">
        <v>884</v>
      </c>
    </row>
    <row r="55" spans="1:9">
      <c r="A55" s="586"/>
      <c r="B55" s="13" t="str">
        <f>Assm!H62</f>
        <v>Shell</v>
      </c>
      <c r="C55" s="337">
        <f>Assm!K62</f>
        <v>0.3</v>
      </c>
      <c r="D55" s="15">
        <f>Assm!L62</f>
        <v>0.3</v>
      </c>
      <c r="E55" s="339"/>
      <c r="F55" s="902" t="s">
        <v>882</v>
      </c>
      <c r="G55" s="903">
        <v>35950</v>
      </c>
      <c r="H55" s="902" t="s">
        <v>470</v>
      </c>
      <c r="I55" s="904" t="s">
        <v>885</v>
      </c>
    </row>
    <row r="56" spans="1:9">
      <c r="A56" s="586"/>
      <c r="B56" s="13" t="str">
        <f>Assm!H63</f>
        <v>Transredes</v>
      </c>
      <c r="C56" s="338">
        <f>Assm!K63</f>
        <v>0.4</v>
      </c>
      <c r="D56" s="686">
        <f>Assm!L63</f>
        <v>0.4</v>
      </c>
      <c r="E56" s="340"/>
      <c r="F56" s="902" t="s">
        <v>882</v>
      </c>
      <c r="G56" s="903">
        <v>36070</v>
      </c>
      <c r="H56" s="902" t="s">
        <v>470</v>
      </c>
      <c r="I56" s="904" t="s">
        <v>886</v>
      </c>
    </row>
    <row r="57" spans="1:9" ht="13.5" thickBot="1">
      <c r="A57" s="587"/>
      <c r="B57" s="582" t="str">
        <f>Assm!H64</f>
        <v xml:space="preserve">   Total</v>
      </c>
      <c r="C57" s="617">
        <f>Assm!K64</f>
        <v>0.99999999999999989</v>
      </c>
      <c r="D57" s="682">
        <f>Assm!L64</f>
        <v>0.99999999999999989</v>
      </c>
      <c r="E57" s="610"/>
      <c r="F57" s="905"/>
      <c r="G57" s="906"/>
      <c r="H57" s="905"/>
      <c r="I57" s="907"/>
    </row>
    <row r="58" spans="1:9" ht="13.5" thickBot="1"/>
    <row r="59" spans="1:9">
      <c r="A59" s="583" t="str">
        <f>Assm!H74</f>
        <v>Division Of Project Fees</v>
      </c>
      <c r="B59" s="580"/>
      <c r="C59" s="616" t="str">
        <f>Assm!I74</f>
        <v>Enron</v>
      </c>
      <c r="D59" s="680" t="str">
        <f>Assm!J74</f>
        <v>Shell</v>
      </c>
      <c r="E59" s="680" t="str">
        <f>Assm!K74</f>
        <v>Transredes</v>
      </c>
      <c r="F59" s="899"/>
      <c r="G59" s="900"/>
      <c r="H59" s="899"/>
      <c r="I59" s="901"/>
    </row>
    <row r="60" spans="1:9">
      <c r="A60" s="586"/>
      <c r="B60" s="13" t="str">
        <f>Assm!H75</f>
        <v>Development Fee</v>
      </c>
      <c r="C60" s="337">
        <f>Assm!I75</f>
        <v>0.3</v>
      </c>
      <c r="D60" s="15">
        <f>Assm!J75</f>
        <v>0.3</v>
      </c>
      <c r="E60" s="15">
        <f>Assm!K75</f>
        <v>0.4</v>
      </c>
      <c r="F60" s="902" t="s">
        <v>780</v>
      </c>
      <c r="G60" s="903">
        <v>36004</v>
      </c>
      <c r="H60" s="902" t="s">
        <v>470</v>
      </c>
      <c r="I60" s="904"/>
    </row>
    <row r="61" spans="1:9" ht="13.5" thickBot="1">
      <c r="A61" s="587"/>
      <c r="B61" s="582" t="str">
        <f>Assm!H76</f>
        <v>Technical Services Fee</v>
      </c>
      <c r="C61" s="617">
        <f>Assm!I76</f>
        <v>0</v>
      </c>
      <c r="D61" s="682">
        <f>Assm!J76</f>
        <v>0</v>
      </c>
      <c r="E61" s="610">
        <f>Assm!K76</f>
        <v>1</v>
      </c>
      <c r="F61" s="905" t="s">
        <v>780</v>
      </c>
      <c r="G61" s="906">
        <v>36004</v>
      </c>
      <c r="H61" s="905" t="s">
        <v>470</v>
      </c>
      <c r="I61" s="907"/>
    </row>
    <row r="62" spans="1:9" ht="13.5" thickBot="1"/>
    <row r="63" spans="1:9">
      <c r="A63" s="583" t="str">
        <f>Assm!N49</f>
        <v>Project &amp; Enron Economics ($000)</v>
      </c>
      <c r="B63" s="652" t="str">
        <f ca="1">CONCATENATE("Discount Rate = ", TEXT(Disc,"0.00%")," / Target Rate = ",TEXT(Target,"0.00%"))</f>
        <v>Discount Rate = 19.00% / Target Rate = 15.00%</v>
      </c>
      <c r="C63" s="657"/>
      <c r="D63" s="681"/>
      <c r="E63" s="658"/>
      <c r="F63" s="909" t="s">
        <v>88</v>
      </c>
      <c r="G63" s="900">
        <v>35916</v>
      </c>
      <c r="H63" s="899" t="s">
        <v>437</v>
      </c>
      <c r="I63" s="901" t="s">
        <v>777</v>
      </c>
    </row>
    <row r="64" spans="1:9">
      <c r="A64" s="586"/>
      <c r="B64" s="13"/>
      <c r="C64" s="122" t="s">
        <v>125</v>
      </c>
      <c r="D64" s="45" t="s">
        <v>126</v>
      </c>
      <c r="E64" s="46"/>
      <c r="F64" s="902"/>
      <c r="G64" s="903"/>
      <c r="H64" s="902"/>
      <c r="I64" s="904"/>
    </row>
    <row r="65" spans="1:9">
      <c r="A65" s="586"/>
      <c r="B65" s="913" t="s">
        <v>515</v>
      </c>
      <c r="C65" s="337">
        <f ca="1">IRR</f>
        <v>0.16005484620537791</v>
      </c>
      <c r="D65" s="687">
        <f ca="1">Assm!R51</f>
        <v>-13076.154731264984</v>
      </c>
      <c r="E65" s="659"/>
      <c r="F65" s="902" t="s">
        <v>82</v>
      </c>
      <c r="G65" s="903"/>
      <c r="H65" s="902"/>
      <c r="I65" s="904"/>
    </row>
    <row r="66" spans="1:9" ht="13.5" thickBot="1">
      <c r="A66" s="587"/>
      <c r="B66" s="914" t="s">
        <v>449</v>
      </c>
      <c r="C66" s="617">
        <f ca="1">Assm!Q54</f>
        <v>0.15550470415492412</v>
      </c>
      <c r="D66" s="220">
        <f ca="1">Assm!R54</f>
        <v>-4395.8914403922072</v>
      </c>
      <c r="E66" s="660"/>
      <c r="F66" s="905" t="s">
        <v>82</v>
      </c>
      <c r="G66" s="906"/>
      <c r="H66" s="905"/>
      <c r="I66" s="907"/>
    </row>
  </sheetData>
  <printOptions horizontalCentered="1"/>
  <pageMargins left="0.25" right="0.25" top="0.5" bottom="0.5" header="0.25" footer="0.25"/>
  <pageSetup scale="60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I67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3.7109375" style="281" customWidth="1"/>
    <col min="9" max="9" width="40.7109375" style="5" customWidth="1"/>
    <col min="10" max="16384" width="9.140625" style="5"/>
  </cols>
  <sheetData>
    <row r="1" spans="1:9" s="240" customFormat="1" ht="15.75">
      <c r="A1" s="987" t="str">
        <f>Assm!A1</f>
        <v>GAS ORIENTE BOLIVIANO S.A. (GASBOL) *** DRAFT COPY ***</v>
      </c>
      <c r="B1" s="987"/>
      <c r="C1" s="283"/>
      <c r="D1" s="239"/>
      <c r="E1" s="239"/>
      <c r="F1" s="288"/>
      <c r="G1" s="134"/>
      <c r="H1" s="288"/>
      <c r="I1" s="288"/>
    </row>
    <row r="2" spans="1:9" s="240" customFormat="1" ht="15.75">
      <c r="A2" s="987" t="str">
        <f>Assm!A2</f>
        <v>369 KM PIPELINE SPUR FOR CUIABA POWER PLANT (BOLIVIA)</v>
      </c>
      <c r="B2" s="987"/>
      <c r="C2" s="283"/>
      <c r="D2" s="239"/>
      <c r="E2" s="239"/>
      <c r="F2" s="288"/>
      <c r="G2" s="134"/>
      <c r="H2" s="288"/>
      <c r="I2" s="288"/>
    </row>
    <row r="3" spans="1:9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.75">
      <c r="A4" s="820" t="s">
        <v>87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60</v>
      </c>
      <c r="I7" s="448"/>
    </row>
    <row r="8" spans="1:9" ht="13.5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5" thickBot="1">
      <c r="H9" s="152"/>
    </row>
    <row r="10" spans="1:9">
      <c r="A10" s="583" t="str">
        <f>Assm!T6</f>
        <v>Project Financing ($000)</v>
      </c>
      <c r="B10" s="78" t="str">
        <f>Assm!T8</f>
        <v>Tranche 1: MLA - OPIC</v>
      </c>
      <c r="C10" s="618"/>
      <c r="D10" s="73"/>
      <c r="E10" s="73"/>
      <c r="F10" s="910"/>
      <c r="G10" s="900"/>
      <c r="H10" s="899"/>
      <c r="I10" s="901"/>
    </row>
    <row r="11" spans="1:9">
      <c r="A11" s="586"/>
      <c r="B11" s="8" t="str">
        <f>Assm!T9</f>
        <v>Amount</v>
      </c>
      <c r="C11" s="335">
        <f ca="1">Assm!X9</f>
        <v>93710.455509278516</v>
      </c>
      <c r="D11" s="8"/>
      <c r="F11" s="911" t="s">
        <v>778</v>
      </c>
      <c r="G11" s="903">
        <v>36391</v>
      </c>
      <c r="H11" s="902" t="s">
        <v>69</v>
      </c>
      <c r="I11" s="904" t="s">
        <v>779</v>
      </c>
    </row>
    <row r="12" spans="1:9">
      <c r="A12" s="586"/>
      <c r="B12" s="8" t="str">
        <f>Assm!T10</f>
        <v>Loan Amortization (1=S/L, 2=MTG, 3=Custom)</v>
      </c>
      <c r="C12" s="116" t="str">
        <f>IF(Assm!X10=0,"Not Amortized",CHOOSE(Assm!X10,"Straightline","Mortgage","Custom"))</f>
        <v>Custom</v>
      </c>
      <c r="D12" s="8"/>
      <c r="F12" s="911"/>
      <c r="G12" s="903"/>
      <c r="H12" s="902"/>
      <c r="I12" s="904"/>
    </row>
    <row r="13" spans="1:9">
      <c r="A13" s="586"/>
      <c r="B13" s="8" t="str">
        <f>Assm!T11</f>
        <v>Term (Years) - Post Closing</v>
      </c>
      <c r="C13" s="336">
        <f ca="1">Assm!X11</f>
        <v>29</v>
      </c>
      <c r="D13" s="8"/>
      <c r="F13" s="911"/>
      <c r="G13" s="903"/>
      <c r="H13" s="902"/>
      <c r="I13" s="904"/>
    </row>
    <row r="14" spans="1:9">
      <c r="A14" s="586"/>
      <c r="B14" s="8" t="str">
        <f>Assm!T12</f>
        <v>Grace (Periods) - Post Closing</v>
      </c>
      <c r="C14" s="336">
        <f>Assm!X12</f>
        <v>1</v>
      </c>
      <c r="D14" s="8"/>
      <c r="F14" s="911"/>
      <c r="G14" s="903"/>
      <c r="H14" s="902"/>
      <c r="I14" s="904"/>
    </row>
    <row r="15" spans="1:9">
      <c r="A15" s="586"/>
      <c r="B15" s="8" t="str">
        <f>Assm!T13</f>
        <v>Average Life Of Loan (Years)</v>
      </c>
      <c r="C15" s="336">
        <f ca="1">Assm!X13</f>
        <v>10.4</v>
      </c>
      <c r="D15" s="8"/>
      <c r="F15" s="911"/>
      <c r="G15" s="903"/>
      <c r="H15" s="902"/>
      <c r="I15" s="904"/>
    </row>
    <row r="16" spans="1:9">
      <c r="A16" s="586"/>
      <c r="B16" s="8" t="str">
        <f>Assm!T14</f>
        <v>Interest Rate / Spread</v>
      </c>
      <c r="C16" s="121">
        <f>Assm!X14</f>
        <v>0.1101</v>
      </c>
      <c r="D16" s="8"/>
      <c r="F16" s="911"/>
      <c r="G16" s="903"/>
      <c r="H16" s="902"/>
      <c r="I16" s="904"/>
    </row>
    <row r="17" spans="1:9">
      <c r="A17" s="586"/>
      <c r="B17" s="8" t="str">
        <f>Assm!T15</f>
        <v>Upfront Fee</v>
      </c>
      <c r="C17" s="111">
        <f>Assm!X15</f>
        <v>1.4999999999999999E-2</v>
      </c>
      <c r="D17" s="8"/>
      <c r="F17" s="911"/>
      <c r="G17" s="903"/>
      <c r="H17" s="902"/>
      <c r="I17" s="904"/>
    </row>
    <row r="18" spans="1:9">
      <c r="A18" s="586"/>
      <c r="B18" s="8" t="str">
        <f>Assm!T16</f>
        <v>Commitment Fee</v>
      </c>
      <c r="C18" s="111">
        <f>Assm!X16</f>
        <v>5.0000000000000001E-3</v>
      </c>
      <c r="D18" s="8"/>
      <c r="F18" s="911"/>
      <c r="G18" s="903"/>
      <c r="H18" s="902"/>
      <c r="I18" s="904"/>
    </row>
    <row r="19" spans="1:9">
      <c r="A19" s="586"/>
      <c r="B19" s="32" t="str">
        <f>Assm!T17</f>
        <v>Tranche 2: KFW (Uncovered Loan)</v>
      </c>
      <c r="C19" s="81"/>
      <c r="D19" s="8"/>
      <c r="F19" s="911"/>
      <c r="G19" s="903"/>
      <c r="H19" s="902"/>
      <c r="I19" s="904"/>
    </row>
    <row r="20" spans="1:9">
      <c r="A20" s="586"/>
      <c r="B20" s="8" t="str">
        <f>Assm!T18</f>
        <v>Amount</v>
      </c>
      <c r="C20" s="335">
        <f>Assm!X18</f>
        <v>0</v>
      </c>
      <c r="D20" s="8"/>
      <c r="F20" s="911" t="s">
        <v>778</v>
      </c>
      <c r="G20" s="903">
        <v>36391</v>
      </c>
      <c r="H20" s="902" t="s">
        <v>69</v>
      </c>
      <c r="I20" s="904" t="s">
        <v>779</v>
      </c>
    </row>
    <row r="21" spans="1:9">
      <c r="A21" s="586"/>
      <c r="B21" s="8" t="str">
        <f>Assm!T19</f>
        <v>Loan Amortization (1=S/L, 2=MTG, 3=Custom)</v>
      </c>
      <c r="C21" s="116" t="str">
        <f>IF(Assm!X19=0,"Not Amortized",CHOOSE(Assm!X19,"Straightline","Mortgage","Custom"))</f>
        <v>Mortgage</v>
      </c>
      <c r="D21" s="8"/>
      <c r="F21" s="911"/>
      <c r="G21" s="903"/>
      <c r="H21" s="902"/>
      <c r="I21" s="904"/>
    </row>
    <row r="22" spans="1:9">
      <c r="A22" s="586"/>
      <c r="B22" s="8" t="str">
        <f>Assm!T20</f>
        <v>Term (Years) - Post Closing</v>
      </c>
      <c r="C22" s="336">
        <f ca="1">Assm!X20</f>
        <v>0</v>
      </c>
      <c r="D22" s="8"/>
      <c r="F22" s="911"/>
      <c r="G22" s="903"/>
      <c r="H22" s="902"/>
      <c r="I22" s="904"/>
    </row>
    <row r="23" spans="1:9">
      <c r="A23" s="586"/>
      <c r="B23" s="8" t="str">
        <f>Assm!T21</f>
        <v>Grace (Periods) - Post Closing</v>
      </c>
      <c r="C23" s="336">
        <f>Assm!X21</f>
        <v>1</v>
      </c>
      <c r="D23" s="8"/>
      <c r="F23" s="911"/>
      <c r="G23" s="903"/>
      <c r="H23" s="902"/>
      <c r="I23" s="904"/>
    </row>
    <row r="24" spans="1:9">
      <c r="A24" s="586"/>
      <c r="B24" s="8" t="str">
        <f>Assm!T22</f>
        <v>Average Life Of Loan</v>
      </c>
      <c r="C24" s="336">
        <f>Assm!X22</f>
        <v>0</v>
      </c>
      <c r="D24" s="8"/>
      <c r="F24" s="911"/>
      <c r="G24" s="903"/>
      <c r="H24" s="902"/>
      <c r="I24" s="904"/>
    </row>
    <row r="25" spans="1:9">
      <c r="A25" s="586"/>
      <c r="B25" s="8" t="str">
        <f>Assm!T23</f>
        <v>Interest Rate / Spread</v>
      </c>
      <c r="C25" s="121">
        <f>Assm!X23</f>
        <v>9.2700000000000005E-2</v>
      </c>
      <c r="D25" s="8"/>
      <c r="F25" s="911"/>
      <c r="G25" s="903"/>
      <c r="H25" s="902"/>
      <c r="I25" s="904"/>
    </row>
    <row r="26" spans="1:9">
      <c r="A26" s="586"/>
      <c r="B26" s="8" t="str">
        <f>Assm!T24</f>
        <v>Upfront Fee</v>
      </c>
      <c r="C26" s="111">
        <f>Assm!X24</f>
        <v>1.4999999999999999E-2</v>
      </c>
      <c r="D26" s="8"/>
      <c r="F26" s="911"/>
      <c r="G26" s="903"/>
      <c r="H26" s="902"/>
      <c r="I26" s="904"/>
    </row>
    <row r="27" spans="1:9">
      <c r="A27" s="586"/>
      <c r="B27" s="8" t="str">
        <f>Assm!T25</f>
        <v>Commitment Fee</v>
      </c>
      <c r="C27" s="111">
        <f>Assm!X25</f>
        <v>2.5000000000000001E-3</v>
      </c>
      <c r="D27" s="8"/>
      <c r="F27" s="911"/>
      <c r="G27" s="903"/>
      <c r="H27" s="902"/>
      <c r="I27" s="904"/>
    </row>
    <row r="28" spans="1:9">
      <c r="A28" s="586"/>
      <c r="B28" s="32" t="str">
        <f>Assm!T26</f>
        <v xml:space="preserve">Tranche 3: </v>
      </c>
      <c r="C28" s="81"/>
      <c r="D28" s="8"/>
      <c r="F28" s="911"/>
      <c r="G28" s="903"/>
      <c r="H28" s="902"/>
      <c r="I28" s="904"/>
    </row>
    <row r="29" spans="1:9">
      <c r="A29" s="586"/>
      <c r="B29" s="8" t="str">
        <f>Assm!T27</f>
        <v>Amount</v>
      </c>
      <c r="C29" s="335">
        <f>Assm!X27</f>
        <v>0</v>
      </c>
      <c r="D29" s="8"/>
      <c r="F29" s="911" t="s">
        <v>778</v>
      </c>
      <c r="G29" s="903">
        <v>36391</v>
      </c>
      <c r="H29" s="902" t="s">
        <v>69</v>
      </c>
      <c r="I29" s="904" t="s">
        <v>779</v>
      </c>
    </row>
    <row r="30" spans="1:9">
      <c r="A30" s="586"/>
      <c r="B30" s="8" t="str">
        <f>Assm!T28</f>
        <v>Loan Amortization (1=S/L, 2=MTG, 3=Custom)</v>
      </c>
      <c r="C30" s="116" t="str">
        <f>IF(Assm!X28=0,"Not Amortized",CHOOSE(Assm!X28,"Straightline","Mortgage","Custom"))</f>
        <v>Not Amortized</v>
      </c>
      <c r="D30" s="8"/>
      <c r="F30" s="911"/>
      <c r="G30" s="903"/>
      <c r="H30" s="902"/>
      <c r="I30" s="904"/>
    </row>
    <row r="31" spans="1:9">
      <c r="A31" s="586"/>
      <c r="B31" s="8" t="str">
        <f>Assm!T29</f>
        <v>Term (Years) - Post Closing</v>
      </c>
      <c r="C31" s="336">
        <f ca="1">Assm!X29</f>
        <v>0</v>
      </c>
      <c r="D31" s="8"/>
      <c r="F31" s="911"/>
      <c r="G31" s="903"/>
      <c r="H31" s="902"/>
      <c r="I31" s="904"/>
    </row>
    <row r="32" spans="1:9">
      <c r="A32" s="586"/>
      <c r="B32" s="8" t="str">
        <f>Assm!T30</f>
        <v>Grace (Periods) - Post Closing</v>
      </c>
      <c r="C32" s="336">
        <f>Assm!X30</f>
        <v>0</v>
      </c>
      <c r="D32" s="8"/>
      <c r="F32" s="911"/>
      <c r="G32" s="903"/>
      <c r="H32" s="902"/>
      <c r="I32" s="904"/>
    </row>
    <row r="33" spans="1:9">
      <c r="A33" s="586"/>
      <c r="B33" s="8" t="str">
        <f>Assm!T31</f>
        <v>Average Life Of Loan (Years)</v>
      </c>
      <c r="C33" s="336">
        <f>Assm!X31</f>
        <v>0</v>
      </c>
      <c r="D33" s="8"/>
      <c r="F33" s="911"/>
      <c r="G33" s="903"/>
      <c r="H33" s="902"/>
      <c r="I33" s="904"/>
    </row>
    <row r="34" spans="1:9">
      <c r="A34" s="586"/>
      <c r="B34" s="8" t="str">
        <f>Assm!T32</f>
        <v>Interest Rate / Spread</v>
      </c>
      <c r="C34" s="121">
        <f>Assm!X32</f>
        <v>0</v>
      </c>
      <c r="D34" s="8"/>
      <c r="F34" s="911"/>
      <c r="G34" s="903"/>
      <c r="H34" s="902"/>
      <c r="I34" s="904"/>
    </row>
    <row r="35" spans="1:9">
      <c r="A35" s="586"/>
      <c r="B35" s="8" t="str">
        <f>Assm!T33</f>
        <v>Upfront Fee</v>
      </c>
      <c r="C35" s="111">
        <f>Assm!X33</f>
        <v>0</v>
      </c>
      <c r="D35" s="8"/>
      <c r="F35" s="911"/>
      <c r="G35" s="903"/>
      <c r="H35" s="902"/>
      <c r="I35" s="904"/>
    </row>
    <row r="36" spans="1:9">
      <c r="A36" s="586"/>
      <c r="B36" s="8" t="str">
        <f>Assm!T34</f>
        <v>Commitment Fee</v>
      </c>
      <c r="C36" s="111">
        <f>Assm!X34</f>
        <v>0</v>
      </c>
      <c r="D36" s="8"/>
      <c r="F36" s="911"/>
      <c r="G36" s="903"/>
      <c r="H36" s="902"/>
      <c r="I36" s="904"/>
    </row>
    <row r="37" spans="1:9">
      <c r="A37" s="586"/>
      <c r="B37" s="32" t="str">
        <f>Assm!T35</f>
        <v>Tranche 4:</v>
      </c>
      <c r="C37" s="81"/>
      <c r="D37" s="8"/>
      <c r="F37" s="911"/>
      <c r="G37" s="903"/>
      <c r="H37" s="902"/>
      <c r="I37" s="904"/>
    </row>
    <row r="38" spans="1:9">
      <c r="A38" s="586"/>
      <c r="B38" s="8" t="str">
        <f>Assm!T36</f>
        <v>Amount</v>
      </c>
      <c r="C38" s="335">
        <f>Assm!X36</f>
        <v>0</v>
      </c>
      <c r="D38" s="8"/>
      <c r="F38" s="911" t="s">
        <v>778</v>
      </c>
      <c r="G38" s="903">
        <v>36391</v>
      </c>
      <c r="H38" s="902" t="s">
        <v>69</v>
      </c>
      <c r="I38" s="904" t="s">
        <v>779</v>
      </c>
    </row>
    <row r="39" spans="1:9">
      <c r="A39" s="586"/>
      <c r="B39" s="8" t="str">
        <f>Assm!T37</f>
        <v>Loan Amortization (1=S/L, 2=MTG, 3=Custom)</v>
      </c>
      <c r="C39" s="116" t="str">
        <f>IF(Assm!X37=0,"Not Amortized",CHOOSE(Assm!X37,"Straightline","Mortgage","Custom"))</f>
        <v>Not Amortized</v>
      </c>
      <c r="D39" s="8"/>
      <c r="F39" s="911"/>
      <c r="G39" s="903"/>
      <c r="H39" s="902"/>
      <c r="I39" s="904"/>
    </row>
    <row r="40" spans="1:9">
      <c r="A40" s="586"/>
      <c r="B40" s="8" t="str">
        <f>Assm!T38</f>
        <v>Term (Years) - Post Closing</v>
      </c>
      <c r="C40" s="336">
        <f ca="1">Assm!X38</f>
        <v>0</v>
      </c>
      <c r="D40" s="8"/>
      <c r="F40" s="911"/>
      <c r="G40" s="903"/>
      <c r="H40" s="902"/>
      <c r="I40" s="904"/>
    </row>
    <row r="41" spans="1:9">
      <c r="A41" s="586"/>
      <c r="B41" s="8" t="str">
        <f>Assm!T39</f>
        <v>Grace (Periods) - Post Closing</v>
      </c>
      <c r="C41" s="336">
        <f>Assm!X39</f>
        <v>0</v>
      </c>
      <c r="D41" s="8"/>
      <c r="F41" s="911"/>
      <c r="G41" s="903"/>
      <c r="H41" s="902"/>
      <c r="I41" s="904"/>
    </row>
    <row r="42" spans="1:9">
      <c r="A42" s="586"/>
      <c r="B42" s="8" t="str">
        <f>Assm!T40</f>
        <v>Average Life Of Loan (Years)</v>
      </c>
      <c r="C42" s="336">
        <f>Assm!X40</f>
        <v>0</v>
      </c>
      <c r="D42" s="8"/>
      <c r="F42" s="911"/>
      <c r="G42" s="903"/>
      <c r="H42" s="902"/>
      <c r="I42" s="904"/>
    </row>
    <row r="43" spans="1:9">
      <c r="A43" s="586"/>
      <c r="B43" s="8" t="str">
        <f>Assm!T41</f>
        <v>Interest Rate / Spread</v>
      </c>
      <c r="C43" s="121">
        <f>Assm!X41</f>
        <v>0</v>
      </c>
      <c r="D43" s="8"/>
      <c r="F43" s="911"/>
      <c r="G43" s="903"/>
      <c r="H43" s="902"/>
      <c r="I43" s="904"/>
    </row>
    <row r="44" spans="1:9">
      <c r="A44" s="586"/>
      <c r="B44" s="8" t="str">
        <f>Assm!T42</f>
        <v>Upfront Fee</v>
      </c>
      <c r="C44" s="121">
        <f>Assm!X42</f>
        <v>0</v>
      </c>
      <c r="D44" s="8"/>
      <c r="F44" s="911"/>
      <c r="G44" s="903"/>
      <c r="H44" s="902"/>
      <c r="I44" s="904"/>
    </row>
    <row r="45" spans="1:9">
      <c r="A45" s="586"/>
      <c r="B45" s="8" t="str">
        <f>Assm!T43</f>
        <v>Commitment Fee</v>
      </c>
      <c r="C45" s="121">
        <f>Assm!X43</f>
        <v>0</v>
      </c>
      <c r="D45" s="8"/>
      <c r="F45" s="911"/>
      <c r="G45" s="903"/>
      <c r="H45" s="902"/>
      <c r="I45" s="904"/>
    </row>
    <row r="46" spans="1:9">
      <c r="A46" s="586"/>
      <c r="B46" s="32" t="str">
        <f>Assm!T44</f>
        <v>Tranche 5:</v>
      </c>
      <c r="C46" s="81"/>
      <c r="D46" s="8"/>
      <c r="F46" s="911"/>
      <c r="G46" s="903"/>
      <c r="H46" s="902"/>
      <c r="I46" s="904"/>
    </row>
    <row r="47" spans="1:9">
      <c r="A47" s="586"/>
      <c r="B47" s="8" t="str">
        <f>Assm!T45</f>
        <v>Amount</v>
      </c>
      <c r="C47" s="335">
        <f>Assm!X45</f>
        <v>0</v>
      </c>
      <c r="D47" s="8"/>
      <c r="F47" s="911" t="s">
        <v>778</v>
      </c>
      <c r="G47" s="903">
        <v>36391</v>
      </c>
      <c r="H47" s="902" t="s">
        <v>69</v>
      </c>
      <c r="I47" s="904" t="s">
        <v>779</v>
      </c>
    </row>
    <row r="48" spans="1:9">
      <c r="A48" s="586"/>
      <c r="B48" s="8" t="str">
        <f>Assm!T46</f>
        <v>Loan Amortization (1=S/L, 2=MTG, 3=Custom)</v>
      </c>
      <c r="C48" s="116" t="str">
        <f>IF(Assm!X46=0,"Not Amortized",CHOOSE(Assm!X46,"Straightline","Mortgage","Custom"))</f>
        <v>Not Amortized</v>
      </c>
      <c r="D48" s="8"/>
      <c r="F48" s="911"/>
      <c r="G48" s="903"/>
      <c r="H48" s="902"/>
      <c r="I48" s="904"/>
    </row>
    <row r="49" spans="1:9">
      <c r="A49" s="586"/>
      <c r="B49" s="8" t="str">
        <f>Assm!T47</f>
        <v>Term (Years) - Post Closing</v>
      </c>
      <c r="C49" s="336">
        <f ca="1">Assm!X47</f>
        <v>0</v>
      </c>
      <c r="D49" s="8"/>
      <c r="F49" s="911"/>
      <c r="G49" s="903"/>
      <c r="H49" s="902"/>
      <c r="I49" s="904"/>
    </row>
    <row r="50" spans="1:9">
      <c r="A50" s="586"/>
      <c r="B50" s="8" t="str">
        <f>Assm!T48</f>
        <v>Grace (Periods) - Post Closing</v>
      </c>
      <c r="C50" s="336">
        <f>Assm!X48</f>
        <v>0</v>
      </c>
      <c r="D50" s="8"/>
      <c r="F50" s="911"/>
      <c r="G50" s="903"/>
      <c r="H50" s="902"/>
      <c r="I50" s="904"/>
    </row>
    <row r="51" spans="1:9">
      <c r="A51" s="586"/>
      <c r="B51" s="8" t="str">
        <f>Assm!T49</f>
        <v>Average Life Of Loan (Years)</v>
      </c>
      <c r="C51" s="336">
        <f>Assm!X49</f>
        <v>0</v>
      </c>
      <c r="D51" s="8"/>
      <c r="F51" s="911"/>
      <c r="G51" s="903"/>
      <c r="H51" s="902"/>
      <c r="I51" s="904"/>
    </row>
    <row r="52" spans="1:9">
      <c r="A52" s="586"/>
      <c r="B52" s="8" t="str">
        <f>Assm!T50</f>
        <v>Interest Rate / Spread</v>
      </c>
      <c r="C52" s="121">
        <f>Assm!X50</f>
        <v>0</v>
      </c>
      <c r="D52" s="8"/>
      <c r="F52" s="911"/>
      <c r="G52" s="903"/>
      <c r="H52" s="902"/>
      <c r="I52" s="904"/>
    </row>
    <row r="53" spans="1:9">
      <c r="A53" s="586"/>
      <c r="B53" s="8" t="str">
        <f>Assm!T51</f>
        <v>Upfront Fee</v>
      </c>
      <c r="C53" s="121">
        <f>Assm!X51</f>
        <v>0</v>
      </c>
      <c r="D53" s="8"/>
      <c r="F53" s="911"/>
      <c r="G53" s="903"/>
      <c r="H53" s="902"/>
      <c r="I53" s="904"/>
    </row>
    <row r="54" spans="1:9">
      <c r="A54" s="586"/>
      <c r="B54" s="8" t="str">
        <f>Assm!T52</f>
        <v>Commitment Fee</v>
      </c>
      <c r="C54" s="121">
        <f>Assm!X52</f>
        <v>0</v>
      </c>
      <c r="D54" s="8"/>
      <c r="F54" s="911"/>
      <c r="G54" s="903"/>
      <c r="H54" s="902"/>
      <c r="I54" s="904"/>
    </row>
    <row r="55" spans="1:9">
      <c r="A55" s="586"/>
      <c r="B55" s="32" t="str">
        <f>Assm!T53</f>
        <v>Tranche 6: Subordinated Debt</v>
      </c>
      <c r="C55" s="81"/>
      <c r="D55" s="8"/>
      <c r="F55" s="911"/>
      <c r="G55" s="903"/>
      <c r="H55" s="902"/>
      <c r="I55" s="904"/>
    </row>
    <row r="56" spans="1:9">
      <c r="A56" s="586"/>
      <c r="B56" s="8" t="str">
        <f>Assm!T54</f>
        <v>Amount</v>
      </c>
      <c r="C56" s="335">
        <f ca="1">Assm!X54</f>
        <v>2473.6369961856835</v>
      </c>
      <c r="D56" s="8"/>
      <c r="F56" s="911" t="s">
        <v>778</v>
      </c>
      <c r="G56" s="903">
        <v>36391</v>
      </c>
      <c r="H56" s="902" t="s">
        <v>69</v>
      </c>
      <c r="I56" s="904" t="s">
        <v>779</v>
      </c>
    </row>
    <row r="57" spans="1:9">
      <c r="A57" s="586"/>
      <c r="B57" s="8" t="str">
        <f>Assm!T55</f>
        <v>Loan Amortization (1=S/L, 2=MTG, 3=Custom)</v>
      </c>
      <c r="C57" s="116" t="str">
        <f>IF(Assm!X55=0,"Not Amortized",CHOOSE(Assm!X55,"Straightline","Mortgage","Custom"))</f>
        <v>Mortgage</v>
      </c>
      <c r="D57" s="8"/>
      <c r="F57" s="911"/>
      <c r="G57" s="903"/>
      <c r="H57" s="902"/>
      <c r="I57" s="904"/>
    </row>
    <row r="58" spans="1:9">
      <c r="A58" s="586"/>
      <c r="B58" s="8" t="str">
        <f>Assm!T56</f>
        <v>Term (Years) - Post Closing</v>
      </c>
      <c r="C58" s="336">
        <f ca="1">Assm!X56</f>
        <v>23</v>
      </c>
      <c r="D58" s="8"/>
      <c r="F58" s="911"/>
      <c r="G58" s="903"/>
      <c r="H58" s="902"/>
      <c r="I58" s="904"/>
    </row>
    <row r="59" spans="1:9">
      <c r="A59" s="586"/>
      <c r="B59" s="8" t="str">
        <f>Assm!T57</f>
        <v>Grace (Periods) - Post Closing</v>
      </c>
      <c r="C59" s="336">
        <f>Assm!X57</f>
        <v>1</v>
      </c>
      <c r="D59" s="8"/>
      <c r="F59" s="911"/>
      <c r="G59" s="903"/>
      <c r="H59" s="902"/>
      <c r="I59" s="904"/>
    </row>
    <row r="60" spans="1:9">
      <c r="A60" s="586"/>
      <c r="B60" s="8" t="str">
        <f>Assm!T58</f>
        <v>Average Life Of Loan (Years)</v>
      </c>
      <c r="C60" s="336">
        <f ca="1">Assm!X58</f>
        <v>8.9</v>
      </c>
      <c r="D60" s="8"/>
      <c r="F60" s="911"/>
      <c r="G60" s="903"/>
      <c r="H60" s="902"/>
      <c r="I60" s="904"/>
    </row>
    <row r="61" spans="1:9">
      <c r="A61" s="586"/>
      <c r="B61" s="8" t="str">
        <f>Assm!T59</f>
        <v>Interest Rate / Spread</v>
      </c>
      <c r="C61" s="121">
        <f>Assm!X59</f>
        <v>0.13</v>
      </c>
      <c r="D61" s="8"/>
      <c r="F61" s="911"/>
      <c r="G61" s="903"/>
      <c r="H61" s="902"/>
      <c r="I61" s="904"/>
    </row>
    <row r="62" spans="1:9">
      <c r="A62" s="586"/>
      <c r="B62" s="8" t="str">
        <f>Assm!T60</f>
        <v>Upfront Fee</v>
      </c>
      <c r="C62" s="121">
        <f>Assm!X60</f>
        <v>0</v>
      </c>
      <c r="D62" s="8"/>
      <c r="F62" s="911"/>
      <c r="G62" s="903"/>
      <c r="H62" s="902"/>
      <c r="I62" s="904"/>
    </row>
    <row r="63" spans="1:9" ht="13.5" thickBot="1">
      <c r="A63" s="587"/>
      <c r="B63" s="76" t="str">
        <f>Assm!T61</f>
        <v>Commitment Fee</v>
      </c>
      <c r="C63" s="1003">
        <f>Assm!X61</f>
        <v>0</v>
      </c>
      <c r="D63" s="76"/>
      <c r="E63" s="76"/>
      <c r="F63" s="1004"/>
      <c r="G63" s="906"/>
      <c r="H63" s="905"/>
      <c r="I63" s="907"/>
    </row>
    <row r="64" spans="1:9" ht="13.5" thickBot="1"/>
    <row r="65" spans="1:9" s="8" customFormat="1">
      <c r="A65" s="583" t="str">
        <f>Assm!T67</f>
        <v>Capital Structure ($000)</v>
      </c>
      <c r="B65" s="580" t="str">
        <f>Assm!T68</f>
        <v>Senior Debt</v>
      </c>
      <c r="C65" s="600">
        <f ca="1">Assm!W68</f>
        <v>0.6</v>
      </c>
      <c r="D65" s="1001">
        <f ca="1">Assm!$X$68</f>
        <v>93710.455509278516</v>
      </c>
      <c r="E65" s="1002"/>
      <c r="F65" s="910" t="s">
        <v>778</v>
      </c>
      <c r="G65" s="900">
        <v>36391</v>
      </c>
      <c r="H65" s="899" t="s">
        <v>69</v>
      </c>
      <c r="I65" s="901" t="s">
        <v>779</v>
      </c>
    </row>
    <row r="66" spans="1:9">
      <c r="A66" s="586"/>
      <c r="B66" s="13" t="str">
        <f>Assm!T70</f>
        <v>Equity</v>
      </c>
      <c r="C66" s="113">
        <f ca="1">Assm!W70</f>
        <v>0.38416204264886478</v>
      </c>
      <c r="D66" s="688">
        <f ca="1">Assm!$X$70</f>
        <v>60000.000010000003</v>
      </c>
      <c r="E66" s="334"/>
      <c r="F66" s="911" t="s">
        <v>778</v>
      </c>
      <c r="G66" s="903">
        <v>36391</v>
      </c>
      <c r="H66" s="902" t="s">
        <v>69</v>
      </c>
      <c r="I66" s="904" t="s">
        <v>779</v>
      </c>
    </row>
    <row r="67" spans="1:9" ht="13.5" thickBot="1">
      <c r="A67" s="587"/>
      <c r="B67" s="582" t="str">
        <f>Assm!T71</f>
        <v>Total Investment</v>
      </c>
      <c r="C67" s="599">
        <f ca="1">SUM(C65:C66)</f>
        <v>0.98416204264886475</v>
      </c>
      <c r="D67" s="689">
        <f ca="1">SUM(D65:D66)</f>
        <v>153710.45551927853</v>
      </c>
      <c r="E67" s="619"/>
      <c r="F67" s="912"/>
      <c r="G67" s="906"/>
      <c r="H67" s="905"/>
      <c r="I67" s="907"/>
    </row>
  </sheetData>
  <printOptions horizontalCentered="1"/>
  <pageMargins left="0.25" right="0.25" top="0.5" bottom="0.5" header="0.25" footer="0.25"/>
  <pageSetup scale="5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AD25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0" width="20.7109375" style="5" customWidth="1"/>
    <col min="11" max="11" width="32.28515625" style="5" customWidth="1"/>
    <col min="12" max="16384" width="9.140625" style="5"/>
  </cols>
  <sheetData>
    <row r="1" spans="1:30" s="240" customFormat="1" ht="15.75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  <c r="J1" s="288"/>
      <c r="K1" s="289"/>
      <c r="L1" s="288"/>
      <c r="M1" s="288"/>
      <c r="N1" s="290"/>
      <c r="O1" s="288"/>
      <c r="P1" s="288"/>
      <c r="Q1" s="288"/>
      <c r="R1" s="288"/>
      <c r="S1" s="288"/>
      <c r="T1" s="288"/>
      <c r="U1" s="288"/>
      <c r="V1" s="291"/>
      <c r="W1" s="288"/>
      <c r="X1" s="288"/>
      <c r="Y1" s="288"/>
      <c r="Z1" s="288"/>
      <c r="AA1" s="288"/>
      <c r="AB1" s="283"/>
      <c r="AC1" s="283"/>
      <c r="AD1" s="23"/>
    </row>
    <row r="2" spans="1:30" s="240" customFormat="1" ht="15.75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  <c r="J2" s="288"/>
      <c r="K2" s="289"/>
      <c r="L2" s="288"/>
      <c r="M2" s="288"/>
      <c r="N2" s="290"/>
      <c r="O2" s="288"/>
      <c r="P2" s="288"/>
      <c r="Q2" s="288"/>
      <c r="R2" s="288"/>
      <c r="S2" s="288"/>
      <c r="T2" s="288"/>
      <c r="U2" s="288"/>
      <c r="V2" s="291"/>
      <c r="W2" s="288"/>
      <c r="X2" s="288"/>
      <c r="Y2" s="288"/>
      <c r="Z2" s="288"/>
      <c r="AA2" s="288"/>
      <c r="AB2" s="283"/>
      <c r="AC2" s="283"/>
      <c r="AD2" s="23"/>
    </row>
    <row r="3" spans="1:30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  <c r="J3" s="288"/>
      <c r="K3" s="289"/>
      <c r="L3" s="288"/>
      <c r="M3" s="288"/>
      <c r="N3" s="290"/>
      <c r="O3" s="288"/>
      <c r="P3" s="288"/>
      <c r="Q3" s="288"/>
      <c r="R3" s="288"/>
      <c r="S3" s="288"/>
      <c r="T3" s="288"/>
      <c r="U3" s="288"/>
      <c r="V3" s="288"/>
      <c r="W3" s="293"/>
      <c r="X3" s="293"/>
      <c r="Y3" s="288"/>
      <c r="Z3" s="288"/>
      <c r="AA3" s="288"/>
      <c r="AB3" s="283"/>
      <c r="AC3" s="283"/>
      <c r="AD3" s="23"/>
    </row>
    <row r="4" spans="1:30" s="240" customFormat="1" ht="15.75">
      <c r="A4" s="873" t="s">
        <v>641</v>
      </c>
      <c r="B4" s="135"/>
      <c r="C4" s="283"/>
      <c r="D4" s="135"/>
      <c r="E4" s="135"/>
      <c r="F4" s="288"/>
      <c r="G4" s="134"/>
      <c r="H4" s="288"/>
      <c r="I4" s="292"/>
      <c r="J4" s="288"/>
      <c r="K4" s="289"/>
      <c r="L4" s="288"/>
      <c r="M4" s="288"/>
      <c r="N4" s="290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3"/>
      <c r="AC4" s="283"/>
      <c r="AD4" s="23"/>
    </row>
    <row r="5" spans="1:30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>
      <c r="A6" s="568"/>
      <c r="B6" s="569"/>
      <c r="C6" s="569"/>
      <c r="D6" s="673"/>
      <c r="E6" s="570"/>
      <c r="F6" s="571"/>
      <c r="G6" s="571"/>
      <c r="H6" s="571" t="s">
        <v>59</v>
      </c>
      <c r="I6" s="572"/>
    </row>
    <row r="7" spans="1:30">
      <c r="A7" s="573"/>
      <c r="B7" s="68"/>
      <c r="C7" s="68"/>
      <c r="D7" s="55"/>
      <c r="E7" s="56"/>
      <c r="F7" s="30"/>
      <c r="G7" s="30" t="s">
        <v>430</v>
      </c>
      <c r="H7" s="30" t="s">
        <v>60</v>
      </c>
      <c r="I7" s="448"/>
    </row>
    <row r="8" spans="1:30" ht="13.5" thickBot="1">
      <c r="A8" s="574" t="s">
        <v>61</v>
      </c>
      <c r="B8" s="575" t="s">
        <v>62</v>
      </c>
      <c r="C8" s="576" t="s">
        <v>63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30" s="8" customFormat="1" ht="13.5" thickBot="1"/>
    <row r="10" spans="1:30">
      <c r="A10" s="583" t="str">
        <f>Assm!T63</f>
        <v>Other Senior Debt Fees</v>
      </c>
      <c r="B10" s="580" t="str">
        <f>Assm!U63</f>
        <v>OPIC Agency Fee ($000)</v>
      </c>
      <c r="C10" s="650"/>
      <c r="D10" s="1087">
        <f>Assm!X63</f>
        <v>100</v>
      </c>
      <c r="E10" s="585"/>
      <c r="F10" s="899" t="s">
        <v>778</v>
      </c>
      <c r="G10" s="900">
        <v>36391</v>
      </c>
      <c r="H10" s="899" t="s">
        <v>69</v>
      </c>
      <c r="I10" s="901" t="s">
        <v>779</v>
      </c>
    </row>
    <row r="11" spans="1:30">
      <c r="A11" s="704"/>
      <c r="B11" s="13" t="str">
        <f>Assm!U64</f>
        <v>EPE Percent / Amount</v>
      </c>
      <c r="C11" s="1088">
        <f>Assm!W64</f>
        <v>0.3</v>
      </c>
      <c r="D11" s="156">
        <f>Assm!X64</f>
        <v>30</v>
      </c>
      <c r="E11" s="9"/>
      <c r="F11" s="902" t="s">
        <v>778</v>
      </c>
      <c r="G11" s="903">
        <v>36391</v>
      </c>
      <c r="H11" s="902" t="s">
        <v>69</v>
      </c>
      <c r="I11" s="904" t="s">
        <v>779</v>
      </c>
    </row>
    <row r="12" spans="1:30" ht="13.5" thickBot="1">
      <c r="A12" s="587"/>
      <c r="B12" s="582" t="str">
        <f>Assm!U65</f>
        <v>Final Year Of Payment</v>
      </c>
      <c r="C12" s="1089">
        <f ca="1">Assm!W65</f>
        <v>2015</v>
      </c>
      <c r="D12" s="934"/>
      <c r="E12" s="588"/>
      <c r="F12" s="905" t="s">
        <v>778</v>
      </c>
      <c r="G12" s="906">
        <v>36391</v>
      </c>
      <c r="H12" s="905" t="s">
        <v>69</v>
      </c>
      <c r="I12" s="907" t="s">
        <v>779</v>
      </c>
    </row>
    <row r="13" spans="1:30" ht="13.5" thickBot="1"/>
    <row r="14" spans="1:30">
      <c r="A14" s="583" t="str">
        <f>Assm!T77</f>
        <v>DS Coverage Ratios</v>
      </c>
      <c r="B14" s="580"/>
      <c r="C14" s="616" t="s">
        <v>448</v>
      </c>
      <c r="D14" s="680" t="s">
        <v>119</v>
      </c>
      <c r="E14" s="590"/>
      <c r="F14" s="899"/>
      <c r="G14" s="900"/>
      <c r="H14" s="899"/>
      <c r="I14" s="901"/>
    </row>
    <row r="15" spans="1:30">
      <c r="A15" s="586"/>
      <c r="B15" s="13" t="s">
        <v>646</v>
      </c>
      <c r="C15" s="661">
        <f>Assm!W78</f>
        <v>1.4</v>
      </c>
      <c r="D15" s="103">
        <f>Assm!W79</f>
        <v>1.8</v>
      </c>
      <c r="E15" s="663"/>
      <c r="F15" s="902" t="s">
        <v>436</v>
      </c>
      <c r="G15" s="903">
        <v>36166</v>
      </c>
      <c r="H15" s="902" t="s">
        <v>69</v>
      </c>
      <c r="I15" s="904" t="s">
        <v>784</v>
      </c>
    </row>
    <row r="16" spans="1:30">
      <c r="A16" s="586"/>
      <c r="B16" s="13" t="s">
        <v>647</v>
      </c>
      <c r="C16" s="661">
        <f ca="1">Assm!U78</f>
        <v>1.0869812210855803</v>
      </c>
      <c r="D16" s="103">
        <f ca="1">Assm!U79</f>
        <v>2.1839852057774869</v>
      </c>
      <c r="E16" s="663"/>
      <c r="F16" s="902" t="s">
        <v>82</v>
      </c>
      <c r="G16" s="903"/>
      <c r="H16" s="902"/>
      <c r="I16" s="904"/>
    </row>
    <row r="17" spans="1:9" ht="13.5" thickBot="1">
      <c r="A17" s="587"/>
      <c r="B17" s="582" t="s">
        <v>648</v>
      </c>
      <c r="C17" s="662">
        <f ca="1">Assm!V78</f>
        <v>1.0869812210855803</v>
      </c>
      <c r="D17" s="175">
        <f ca="1">Assm!V79</f>
        <v>1.957035809515151</v>
      </c>
      <c r="E17" s="664"/>
      <c r="F17" s="905" t="s">
        <v>82</v>
      </c>
      <c r="G17" s="906"/>
      <c r="H17" s="905"/>
      <c r="I17" s="907"/>
    </row>
    <row r="18" spans="1:9" s="8" customFormat="1" ht="13.5" thickBot="1">
      <c r="G18" s="82"/>
      <c r="H18" s="152"/>
    </row>
    <row r="19" spans="1:9">
      <c r="A19" s="583" t="str">
        <f>Assm!T81</f>
        <v>Debt Reserve</v>
      </c>
      <c r="B19" s="585" t="str">
        <f>Assm!V81</f>
        <v>Service To Be Provided By</v>
      </c>
      <c r="C19" s="395" t="str">
        <f>Assm!W81</f>
        <v>Dressner Bank</v>
      </c>
      <c r="D19" s="73"/>
      <c r="E19" s="585"/>
      <c r="F19" s="899" t="s">
        <v>436</v>
      </c>
      <c r="G19" s="900">
        <v>36389</v>
      </c>
      <c r="H19" s="899" t="s">
        <v>69</v>
      </c>
      <c r="I19" s="901" t="s">
        <v>475</v>
      </c>
    </row>
    <row r="20" spans="1:9">
      <c r="A20" s="704"/>
      <c r="B20" s="13" t="str">
        <f>Assm!V82</f>
        <v>Months Of Debt Service Required</v>
      </c>
      <c r="C20" s="3">
        <f>Assm!U82</f>
        <v>6</v>
      </c>
      <c r="D20" s="8"/>
      <c r="E20" s="9"/>
      <c r="F20" s="902" t="s">
        <v>783</v>
      </c>
      <c r="G20" s="903">
        <v>36019</v>
      </c>
      <c r="H20" s="902" t="s">
        <v>69</v>
      </c>
      <c r="I20" s="904" t="s">
        <v>887</v>
      </c>
    </row>
    <row r="21" spans="1:9" ht="13.5" thickBot="1">
      <c r="A21" s="587"/>
      <c r="B21" s="582" t="str">
        <f>Assm!V83</f>
        <v>L/C Fee p.a.</v>
      </c>
      <c r="C21" s="597">
        <f>Assm!U83</f>
        <v>2.5000000000000001E-2</v>
      </c>
      <c r="D21" s="76"/>
      <c r="E21" s="588"/>
      <c r="F21" s="905" t="s">
        <v>783</v>
      </c>
      <c r="G21" s="906">
        <v>36019</v>
      </c>
      <c r="H21" s="905" t="s">
        <v>69</v>
      </c>
      <c r="I21" s="907" t="s">
        <v>887</v>
      </c>
    </row>
    <row r="22" spans="1:9" ht="13.5" thickBot="1"/>
    <row r="23" spans="1:9">
      <c r="A23" s="583" t="str">
        <f>Assm!T85</f>
        <v>Shareholder Constr Loan</v>
      </c>
      <c r="B23" s="580" t="str">
        <f>Assm!T86</f>
        <v>Amount</v>
      </c>
      <c r="C23" s="598">
        <f ca="1">Assm!$U86</f>
        <v>70129.403773188504</v>
      </c>
      <c r="D23" s="73"/>
      <c r="E23" s="585"/>
      <c r="F23" s="899" t="s">
        <v>82</v>
      </c>
      <c r="G23" s="900"/>
      <c r="H23" s="899"/>
      <c r="I23" s="857"/>
    </row>
    <row r="24" spans="1:9">
      <c r="A24" s="586"/>
      <c r="B24" s="13" t="str">
        <f>Assm!T87</f>
        <v>Interest Rate</v>
      </c>
      <c r="C24" s="111">
        <f>Int_BL</f>
        <v>0.06</v>
      </c>
      <c r="D24" s="8"/>
      <c r="E24" s="9"/>
      <c r="F24" s="902" t="s">
        <v>888</v>
      </c>
      <c r="G24" s="903">
        <v>36004</v>
      </c>
      <c r="H24" s="902" t="s">
        <v>470</v>
      </c>
      <c r="I24" s="826" t="s">
        <v>889</v>
      </c>
    </row>
    <row r="25" spans="1:9" ht="13.5" thickBot="1">
      <c r="A25" s="587"/>
      <c r="B25" s="582" t="str">
        <f>Assm!W87</f>
        <v>Enron Cost Of Funds</v>
      </c>
      <c r="C25" s="599">
        <f>Assm!$X87</f>
        <v>6.5000000000000002E-2</v>
      </c>
      <c r="D25" s="76"/>
      <c r="E25" s="588"/>
      <c r="F25" s="905" t="s">
        <v>785</v>
      </c>
      <c r="G25" s="906">
        <v>36217</v>
      </c>
      <c r="H25" s="905" t="s">
        <v>786</v>
      </c>
      <c r="I25" s="828" t="s">
        <v>787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X289"/>
  <sheetViews>
    <sheetView showGridLines="0" tabSelected="1" zoomScale="90" workbookViewId="0">
      <selection activeCell="M21" sqref="M21"/>
    </sheetView>
  </sheetViews>
  <sheetFormatPr defaultRowHeight="12.75"/>
  <cols>
    <col min="1" max="1" width="9.28515625" style="728" customWidth="1"/>
    <col min="2" max="2" width="2.42578125" style="728" customWidth="1"/>
    <col min="3" max="3" width="9.28515625" style="5" customWidth="1"/>
    <col min="4" max="4" width="15.42578125" style="726" bestFit="1" customWidth="1"/>
    <col min="5" max="6" width="11" style="728" customWidth="1"/>
    <col min="7" max="7" width="11" style="726" customWidth="1"/>
    <col min="8" max="10" width="11" style="728" customWidth="1"/>
    <col min="11" max="11" width="11" style="726" customWidth="1"/>
    <col min="12" max="13" width="11" style="728" customWidth="1"/>
    <col min="14" max="14" width="12.7109375" style="5" customWidth="1"/>
    <col min="15" max="15" width="13.7109375" style="5" customWidth="1"/>
    <col min="16" max="16" width="12.7109375" style="5" customWidth="1"/>
    <col min="17" max="17" width="13.7109375" style="5" customWidth="1"/>
    <col min="18" max="18" width="12.7109375" style="5" customWidth="1"/>
    <col min="19" max="19" width="13.7109375" style="5" customWidth="1"/>
    <col min="20" max="24" width="9.140625" style="5"/>
    <col min="25" max="16384" width="9.140625" style="728"/>
  </cols>
  <sheetData>
    <row r="1" spans="1:13" s="726" customFormat="1" ht="15.75">
      <c r="A1" s="987" t="str">
        <f>Assm!A1</f>
        <v>GAS ORIENTE BOLIVIANO S.A. (GASBOL) *** DRAFT COPY ***</v>
      </c>
      <c r="C1" s="8"/>
    </row>
    <row r="2" spans="1:13" s="726" customFormat="1" ht="15.75">
      <c r="A2" s="987" t="str">
        <f>Assm!A2</f>
        <v>369 KM PIPELINE SPUR FOR CUIABA POWER PLANT (BOLIVIA)</v>
      </c>
      <c r="C2" s="8"/>
    </row>
    <row r="3" spans="1:13" s="726" customFormat="1" ht="15">
      <c r="A3" s="244" t="str">
        <f>Assm!A3</f>
        <v>ENRON INTERNATIONAL</v>
      </c>
      <c r="C3" s="8"/>
    </row>
    <row r="4" spans="1:13" s="726" customFormat="1" ht="15">
      <c r="A4" s="915" t="s">
        <v>910</v>
      </c>
      <c r="B4" s="916"/>
      <c r="C4" s="882"/>
      <c r="D4" s="916"/>
      <c r="E4" s="916"/>
      <c r="F4" s="950"/>
      <c r="H4" s="949" t="s">
        <v>809</v>
      </c>
      <c r="I4" s="950"/>
    </row>
    <row r="5" spans="1:13" s="727" customFormat="1">
      <c r="C5" s="8"/>
      <c r="D5" s="726"/>
      <c r="F5" s="726"/>
      <c r="G5" s="726"/>
      <c r="I5" s="726"/>
      <c r="J5" s="726"/>
      <c r="K5" s="726"/>
      <c r="L5" s="726"/>
      <c r="M5" s="726"/>
    </row>
    <row r="6" spans="1:13">
      <c r="C6" s="1006" t="s">
        <v>706</v>
      </c>
      <c r="D6" s="755"/>
      <c r="E6" s="755"/>
      <c r="F6" s="755"/>
      <c r="G6" s="755"/>
      <c r="H6" s="755"/>
      <c r="I6" s="755"/>
      <c r="J6" s="755"/>
      <c r="K6" s="755"/>
      <c r="L6" s="755"/>
      <c r="M6" s="756"/>
    </row>
    <row r="7" spans="1:13" ht="13.5" thickBot="1">
      <c r="D7" s="728"/>
      <c r="G7" s="728"/>
      <c r="K7" s="728"/>
    </row>
    <row r="8" spans="1:13">
      <c r="A8" s="729"/>
      <c r="C8" s="730" t="s">
        <v>644</v>
      </c>
      <c r="D8" s="731" t="s">
        <v>807</v>
      </c>
      <c r="E8" s="731" t="s">
        <v>810</v>
      </c>
      <c r="F8" s="951" t="s">
        <v>810</v>
      </c>
      <c r="G8" s="952" t="s">
        <v>807</v>
      </c>
      <c r="H8" s="731" t="s">
        <v>814</v>
      </c>
      <c r="I8" s="951" t="s">
        <v>814</v>
      </c>
      <c r="J8" s="952" t="s">
        <v>700</v>
      </c>
      <c r="K8" s="731"/>
      <c r="L8" s="731" t="s">
        <v>700</v>
      </c>
      <c r="M8" s="732" t="s">
        <v>701</v>
      </c>
    </row>
    <row r="9" spans="1:13">
      <c r="A9" s="733"/>
      <c r="C9" s="359" t="s">
        <v>702</v>
      </c>
      <c r="D9" s="948" t="s">
        <v>808</v>
      </c>
      <c r="E9" s="734" t="s">
        <v>811</v>
      </c>
      <c r="F9" s="953" t="s">
        <v>813</v>
      </c>
      <c r="G9" s="954" t="s">
        <v>808</v>
      </c>
      <c r="H9" s="734" t="s">
        <v>811</v>
      </c>
      <c r="I9" s="953" t="s">
        <v>813</v>
      </c>
      <c r="J9" s="961" t="s">
        <v>813</v>
      </c>
      <c r="K9" s="735" t="str">
        <f ca="1">Escalation!N14</f>
        <v>US</v>
      </c>
      <c r="L9" s="734" t="s">
        <v>813</v>
      </c>
      <c r="M9" s="736" t="s">
        <v>813</v>
      </c>
    </row>
    <row r="10" spans="1:13">
      <c r="A10" s="737" t="s">
        <v>703</v>
      </c>
      <c r="C10" s="738" t="s">
        <v>104</v>
      </c>
      <c r="D10" s="45" t="s">
        <v>803</v>
      </c>
      <c r="E10" s="739" t="s">
        <v>812</v>
      </c>
      <c r="F10" s="955" t="s">
        <v>812</v>
      </c>
      <c r="G10" s="956" t="s">
        <v>806</v>
      </c>
      <c r="H10" s="739" t="s">
        <v>812</v>
      </c>
      <c r="I10" s="955" t="s">
        <v>812</v>
      </c>
      <c r="J10" s="962" t="s">
        <v>812</v>
      </c>
      <c r="K10" s="740" t="str">
        <f ca="1">Escalation!O14</f>
        <v>CPI</v>
      </c>
      <c r="L10" s="739" t="s">
        <v>699</v>
      </c>
      <c r="M10" s="741" t="s">
        <v>704</v>
      </c>
    </row>
    <row r="11" spans="1:13">
      <c r="A11" s="733"/>
      <c r="C11" s="139"/>
      <c r="D11" s="8"/>
      <c r="E11" s="726"/>
      <c r="F11" s="957"/>
      <c r="G11" s="958"/>
      <c r="H11" s="726"/>
      <c r="I11" s="957"/>
      <c r="J11" s="963"/>
      <c r="L11" s="726"/>
      <c r="M11" s="742"/>
    </row>
    <row r="12" spans="1:13">
      <c r="A12" s="743">
        <f>Startops1</f>
        <v>36951</v>
      </c>
      <c r="C12" s="744">
        <f>A13-A12</f>
        <v>31</v>
      </c>
      <c r="D12" s="747">
        <f ca="1">(IF($A12&gt;Endyr,0,IF($A12&lt;Assm!$F$32,G12,Capacity*C12)))*(1+RAROC!$N$12)</f>
        <v>127419.27409261577</v>
      </c>
      <c r="E12" s="745">
        <f>IF($A12&gt;Endyr,0,Tariff_Cap)</f>
        <v>0.56679999999999997</v>
      </c>
      <c r="F12" s="959">
        <f ca="1">D12*E12/1000</f>
        <v>72.221244555694625</v>
      </c>
      <c r="G12" s="960">
        <f ca="1">[3]MMBTU!U35</f>
        <v>127419.27409261577</v>
      </c>
      <c r="H12" s="745">
        <f>IF($A12&gt;Endyr,0,Tariff_Var)</f>
        <v>6.4000000000000003E-3</v>
      </c>
      <c r="I12" s="959">
        <f ca="1">G12*H12/1000</f>
        <v>0.81548335419274098</v>
      </c>
      <c r="J12" s="964">
        <f ca="1">SUM(F12,I12)</f>
        <v>73.036727909887361</v>
      </c>
      <c r="K12" s="746">
        <f ca="1">VLOOKUP($A12,Curves_Table,Escalation!$O$291)</f>
        <v>1.0620799950339679</v>
      </c>
      <c r="L12" s="748">
        <f ca="1">J12*K12</f>
        <v>77.570847615830431</v>
      </c>
      <c r="M12" s="749" t="str">
        <f ca="1">IF(MONTH($A12)=12,SUM(L1:L12)," ")</f>
        <v xml:space="preserve"> </v>
      </c>
    </row>
    <row r="13" spans="1:13">
      <c r="A13" s="743">
        <f t="shared" ref="A13:A76" si="0">EDATE(A12,1)</f>
        <v>36982</v>
      </c>
      <c r="C13" s="744">
        <f t="shared" ref="C13:C76" si="1">A14-A13</f>
        <v>30</v>
      </c>
      <c r="D13" s="747">
        <f ca="1">(IF($A13&gt;Endyr,0,IF($A13&lt;Assm!$F$32,G13,Capacity*C13)))*(1+RAROC!$N$12)</f>
        <v>709907.38423028786</v>
      </c>
      <c r="E13" s="745">
        <f t="shared" ref="E13:E76" si="2">IF($A13&gt;Endyr,0,Tariff_Cap)</f>
        <v>0.56679999999999997</v>
      </c>
      <c r="F13" s="959">
        <f t="shared" ref="F13:F76" ca="1" si="3">D13*E13/1000</f>
        <v>402.37550538172712</v>
      </c>
      <c r="G13" s="960">
        <f ca="1">[3]MMBTU!U36</f>
        <v>709907.38423028786</v>
      </c>
      <c r="H13" s="745">
        <f t="shared" ref="H13:H76" si="4">IF($A13&gt;Endyr,0,Tariff_Var)</f>
        <v>6.4000000000000003E-3</v>
      </c>
      <c r="I13" s="959">
        <f t="shared" ref="I13:I76" ca="1" si="5">G13*H13/1000</f>
        <v>4.5434072590738426</v>
      </c>
      <c r="J13" s="964">
        <f t="shared" ref="J13:J76" ca="1" si="6">SUM(F13,I13)</f>
        <v>406.91891264080095</v>
      </c>
      <c r="K13" s="746">
        <f ca="1">VLOOKUP($A13,Curves_Table,Escalation!$O$291)</f>
        <v>1.0620799950339679</v>
      </c>
      <c r="L13" s="748">
        <f t="shared" ref="L13:L76" ca="1" si="7">J13*K13</f>
        <v>432.18043671676946</v>
      </c>
      <c r="M13" s="749" t="str">
        <f t="shared" ref="M13:M76" ca="1" si="8">IF(MONTH($A13)=12,SUM(L2:L13)," ")</f>
        <v xml:space="preserve"> </v>
      </c>
    </row>
    <row r="14" spans="1:13">
      <c r="A14" s="743">
        <f t="shared" si="0"/>
        <v>37012</v>
      </c>
      <c r="C14" s="744">
        <f t="shared" si="1"/>
        <v>31</v>
      </c>
      <c r="D14" s="747">
        <f ca="1">(IF($A14&gt;Endyr,0,IF($A14&lt;Assm!$F$32,G14,Capacity*C14)))*(1+RAROC!$N$12)</f>
        <v>1485344.6808510637</v>
      </c>
      <c r="E14" s="745">
        <f t="shared" si="2"/>
        <v>0.56679999999999997</v>
      </c>
      <c r="F14" s="959">
        <f t="shared" ca="1" si="3"/>
        <v>841.89336510638282</v>
      </c>
      <c r="G14" s="960">
        <f ca="1">[3]MMBTU!U37</f>
        <v>1485344.6808510637</v>
      </c>
      <c r="H14" s="745">
        <f t="shared" si="4"/>
        <v>6.4000000000000003E-3</v>
      </c>
      <c r="I14" s="959">
        <f t="shared" ca="1" si="5"/>
        <v>9.5062059574468076</v>
      </c>
      <c r="J14" s="964">
        <f t="shared" ca="1" si="6"/>
        <v>851.39957106382963</v>
      </c>
      <c r="K14" s="746">
        <f ca="1">VLOOKUP($A14,Curves_Table,Escalation!$O$291)</f>
        <v>1.097180617479341</v>
      </c>
      <c r="L14" s="748">
        <f t="shared" ca="1" si="7"/>
        <v>934.13910710145865</v>
      </c>
      <c r="M14" s="749" t="str">
        <f t="shared" ca="1" si="8"/>
        <v xml:space="preserve"> </v>
      </c>
    </row>
    <row r="15" spans="1:13">
      <c r="A15" s="743">
        <f t="shared" si="0"/>
        <v>37043</v>
      </c>
      <c r="C15" s="744">
        <f t="shared" si="1"/>
        <v>30</v>
      </c>
      <c r="D15" s="747">
        <f ca="1">(IF($A15&gt;Endyr,0,IF($A15&lt;Assm!$F$32,G15,Capacity*C15)))*(1+RAROC!$N$12)</f>
        <v>2347427.0838548183</v>
      </c>
      <c r="E15" s="745">
        <f t="shared" si="2"/>
        <v>0.56679999999999997</v>
      </c>
      <c r="F15" s="959">
        <f t="shared" ca="1" si="3"/>
        <v>1330.5216711289111</v>
      </c>
      <c r="G15" s="960">
        <f ca="1">[3]MMBTU!U38</f>
        <v>2347427.0838548183</v>
      </c>
      <c r="H15" s="745">
        <f t="shared" si="4"/>
        <v>6.4000000000000003E-3</v>
      </c>
      <c r="I15" s="959">
        <f t="shared" ca="1" si="5"/>
        <v>15.023533336670837</v>
      </c>
      <c r="J15" s="964">
        <f t="shared" ca="1" si="6"/>
        <v>1345.5452044655819</v>
      </c>
      <c r="K15" s="746">
        <f ca="1">VLOOKUP($A15,Curves_Table,Escalation!$O$291)</f>
        <v>1.097180617479341</v>
      </c>
      <c r="L15" s="748">
        <f t="shared" ca="1" si="7"/>
        <v>1476.3061182819133</v>
      </c>
      <c r="M15" s="749" t="str">
        <f t="shared" ca="1" si="8"/>
        <v xml:space="preserve"> </v>
      </c>
    </row>
    <row r="16" spans="1:13">
      <c r="A16" s="743">
        <f t="shared" si="0"/>
        <v>37073</v>
      </c>
      <c r="C16" s="744">
        <f t="shared" si="1"/>
        <v>31</v>
      </c>
      <c r="D16" s="747">
        <f ca="1">(IF($A16&gt;Endyr,0,IF($A16&lt;Assm!$F$32,G16,Capacity*C16)))*(1+RAROC!$N$12)</f>
        <v>2370504.1301627033</v>
      </c>
      <c r="E16" s="745">
        <f t="shared" si="2"/>
        <v>0.56679999999999997</v>
      </c>
      <c r="F16" s="959">
        <f t="shared" ca="1" si="3"/>
        <v>1343.6017409762203</v>
      </c>
      <c r="G16" s="960">
        <f ca="1">[3]MMBTU!U39</f>
        <v>2370504.1301627033</v>
      </c>
      <c r="H16" s="745">
        <f t="shared" si="4"/>
        <v>6.4000000000000003E-3</v>
      </c>
      <c r="I16" s="959">
        <f t="shared" ca="1" si="5"/>
        <v>15.171226433041301</v>
      </c>
      <c r="J16" s="964">
        <f t="shared" ca="1" si="6"/>
        <v>1358.7729674092616</v>
      </c>
      <c r="K16" s="746">
        <f ca="1">VLOOKUP($A16,Curves_Table,Escalation!$O$291)</f>
        <v>1.097180617479341</v>
      </c>
      <c r="L16" s="748">
        <f t="shared" ca="1" si="7"/>
        <v>1490.8193633963301</v>
      </c>
      <c r="M16" s="749" t="str">
        <f t="shared" ca="1" si="8"/>
        <v xml:space="preserve"> </v>
      </c>
    </row>
    <row r="17" spans="1:13">
      <c r="A17" s="743">
        <f t="shared" si="0"/>
        <v>37104</v>
      </c>
      <c r="C17" s="744">
        <f t="shared" si="1"/>
        <v>31</v>
      </c>
      <c r="D17" s="747">
        <f ca="1">(IF($A17&gt;Endyr,0,IF($A17&lt;Assm!$F$32,G17,Capacity*C17)))*(1+RAROC!$N$12)</f>
        <v>3192690</v>
      </c>
      <c r="E17" s="745">
        <f t="shared" si="2"/>
        <v>0.56679999999999997</v>
      </c>
      <c r="F17" s="959">
        <f t="shared" ca="1" si="3"/>
        <v>1809.6166919999998</v>
      </c>
      <c r="G17" s="960">
        <f ca="1">[3]MMBTU!U40</f>
        <v>2095485.4047559449</v>
      </c>
      <c r="H17" s="745">
        <f t="shared" si="4"/>
        <v>6.4000000000000003E-3</v>
      </c>
      <c r="I17" s="959">
        <f t="shared" ca="1" si="5"/>
        <v>13.411106590438049</v>
      </c>
      <c r="J17" s="964">
        <f t="shared" ca="1" si="6"/>
        <v>1823.0277985904379</v>
      </c>
      <c r="K17" s="746">
        <f ca="1">VLOOKUP($A17,Curves_Table,Escalation!$O$291)</f>
        <v>1.097180617479341</v>
      </c>
      <c r="L17" s="748">
        <f t="shared" ca="1" si="7"/>
        <v>2000.1907657394604</v>
      </c>
      <c r="M17" s="749" t="str">
        <f t="shared" ca="1" si="8"/>
        <v xml:space="preserve"> </v>
      </c>
    </row>
    <row r="18" spans="1:13">
      <c r="A18" s="743">
        <f t="shared" si="0"/>
        <v>37135</v>
      </c>
      <c r="C18" s="744">
        <f t="shared" si="1"/>
        <v>30</v>
      </c>
      <c r="D18" s="747">
        <f ca="1">(IF($A18&gt;Endyr,0,IF($A18&lt;Assm!$F$32,G18,Capacity*C18)))*(1+RAROC!$N$12)</f>
        <v>3089700</v>
      </c>
      <c r="E18" s="745">
        <f t="shared" si="2"/>
        <v>0.56679999999999997</v>
      </c>
      <c r="F18" s="959">
        <f ca="1">D18*E18/1000</f>
        <v>1751.2419600000001</v>
      </c>
      <c r="G18" s="960">
        <f ca="1">[3]MMBTU!U41</f>
        <v>2027889.1013767209</v>
      </c>
      <c r="H18" s="745">
        <f t="shared" si="4"/>
        <v>6.4000000000000003E-3</v>
      </c>
      <c r="I18" s="959">
        <f t="shared" ca="1" si="5"/>
        <v>12.978490248811015</v>
      </c>
      <c r="J18" s="964">
        <f ca="1">SUM(F18,I18)</f>
        <v>1764.2204502488112</v>
      </c>
      <c r="K18" s="746">
        <f ca="1">VLOOKUP($A18,Curves_Table,Escalation!$O$291)</f>
        <v>1.097180617479341</v>
      </c>
      <c r="L18" s="748">
        <f ca="1">J18*K18</f>
        <v>1935.6684829736716</v>
      </c>
      <c r="M18" s="749" t="str">
        <f t="shared" ca="1" si="8"/>
        <v xml:space="preserve"> </v>
      </c>
    </row>
    <row r="19" spans="1:13">
      <c r="A19" s="743">
        <f t="shared" si="0"/>
        <v>37165</v>
      </c>
      <c r="C19" s="744">
        <f t="shared" si="1"/>
        <v>31</v>
      </c>
      <c r="D19" s="747">
        <f ca="1">(IF($A19&gt;Endyr,0,IF($A19&lt;Assm!$F$32,G19,Capacity*C19)))*(1+RAROC!$N$12)</f>
        <v>3192690</v>
      </c>
      <c r="E19" s="745">
        <f t="shared" si="2"/>
        <v>0.56679999999999997</v>
      </c>
      <c r="F19" s="959">
        <f t="shared" ca="1" si="3"/>
        <v>1809.6166919999998</v>
      </c>
      <c r="G19" s="960">
        <f ca="1">[3]MMBTU!U42</f>
        <v>2095485.4047559449</v>
      </c>
      <c r="H19" s="745">
        <f t="shared" si="4"/>
        <v>6.4000000000000003E-3</v>
      </c>
      <c r="I19" s="959">
        <f t="shared" ca="1" si="5"/>
        <v>13.411106590438049</v>
      </c>
      <c r="J19" s="964">
        <f t="shared" ca="1" si="6"/>
        <v>1823.0277985904379</v>
      </c>
      <c r="K19" s="746">
        <f ca="1">VLOOKUP($A19,Curves_Table,Escalation!$O$291)</f>
        <v>1.097180617479341</v>
      </c>
      <c r="L19" s="748">
        <f t="shared" ca="1" si="7"/>
        <v>2000.1907657394604</v>
      </c>
      <c r="M19" s="749" t="str">
        <f t="shared" ca="1" si="8"/>
        <v xml:space="preserve"> </v>
      </c>
    </row>
    <row r="20" spans="1:13">
      <c r="A20" s="743">
        <f t="shared" si="0"/>
        <v>37196</v>
      </c>
      <c r="C20" s="744">
        <f t="shared" si="1"/>
        <v>30</v>
      </c>
      <c r="D20" s="747">
        <f ca="1">(IF($A20&gt;Endyr,0,IF($A20&lt;Assm!$F$32,G20,Capacity*C20)))*(1+RAROC!$N$12)</f>
        <v>3089700</v>
      </c>
      <c r="E20" s="745">
        <f t="shared" si="2"/>
        <v>0.56679999999999997</v>
      </c>
      <c r="F20" s="959">
        <f ca="1">D20*E20/1000</f>
        <v>1751.2419600000001</v>
      </c>
      <c r="G20" s="960">
        <f ca="1">[3]MMBTU!U43</f>
        <v>2027889.1013767209</v>
      </c>
      <c r="H20" s="745">
        <f t="shared" si="4"/>
        <v>6.4000000000000003E-3</v>
      </c>
      <c r="I20" s="959">
        <f t="shared" ca="1" si="5"/>
        <v>12.978490248811015</v>
      </c>
      <c r="J20" s="964">
        <f ca="1">SUM(F20,I20)</f>
        <v>1764.2204502488112</v>
      </c>
      <c r="K20" s="746">
        <f ca="1">VLOOKUP($A20,Curves_Table,Escalation!$O$291)</f>
        <v>1.097180617479341</v>
      </c>
      <c r="L20" s="748">
        <f ca="1">J20*K20</f>
        <v>1935.6684829736716</v>
      </c>
      <c r="M20" s="749" t="str">
        <f t="shared" ca="1" si="8"/>
        <v xml:space="preserve"> </v>
      </c>
    </row>
    <row r="21" spans="1:13">
      <c r="A21" s="743">
        <f t="shared" si="0"/>
        <v>37226</v>
      </c>
      <c r="C21" s="744">
        <f t="shared" si="1"/>
        <v>31</v>
      </c>
      <c r="D21" s="747">
        <f ca="1">(IF($A21&gt;Endyr,0,IF($A21&lt;Assm!$F$32,G21,Capacity*C21)))*(1+RAROC!$N$12)</f>
        <v>3192690</v>
      </c>
      <c r="E21" s="745">
        <f t="shared" si="2"/>
        <v>0.56679999999999997</v>
      </c>
      <c r="F21" s="959">
        <f t="shared" ca="1" si="3"/>
        <v>1809.6166919999998</v>
      </c>
      <c r="G21" s="960">
        <f ca="1">[3]MMBTU!U44</f>
        <v>2095485.4047559449</v>
      </c>
      <c r="H21" s="745">
        <f t="shared" si="4"/>
        <v>6.4000000000000003E-3</v>
      </c>
      <c r="I21" s="959">
        <f t="shared" ca="1" si="5"/>
        <v>13.411106590438049</v>
      </c>
      <c r="J21" s="964">
        <f t="shared" ca="1" si="6"/>
        <v>1823.0277985904379</v>
      </c>
      <c r="K21" s="746">
        <f ca="1">VLOOKUP($A21,Curves_Table,Escalation!$O$291)</f>
        <v>1.097180617479341</v>
      </c>
      <c r="L21" s="748">
        <f t="shared" ca="1" si="7"/>
        <v>2000.1907657394604</v>
      </c>
      <c r="M21" s="749">
        <f ca="1">IF(MONTH($A21)=12,SUM(L10:L21)," ")</f>
        <v>14282.925136278027</v>
      </c>
    </row>
    <row r="22" spans="1:13">
      <c r="A22" s="1362">
        <f t="shared" si="0"/>
        <v>37257</v>
      </c>
      <c r="C22" s="744">
        <f t="shared" si="1"/>
        <v>31</v>
      </c>
      <c r="D22" s="1361">
        <f ca="1">(IF($A22&gt;Endyr,0,IF($A22&lt;Assm!$F$32,G22,Capacity*C22)))*(1+RAROC!$N$12)</f>
        <v>3192690</v>
      </c>
      <c r="E22" s="1368">
        <f t="shared" si="2"/>
        <v>0.56679999999999997</v>
      </c>
      <c r="F22" s="1360">
        <f ca="1">D22*E22/1000</f>
        <v>1809.6166919999998</v>
      </c>
      <c r="G22" s="1364">
        <f ca="1">[3]MMBTU!U45</f>
        <v>2095485.4047559449</v>
      </c>
      <c r="H22" s="1368">
        <f t="shared" si="4"/>
        <v>6.4000000000000003E-3</v>
      </c>
      <c r="I22" s="1360">
        <f ca="1">G22*H22/1000</f>
        <v>13.411106590438049</v>
      </c>
      <c r="J22" s="1359">
        <f ca="1">SUM(F22,I22)</f>
        <v>1823.0277985904379</v>
      </c>
      <c r="K22" s="746">
        <f ca="1">VLOOKUP($A22,Curves_Table,Escalation!$O$291)</f>
        <v>1.097180617479341</v>
      </c>
      <c r="L22" s="1358">
        <f ca="1">J22*K22</f>
        <v>2000.1907657394604</v>
      </c>
      <c r="M22" s="749" t="str">
        <f t="shared" ca="1" si="8"/>
        <v xml:space="preserve"> </v>
      </c>
    </row>
    <row r="23" spans="1:13">
      <c r="A23" s="743">
        <f t="shared" si="0"/>
        <v>37288</v>
      </c>
      <c r="C23" s="744">
        <f t="shared" si="1"/>
        <v>28</v>
      </c>
      <c r="D23" s="747">
        <f ca="1">(IF($A23&gt;Endyr,0,IF($A23&lt;Assm!$F$32,G23,Capacity*C23)))*(1+RAROC!$N$12)</f>
        <v>2883720</v>
      </c>
      <c r="E23" s="745">
        <f t="shared" si="2"/>
        <v>0.56679999999999997</v>
      </c>
      <c r="F23" s="959">
        <f t="shared" ca="1" si="3"/>
        <v>1634.4924959999998</v>
      </c>
      <c r="G23" s="960">
        <f ca="1">[3]MMBTU!U46</f>
        <v>1892696.4946182731</v>
      </c>
      <c r="H23" s="745">
        <f t="shared" si="4"/>
        <v>6.4000000000000003E-3</v>
      </c>
      <c r="I23" s="959">
        <f t="shared" ca="1" si="5"/>
        <v>12.11325756555695</v>
      </c>
      <c r="J23" s="964">
        <f t="shared" ca="1" si="6"/>
        <v>1646.6057535655568</v>
      </c>
      <c r="K23" s="746">
        <f ca="1">VLOOKUP($A23,Curves_Table,Escalation!$O$291)</f>
        <v>1.097180617479341</v>
      </c>
      <c r="L23" s="748">
        <f t="shared" ca="1" si="7"/>
        <v>1806.6239174420932</v>
      </c>
      <c r="M23" s="749" t="str">
        <f t="shared" ca="1" si="8"/>
        <v xml:space="preserve"> </v>
      </c>
    </row>
    <row r="24" spans="1:13">
      <c r="A24" s="743">
        <f t="shared" si="0"/>
        <v>37316</v>
      </c>
      <c r="C24" s="744">
        <f t="shared" si="1"/>
        <v>31</v>
      </c>
      <c r="D24" s="747">
        <f ca="1">(IF($A24&gt;Endyr,0,IF($A24&lt;Assm!$F$32,G24,Capacity*C24)))*(1+RAROC!$N$12)</f>
        <v>3192690</v>
      </c>
      <c r="E24" s="745">
        <f t="shared" si="2"/>
        <v>0.56679999999999997</v>
      </c>
      <c r="F24" s="959">
        <f t="shared" ca="1" si="3"/>
        <v>1809.6166919999998</v>
      </c>
      <c r="G24" s="960">
        <f ca="1">[3]MMBTU!U47</f>
        <v>2095485.4047559449</v>
      </c>
      <c r="H24" s="745">
        <f t="shared" si="4"/>
        <v>6.4000000000000003E-3</v>
      </c>
      <c r="I24" s="959">
        <f t="shared" ca="1" si="5"/>
        <v>13.411106590438049</v>
      </c>
      <c r="J24" s="964">
        <f t="shared" ca="1" si="6"/>
        <v>1823.0277985904379</v>
      </c>
      <c r="K24" s="746">
        <f ca="1">VLOOKUP($A24,Curves_Table,Escalation!$O$291)</f>
        <v>1.097180617479341</v>
      </c>
      <c r="L24" s="748">
        <f t="shared" ca="1" si="7"/>
        <v>2000.1907657394604</v>
      </c>
      <c r="M24" s="749" t="str">
        <f t="shared" ca="1" si="8"/>
        <v xml:space="preserve"> </v>
      </c>
    </row>
    <row r="25" spans="1:13">
      <c r="A25" s="743">
        <f t="shared" si="0"/>
        <v>37347</v>
      </c>
      <c r="C25" s="744">
        <f t="shared" si="1"/>
        <v>30</v>
      </c>
      <c r="D25" s="747">
        <f ca="1">(IF($A25&gt;Endyr,0,IF($A25&lt;Assm!$F$32,G25,Capacity*C25)))*(1+RAROC!$N$12)</f>
        <v>3089700</v>
      </c>
      <c r="E25" s="745">
        <f t="shared" si="2"/>
        <v>0.56679999999999997</v>
      </c>
      <c r="F25" s="959">
        <f t="shared" ca="1" si="3"/>
        <v>1751.2419600000001</v>
      </c>
      <c r="G25" s="960">
        <f ca="1">[3]MMBTU!U48</f>
        <v>2027889.1013767209</v>
      </c>
      <c r="H25" s="745">
        <f t="shared" si="4"/>
        <v>6.4000000000000003E-3</v>
      </c>
      <c r="I25" s="959">
        <f t="shared" ca="1" si="5"/>
        <v>12.978490248811015</v>
      </c>
      <c r="J25" s="964">
        <f t="shared" ca="1" si="6"/>
        <v>1764.2204502488112</v>
      </c>
      <c r="K25" s="746">
        <f ca="1">VLOOKUP($A25,Curves_Table,Escalation!$O$291)</f>
        <v>1.097180617479341</v>
      </c>
      <c r="L25" s="748">
        <f t="shared" ca="1" si="7"/>
        <v>1935.6684829736716</v>
      </c>
      <c r="M25" s="749" t="str">
        <f t="shared" ca="1" si="8"/>
        <v xml:space="preserve"> </v>
      </c>
    </row>
    <row r="26" spans="1:13">
      <c r="A26" s="743">
        <f t="shared" si="0"/>
        <v>37377</v>
      </c>
      <c r="C26" s="744">
        <f t="shared" si="1"/>
        <v>31</v>
      </c>
      <c r="D26" s="747">
        <f ca="1">(IF($A26&gt;Endyr,0,IF($A26&lt;Assm!$F$32,G26,Capacity*C26)))*(1+RAROC!$N$12)</f>
        <v>3192690</v>
      </c>
      <c r="E26" s="745">
        <f t="shared" si="2"/>
        <v>0.56679999999999997</v>
      </c>
      <c r="F26" s="959">
        <f t="shared" ca="1" si="3"/>
        <v>1809.6166919999998</v>
      </c>
      <c r="G26" s="960">
        <f ca="1">[3]MMBTU!U49</f>
        <v>2095485.4047559449</v>
      </c>
      <c r="H26" s="745">
        <f t="shared" si="4"/>
        <v>6.4000000000000003E-3</v>
      </c>
      <c r="I26" s="959">
        <f t="shared" ca="1" si="5"/>
        <v>13.411106590438049</v>
      </c>
      <c r="J26" s="964">
        <f t="shared" ca="1" si="6"/>
        <v>1823.0277985904379</v>
      </c>
      <c r="K26" s="746">
        <f ca="1">VLOOKUP($A26,Curves_Table,Escalation!$O$291)</f>
        <v>1.1321906668383659</v>
      </c>
      <c r="L26" s="748">
        <f t="shared" ca="1" si="7"/>
        <v>2064.0150589509863</v>
      </c>
      <c r="M26" s="749" t="str">
        <f t="shared" ca="1" si="8"/>
        <v xml:space="preserve"> </v>
      </c>
    </row>
    <row r="27" spans="1:13">
      <c r="A27" s="743">
        <f t="shared" si="0"/>
        <v>37408</v>
      </c>
      <c r="C27" s="744">
        <f t="shared" si="1"/>
        <v>30</v>
      </c>
      <c r="D27" s="747">
        <f ca="1">(IF($A27&gt;Endyr,0,IF($A27&lt;Assm!$F$32,G27,Capacity*C27)))*(1+RAROC!$N$12)</f>
        <v>3089700</v>
      </c>
      <c r="E27" s="745">
        <f t="shared" si="2"/>
        <v>0.56679999999999997</v>
      </c>
      <c r="F27" s="959">
        <f t="shared" ca="1" si="3"/>
        <v>1751.2419600000001</v>
      </c>
      <c r="G27" s="960">
        <f ca="1">[3]MMBTU!U50</f>
        <v>2027889.1013767209</v>
      </c>
      <c r="H27" s="745">
        <f t="shared" si="4"/>
        <v>6.4000000000000003E-3</v>
      </c>
      <c r="I27" s="959">
        <f t="shared" ca="1" si="5"/>
        <v>12.978490248811015</v>
      </c>
      <c r="J27" s="964">
        <f t="shared" ca="1" si="6"/>
        <v>1764.2204502488112</v>
      </c>
      <c r="K27" s="746">
        <f ca="1">VLOOKUP($A27,Curves_Table,Escalation!$O$291)</f>
        <v>1.1321906668383659</v>
      </c>
      <c r="L27" s="748">
        <f t="shared" ca="1" si="7"/>
        <v>1997.4339280170836</v>
      </c>
      <c r="M27" s="749" t="str">
        <f t="shared" ca="1" si="8"/>
        <v xml:space="preserve"> </v>
      </c>
    </row>
    <row r="28" spans="1:13">
      <c r="A28" s="743">
        <f t="shared" si="0"/>
        <v>37438</v>
      </c>
      <c r="C28" s="744">
        <f t="shared" si="1"/>
        <v>31</v>
      </c>
      <c r="D28" s="747">
        <f ca="1">(IF($A28&gt;Endyr,0,IF($A28&lt;Assm!$F$32,G28,Capacity*C28)))*(1+RAROC!$N$12)</f>
        <v>3192690</v>
      </c>
      <c r="E28" s="745">
        <f t="shared" si="2"/>
        <v>0.56679999999999997</v>
      </c>
      <c r="F28" s="959">
        <f t="shared" ca="1" si="3"/>
        <v>1809.6166919999998</v>
      </c>
      <c r="G28" s="960">
        <f ca="1">[3]MMBTU!U51</f>
        <v>2095485.4047559449</v>
      </c>
      <c r="H28" s="745">
        <f t="shared" si="4"/>
        <v>6.4000000000000003E-3</v>
      </c>
      <c r="I28" s="959">
        <f t="shared" ca="1" si="5"/>
        <v>13.411106590438049</v>
      </c>
      <c r="J28" s="964">
        <f t="shared" ca="1" si="6"/>
        <v>1823.0277985904379</v>
      </c>
      <c r="K28" s="746">
        <f ca="1">VLOOKUP($A28,Curves_Table,Escalation!$O$291)</f>
        <v>1.1321906668383659</v>
      </c>
      <c r="L28" s="748">
        <f t="shared" ca="1" si="7"/>
        <v>2064.0150589509863</v>
      </c>
      <c r="M28" s="749" t="str">
        <f t="shared" ca="1" si="8"/>
        <v xml:space="preserve"> </v>
      </c>
    </row>
    <row r="29" spans="1:13">
      <c r="A29" s="743">
        <f t="shared" si="0"/>
        <v>37469</v>
      </c>
      <c r="C29" s="744">
        <f t="shared" si="1"/>
        <v>31</v>
      </c>
      <c r="D29" s="747">
        <f ca="1">(IF($A29&gt;Endyr,0,IF($A29&lt;Assm!$F$32,G29,Capacity*C29)))*(1+RAROC!$N$12)</f>
        <v>3192690</v>
      </c>
      <c r="E29" s="745">
        <f t="shared" si="2"/>
        <v>0.56679999999999997</v>
      </c>
      <c r="F29" s="959">
        <f t="shared" ca="1" si="3"/>
        <v>1809.6166919999998</v>
      </c>
      <c r="G29" s="960">
        <f ca="1">[3]MMBTU!U52</f>
        <v>2095485.4047559449</v>
      </c>
      <c r="H29" s="745">
        <f t="shared" si="4"/>
        <v>6.4000000000000003E-3</v>
      </c>
      <c r="I29" s="959">
        <f t="shared" ca="1" si="5"/>
        <v>13.411106590438049</v>
      </c>
      <c r="J29" s="964">
        <f t="shared" ca="1" si="6"/>
        <v>1823.0277985904379</v>
      </c>
      <c r="K29" s="746">
        <f ca="1">VLOOKUP($A29,Curves_Table,Escalation!$O$291)</f>
        <v>1.1321906668383659</v>
      </c>
      <c r="L29" s="748">
        <f t="shared" ca="1" si="7"/>
        <v>2064.0150589509863</v>
      </c>
      <c r="M29" s="749" t="str">
        <f t="shared" ca="1" si="8"/>
        <v xml:space="preserve"> </v>
      </c>
    </row>
    <row r="30" spans="1:13">
      <c r="A30" s="743">
        <f t="shared" si="0"/>
        <v>37500</v>
      </c>
      <c r="C30" s="744">
        <f t="shared" si="1"/>
        <v>30</v>
      </c>
      <c r="D30" s="747">
        <f ca="1">(IF($A30&gt;Endyr,0,IF($A30&lt;Assm!$F$32,G30,Capacity*C30)))*(1+RAROC!$N$12)</f>
        <v>3089700</v>
      </c>
      <c r="E30" s="745">
        <f t="shared" si="2"/>
        <v>0.56679999999999997</v>
      </c>
      <c r="F30" s="959">
        <f t="shared" ca="1" si="3"/>
        <v>1751.2419600000001</v>
      </c>
      <c r="G30" s="960">
        <f ca="1">[3]MMBTU!U53</f>
        <v>2027889.1013767209</v>
      </c>
      <c r="H30" s="745">
        <f t="shared" si="4"/>
        <v>6.4000000000000003E-3</v>
      </c>
      <c r="I30" s="959">
        <f t="shared" ca="1" si="5"/>
        <v>12.978490248811015</v>
      </c>
      <c r="J30" s="964">
        <f t="shared" ca="1" si="6"/>
        <v>1764.2204502488112</v>
      </c>
      <c r="K30" s="746">
        <f ca="1">VLOOKUP($A30,Curves_Table,Escalation!$O$291)</f>
        <v>1.1321906668383659</v>
      </c>
      <c r="L30" s="748">
        <f t="shared" ca="1" si="7"/>
        <v>1997.4339280170836</v>
      </c>
      <c r="M30" s="749" t="str">
        <f t="shared" ca="1" si="8"/>
        <v xml:space="preserve"> </v>
      </c>
    </row>
    <row r="31" spans="1:13">
      <c r="A31" s="743">
        <f t="shared" si="0"/>
        <v>37530</v>
      </c>
      <c r="C31" s="744">
        <f t="shared" si="1"/>
        <v>31</v>
      </c>
      <c r="D31" s="747">
        <f ca="1">(IF($A31&gt;Endyr,0,IF($A31&lt;Assm!$F$32,G31,Capacity*C31)))*(1+RAROC!$N$12)</f>
        <v>3192690</v>
      </c>
      <c r="E31" s="745">
        <f t="shared" si="2"/>
        <v>0.56679999999999997</v>
      </c>
      <c r="F31" s="959">
        <f t="shared" ca="1" si="3"/>
        <v>1809.6166919999998</v>
      </c>
      <c r="G31" s="960">
        <f ca="1">[3]MMBTU!U54</f>
        <v>2095485.4047559449</v>
      </c>
      <c r="H31" s="745">
        <f t="shared" si="4"/>
        <v>6.4000000000000003E-3</v>
      </c>
      <c r="I31" s="959">
        <f t="shared" ca="1" si="5"/>
        <v>13.411106590438049</v>
      </c>
      <c r="J31" s="964">
        <f t="shared" ca="1" si="6"/>
        <v>1823.0277985904379</v>
      </c>
      <c r="K31" s="746">
        <f ca="1">VLOOKUP($A31,Curves_Table,Escalation!$O$291)</f>
        <v>1.1321906668383659</v>
      </c>
      <c r="L31" s="748">
        <f t="shared" ca="1" si="7"/>
        <v>2064.0150589509863</v>
      </c>
      <c r="M31" s="749" t="str">
        <f t="shared" ca="1" si="8"/>
        <v xml:space="preserve"> </v>
      </c>
    </row>
    <row r="32" spans="1:13">
      <c r="A32" s="743">
        <f t="shared" si="0"/>
        <v>37561</v>
      </c>
      <c r="C32" s="744">
        <f t="shared" si="1"/>
        <v>30</v>
      </c>
      <c r="D32" s="747">
        <f ca="1">(IF($A32&gt;Endyr,0,IF($A32&lt;Assm!$F$32,G32,Capacity*C32)))*(1+RAROC!$N$12)</f>
        <v>3089700</v>
      </c>
      <c r="E32" s="745">
        <f t="shared" si="2"/>
        <v>0.56679999999999997</v>
      </c>
      <c r="F32" s="959">
        <f t="shared" ca="1" si="3"/>
        <v>1751.2419600000001</v>
      </c>
      <c r="G32" s="960">
        <f ca="1">[3]MMBTU!U55</f>
        <v>2027889.1013767209</v>
      </c>
      <c r="H32" s="745">
        <f t="shared" si="4"/>
        <v>6.4000000000000003E-3</v>
      </c>
      <c r="I32" s="959">
        <f t="shared" ca="1" si="5"/>
        <v>12.978490248811015</v>
      </c>
      <c r="J32" s="964">
        <f t="shared" ca="1" si="6"/>
        <v>1764.2204502488112</v>
      </c>
      <c r="K32" s="746">
        <f ca="1">VLOOKUP($A32,Curves_Table,Escalation!$O$291)</f>
        <v>1.1321906668383659</v>
      </c>
      <c r="L32" s="748">
        <f t="shared" ca="1" si="7"/>
        <v>1997.4339280170836</v>
      </c>
      <c r="M32" s="749" t="str">
        <f t="shared" ca="1" si="8"/>
        <v xml:space="preserve"> </v>
      </c>
    </row>
    <row r="33" spans="1:13">
      <c r="A33" s="743">
        <f t="shared" si="0"/>
        <v>37591</v>
      </c>
      <c r="C33" s="744">
        <f t="shared" si="1"/>
        <v>31</v>
      </c>
      <c r="D33" s="747">
        <f ca="1">(IF($A33&gt;Endyr,0,IF($A33&lt;Assm!$F$32,G33,Capacity*C33)))*(1+RAROC!$N$12)</f>
        <v>3192690</v>
      </c>
      <c r="E33" s="745">
        <f t="shared" si="2"/>
        <v>0.56679999999999997</v>
      </c>
      <c r="F33" s="959">
        <f t="shared" ca="1" si="3"/>
        <v>1809.6166919999998</v>
      </c>
      <c r="G33" s="960">
        <f ca="1">[3]MMBTU!U56</f>
        <v>2095485.4047559449</v>
      </c>
      <c r="H33" s="745">
        <f t="shared" si="4"/>
        <v>6.4000000000000003E-3</v>
      </c>
      <c r="I33" s="959">
        <f t="shared" ca="1" si="5"/>
        <v>13.411106590438049</v>
      </c>
      <c r="J33" s="964">
        <f t="shared" ca="1" si="6"/>
        <v>1823.0277985904379</v>
      </c>
      <c r="K33" s="746">
        <f ca="1">VLOOKUP($A33,Curves_Table,Escalation!$O$291)</f>
        <v>1.1321906668383659</v>
      </c>
      <c r="L33" s="748">
        <f t="shared" ca="1" si="7"/>
        <v>2064.0150589509863</v>
      </c>
      <c r="M33" s="1357">
        <f ca="1">IF(MONTH($A33)=12,SUM(L22:L33)," ")</f>
        <v>24055.05101070087</v>
      </c>
    </row>
    <row r="34" spans="1:13">
      <c r="A34" s="743">
        <f t="shared" si="0"/>
        <v>37622</v>
      </c>
      <c r="C34" s="744">
        <f t="shared" si="1"/>
        <v>31</v>
      </c>
      <c r="D34" s="747">
        <f ca="1">(IF($A34&gt;Endyr,0,IF($A34&lt;Assm!$F$32,G34,Capacity*C34)))*(1+RAROC!$N$12)</f>
        <v>3192690</v>
      </c>
      <c r="E34" s="745">
        <f t="shared" si="2"/>
        <v>0.56679999999999997</v>
      </c>
      <c r="F34" s="959">
        <f t="shared" ca="1" si="3"/>
        <v>1809.6166919999998</v>
      </c>
      <c r="G34" s="960">
        <f ca="1">[3]MMBTU!U57</f>
        <v>2095485.4047559449</v>
      </c>
      <c r="H34" s="745">
        <f t="shared" si="4"/>
        <v>6.4000000000000003E-3</v>
      </c>
      <c r="I34" s="959">
        <f t="shared" ca="1" si="5"/>
        <v>13.411106590438049</v>
      </c>
      <c r="J34" s="964">
        <f t="shared" ca="1" si="6"/>
        <v>1823.0277985904379</v>
      </c>
      <c r="K34" s="746">
        <f ca="1">VLOOKUP($A34,Curves_Table,Escalation!$O$291)</f>
        <v>1.1321906668383659</v>
      </c>
      <c r="L34" s="748">
        <f t="shared" ca="1" si="7"/>
        <v>2064.0150589509863</v>
      </c>
      <c r="M34" s="749" t="str">
        <f t="shared" ca="1" si="8"/>
        <v xml:space="preserve"> </v>
      </c>
    </row>
    <row r="35" spans="1:13">
      <c r="A35" s="743">
        <f t="shared" si="0"/>
        <v>37653</v>
      </c>
      <c r="C35" s="744">
        <f t="shared" si="1"/>
        <v>28</v>
      </c>
      <c r="D35" s="747">
        <f ca="1">(IF($A35&gt;Endyr,0,IF($A35&lt;Assm!$F$32,G35,Capacity*C35)))*(1+RAROC!$N$12)</f>
        <v>2883720</v>
      </c>
      <c r="E35" s="745">
        <f t="shared" si="2"/>
        <v>0.56679999999999997</v>
      </c>
      <c r="F35" s="959">
        <f t="shared" ca="1" si="3"/>
        <v>1634.4924959999998</v>
      </c>
      <c r="G35" s="960">
        <f ca="1">[3]MMBTU!U58</f>
        <v>1892696.4946182731</v>
      </c>
      <c r="H35" s="745">
        <f t="shared" si="4"/>
        <v>6.4000000000000003E-3</v>
      </c>
      <c r="I35" s="959">
        <f t="shared" ca="1" si="5"/>
        <v>12.11325756555695</v>
      </c>
      <c r="J35" s="964">
        <f t="shared" ca="1" si="6"/>
        <v>1646.6057535655568</v>
      </c>
      <c r="K35" s="746">
        <f ca="1">VLOOKUP($A35,Curves_Table,Escalation!$O$291)</f>
        <v>1.1321906668383659</v>
      </c>
      <c r="L35" s="748">
        <f t="shared" ca="1" si="7"/>
        <v>1864.2716661492777</v>
      </c>
      <c r="M35" s="749" t="str">
        <f t="shared" ca="1" si="8"/>
        <v xml:space="preserve"> </v>
      </c>
    </row>
    <row r="36" spans="1:13">
      <c r="A36" s="743">
        <f t="shared" si="0"/>
        <v>37681</v>
      </c>
      <c r="C36" s="744">
        <f t="shared" si="1"/>
        <v>31</v>
      </c>
      <c r="D36" s="747">
        <f ca="1">(IF($A36&gt;Endyr,0,IF($A36&lt;Assm!$F$32,G36,Capacity*C36)))*(1+RAROC!$N$12)</f>
        <v>3192690</v>
      </c>
      <c r="E36" s="745">
        <f t="shared" si="2"/>
        <v>0.56679999999999997</v>
      </c>
      <c r="F36" s="959">
        <f t="shared" ca="1" si="3"/>
        <v>1809.6166919999998</v>
      </c>
      <c r="G36" s="960">
        <f ca="1">[3]MMBTU!U59</f>
        <v>2095485.4047559449</v>
      </c>
      <c r="H36" s="745">
        <f t="shared" si="4"/>
        <v>6.4000000000000003E-3</v>
      </c>
      <c r="I36" s="959">
        <f t="shared" ca="1" si="5"/>
        <v>13.411106590438049</v>
      </c>
      <c r="J36" s="964">
        <f t="shared" ca="1" si="6"/>
        <v>1823.0277985904379</v>
      </c>
      <c r="K36" s="746">
        <f ca="1">VLOOKUP($A36,Curves_Table,Escalation!$O$291)</f>
        <v>1.1321906668383659</v>
      </c>
      <c r="L36" s="748">
        <f t="shared" ca="1" si="7"/>
        <v>2064.0150589509863</v>
      </c>
      <c r="M36" s="749" t="str">
        <f t="shared" ca="1" si="8"/>
        <v xml:space="preserve"> </v>
      </c>
    </row>
    <row r="37" spans="1:13">
      <c r="A37" s="743">
        <f t="shared" si="0"/>
        <v>37712</v>
      </c>
      <c r="C37" s="744">
        <f t="shared" si="1"/>
        <v>30</v>
      </c>
      <c r="D37" s="747">
        <f ca="1">(IF($A37&gt;Endyr,0,IF($A37&lt;Assm!$F$32,G37,Capacity*C37)))*(1+RAROC!$N$12)</f>
        <v>3089700</v>
      </c>
      <c r="E37" s="745">
        <f t="shared" si="2"/>
        <v>0.56679999999999997</v>
      </c>
      <c r="F37" s="959">
        <f t="shared" ca="1" si="3"/>
        <v>1751.2419600000001</v>
      </c>
      <c r="G37" s="960">
        <f ca="1">[3]MMBTU!U60</f>
        <v>2027889.1013767209</v>
      </c>
      <c r="H37" s="745">
        <f t="shared" si="4"/>
        <v>6.4000000000000003E-3</v>
      </c>
      <c r="I37" s="959">
        <f t="shared" ca="1" si="5"/>
        <v>12.978490248811015</v>
      </c>
      <c r="J37" s="964">
        <f t="shared" ca="1" si="6"/>
        <v>1764.2204502488112</v>
      </c>
      <c r="K37" s="746">
        <f ca="1">VLOOKUP($A37,Curves_Table,Escalation!$O$291)</f>
        <v>1.1321906668383659</v>
      </c>
      <c r="L37" s="748">
        <f t="shared" ca="1" si="7"/>
        <v>1997.4339280170836</v>
      </c>
      <c r="M37" s="749" t="str">
        <f t="shared" ca="1" si="8"/>
        <v xml:space="preserve"> </v>
      </c>
    </row>
    <row r="38" spans="1:13">
      <c r="A38" s="743">
        <f t="shared" si="0"/>
        <v>37742</v>
      </c>
      <c r="C38" s="744">
        <f t="shared" si="1"/>
        <v>31</v>
      </c>
      <c r="D38" s="747">
        <f ca="1">(IF($A38&gt;Endyr,0,IF($A38&lt;Assm!$F$32,G38,Capacity*C38)))*(1+RAROC!$N$12)</f>
        <v>3192690</v>
      </c>
      <c r="E38" s="745">
        <f t="shared" si="2"/>
        <v>0.56679999999999997</v>
      </c>
      <c r="F38" s="959">
        <f t="shared" ca="1" si="3"/>
        <v>1809.6166919999998</v>
      </c>
      <c r="G38" s="960">
        <f ca="1">[3]MMBTU!U61</f>
        <v>2095485.4047559449</v>
      </c>
      <c r="H38" s="745">
        <f t="shared" si="4"/>
        <v>6.4000000000000003E-3</v>
      </c>
      <c r="I38" s="959">
        <f t="shared" ca="1" si="5"/>
        <v>13.411106590438049</v>
      </c>
      <c r="J38" s="964">
        <f t="shared" ca="1" si="6"/>
        <v>1823.0277985904379</v>
      </c>
      <c r="K38" s="746">
        <f ca="1">VLOOKUP($A38,Curves_Table,Escalation!$O$291)</f>
        <v>1.166287045927733</v>
      </c>
      <c r="L38" s="748">
        <f t="shared" ca="1" si="7"/>
        <v>2126.1737058621802</v>
      </c>
      <c r="M38" s="749" t="str">
        <f t="shared" ca="1" si="8"/>
        <v xml:space="preserve"> </v>
      </c>
    </row>
    <row r="39" spans="1:13">
      <c r="A39" s="743">
        <f t="shared" si="0"/>
        <v>37773</v>
      </c>
      <c r="C39" s="744">
        <f t="shared" si="1"/>
        <v>30</v>
      </c>
      <c r="D39" s="747">
        <f ca="1">(IF($A39&gt;Endyr,0,IF($A39&lt;Assm!$F$32,G39,Capacity*C39)))*(1+RAROC!$N$12)</f>
        <v>3089700</v>
      </c>
      <c r="E39" s="745">
        <f t="shared" si="2"/>
        <v>0.56679999999999997</v>
      </c>
      <c r="F39" s="959">
        <f t="shared" ca="1" si="3"/>
        <v>1751.2419600000001</v>
      </c>
      <c r="G39" s="960">
        <f ca="1">[3]MMBTU!U62</f>
        <v>2027889.1013767209</v>
      </c>
      <c r="H39" s="745">
        <f t="shared" si="4"/>
        <v>6.4000000000000003E-3</v>
      </c>
      <c r="I39" s="959">
        <f t="shared" ca="1" si="5"/>
        <v>12.978490248811015</v>
      </c>
      <c r="J39" s="964">
        <f t="shared" ca="1" si="6"/>
        <v>1764.2204502488112</v>
      </c>
      <c r="K39" s="746">
        <f ca="1">VLOOKUP($A39,Curves_Table,Escalation!$O$291)</f>
        <v>1.166287045927733</v>
      </c>
      <c r="L39" s="748">
        <f t="shared" ca="1" si="7"/>
        <v>2057.5874572859811</v>
      </c>
      <c r="M39" s="749" t="str">
        <f t="shared" ca="1" si="8"/>
        <v xml:space="preserve"> </v>
      </c>
    </row>
    <row r="40" spans="1:13">
      <c r="A40" s="743">
        <f t="shared" si="0"/>
        <v>37803</v>
      </c>
      <c r="C40" s="744">
        <f t="shared" si="1"/>
        <v>31</v>
      </c>
      <c r="D40" s="747">
        <f ca="1">(IF($A40&gt;Endyr,0,IF($A40&lt;Assm!$F$32,G40,Capacity*C40)))*(1+RAROC!$N$12)</f>
        <v>3192690</v>
      </c>
      <c r="E40" s="745">
        <f t="shared" si="2"/>
        <v>0.56679999999999997</v>
      </c>
      <c r="F40" s="959">
        <f t="shared" ca="1" si="3"/>
        <v>1809.6166919999998</v>
      </c>
      <c r="G40" s="960">
        <f ca="1">[3]MMBTU!U63</f>
        <v>2095485.4047559449</v>
      </c>
      <c r="H40" s="745">
        <f t="shared" si="4"/>
        <v>6.4000000000000003E-3</v>
      </c>
      <c r="I40" s="959">
        <f t="shared" ca="1" si="5"/>
        <v>13.411106590438049</v>
      </c>
      <c r="J40" s="964">
        <f t="shared" ca="1" si="6"/>
        <v>1823.0277985904379</v>
      </c>
      <c r="K40" s="746">
        <f ca="1">VLOOKUP($A40,Curves_Table,Escalation!$O$291)</f>
        <v>1.166287045927733</v>
      </c>
      <c r="L40" s="748">
        <f t="shared" ca="1" si="7"/>
        <v>2126.1737058621802</v>
      </c>
      <c r="M40" s="749" t="str">
        <f t="shared" ca="1" si="8"/>
        <v xml:space="preserve"> </v>
      </c>
    </row>
    <row r="41" spans="1:13">
      <c r="A41" s="743">
        <f t="shared" si="0"/>
        <v>37834</v>
      </c>
      <c r="C41" s="744">
        <f t="shared" si="1"/>
        <v>31</v>
      </c>
      <c r="D41" s="747">
        <f ca="1">(IF($A41&gt;Endyr,0,IF($A41&lt;Assm!$F$32,G41,Capacity*C41)))*(1+RAROC!$N$12)</f>
        <v>3192690</v>
      </c>
      <c r="E41" s="745">
        <f t="shared" si="2"/>
        <v>0.56679999999999997</v>
      </c>
      <c r="F41" s="959">
        <f t="shared" ca="1" si="3"/>
        <v>1809.6166919999998</v>
      </c>
      <c r="G41" s="960">
        <f ca="1">[3]MMBTU!U64</f>
        <v>2095485.4047559449</v>
      </c>
      <c r="H41" s="745">
        <f t="shared" si="4"/>
        <v>6.4000000000000003E-3</v>
      </c>
      <c r="I41" s="959">
        <f t="shared" ca="1" si="5"/>
        <v>13.411106590438049</v>
      </c>
      <c r="J41" s="964">
        <f t="shared" ca="1" si="6"/>
        <v>1823.0277985904379</v>
      </c>
      <c r="K41" s="746">
        <f ca="1">VLOOKUP($A41,Curves_Table,Escalation!$O$291)</f>
        <v>1.166287045927733</v>
      </c>
      <c r="L41" s="748">
        <f t="shared" ca="1" si="7"/>
        <v>2126.1737058621802</v>
      </c>
      <c r="M41" s="749" t="str">
        <f t="shared" ca="1" si="8"/>
        <v xml:space="preserve"> </v>
      </c>
    </row>
    <row r="42" spans="1:13">
      <c r="A42" s="743">
        <f t="shared" si="0"/>
        <v>37865</v>
      </c>
      <c r="C42" s="744">
        <f t="shared" si="1"/>
        <v>30</v>
      </c>
      <c r="D42" s="747">
        <f ca="1">(IF($A42&gt;Endyr,0,IF($A42&lt;Assm!$F$32,G42,Capacity*C42)))*(1+RAROC!$N$12)</f>
        <v>3089700</v>
      </c>
      <c r="E42" s="745">
        <f t="shared" si="2"/>
        <v>0.56679999999999997</v>
      </c>
      <c r="F42" s="959">
        <f t="shared" ca="1" si="3"/>
        <v>1751.2419600000001</v>
      </c>
      <c r="G42" s="960">
        <f ca="1">[3]MMBTU!U65</f>
        <v>2027889.1013767209</v>
      </c>
      <c r="H42" s="745">
        <f t="shared" si="4"/>
        <v>6.4000000000000003E-3</v>
      </c>
      <c r="I42" s="959">
        <f t="shared" ca="1" si="5"/>
        <v>12.978490248811015</v>
      </c>
      <c r="J42" s="964">
        <f t="shared" ca="1" si="6"/>
        <v>1764.2204502488112</v>
      </c>
      <c r="K42" s="746">
        <f ca="1">VLOOKUP($A42,Curves_Table,Escalation!$O$291)</f>
        <v>1.166287045927733</v>
      </c>
      <c r="L42" s="748">
        <f t="shared" ca="1" si="7"/>
        <v>2057.5874572859811</v>
      </c>
      <c r="M42" s="749" t="str">
        <f t="shared" ca="1" si="8"/>
        <v xml:space="preserve"> </v>
      </c>
    </row>
    <row r="43" spans="1:13">
      <c r="A43" s="743">
        <f t="shared" si="0"/>
        <v>37895</v>
      </c>
      <c r="C43" s="744">
        <f t="shared" si="1"/>
        <v>31</v>
      </c>
      <c r="D43" s="747">
        <f ca="1">(IF($A43&gt;Endyr,0,IF($A43&lt;Assm!$F$32,G43,Capacity*C43)))*(1+RAROC!$N$12)</f>
        <v>3192690</v>
      </c>
      <c r="E43" s="745">
        <f t="shared" si="2"/>
        <v>0.56679999999999997</v>
      </c>
      <c r="F43" s="959">
        <f t="shared" ca="1" si="3"/>
        <v>1809.6166919999998</v>
      </c>
      <c r="G43" s="960">
        <f ca="1">[3]MMBTU!U66</f>
        <v>2095485.4047559449</v>
      </c>
      <c r="H43" s="745">
        <f t="shared" si="4"/>
        <v>6.4000000000000003E-3</v>
      </c>
      <c r="I43" s="959">
        <f t="shared" ca="1" si="5"/>
        <v>13.411106590438049</v>
      </c>
      <c r="J43" s="964">
        <f t="shared" ca="1" si="6"/>
        <v>1823.0277985904379</v>
      </c>
      <c r="K43" s="746">
        <f ca="1">VLOOKUP($A43,Curves_Table,Escalation!$O$291)</f>
        <v>1.166287045927733</v>
      </c>
      <c r="L43" s="748">
        <f t="shared" ca="1" si="7"/>
        <v>2126.1737058621802</v>
      </c>
      <c r="M43" s="749" t="str">
        <f t="shared" ca="1" si="8"/>
        <v xml:space="preserve"> </v>
      </c>
    </row>
    <row r="44" spans="1:13">
      <c r="A44" s="743">
        <f t="shared" si="0"/>
        <v>37926</v>
      </c>
      <c r="C44" s="744">
        <f t="shared" si="1"/>
        <v>30</v>
      </c>
      <c r="D44" s="747">
        <f ca="1">(IF($A44&gt;Endyr,0,IF($A44&lt;Assm!$F$32,G44,Capacity*C44)))*(1+RAROC!$N$12)</f>
        <v>3089700</v>
      </c>
      <c r="E44" s="745">
        <f t="shared" si="2"/>
        <v>0.56679999999999997</v>
      </c>
      <c r="F44" s="959">
        <f t="shared" ca="1" si="3"/>
        <v>1751.2419600000001</v>
      </c>
      <c r="G44" s="960">
        <f ca="1">[3]MMBTU!U67</f>
        <v>2027889.1013767209</v>
      </c>
      <c r="H44" s="745">
        <f t="shared" si="4"/>
        <v>6.4000000000000003E-3</v>
      </c>
      <c r="I44" s="959">
        <f t="shared" ca="1" si="5"/>
        <v>12.978490248811015</v>
      </c>
      <c r="J44" s="964">
        <f t="shared" ca="1" si="6"/>
        <v>1764.2204502488112</v>
      </c>
      <c r="K44" s="746">
        <f ca="1">VLOOKUP($A44,Curves_Table,Escalation!$O$291)</f>
        <v>1.166287045927733</v>
      </c>
      <c r="L44" s="748">
        <f t="shared" ca="1" si="7"/>
        <v>2057.5874572859811</v>
      </c>
      <c r="M44" s="749" t="str">
        <f t="shared" ca="1" si="8"/>
        <v xml:space="preserve"> </v>
      </c>
    </row>
    <row r="45" spans="1:13">
      <c r="A45" s="743">
        <f t="shared" si="0"/>
        <v>37956</v>
      </c>
      <c r="C45" s="744">
        <f t="shared" si="1"/>
        <v>31</v>
      </c>
      <c r="D45" s="747">
        <f ca="1">(IF($A45&gt;Endyr,0,IF($A45&lt;Assm!$F$32,G45,Capacity*C45)))*(1+RAROC!$N$12)</f>
        <v>3192690</v>
      </c>
      <c r="E45" s="745">
        <f t="shared" si="2"/>
        <v>0.56679999999999997</v>
      </c>
      <c r="F45" s="959">
        <f t="shared" ca="1" si="3"/>
        <v>1809.6166919999998</v>
      </c>
      <c r="G45" s="960">
        <f ca="1">[3]MMBTU!U68</f>
        <v>2095485.4047559449</v>
      </c>
      <c r="H45" s="745">
        <f t="shared" si="4"/>
        <v>6.4000000000000003E-3</v>
      </c>
      <c r="I45" s="959">
        <f t="shared" ca="1" si="5"/>
        <v>13.411106590438049</v>
      </c>
      <c r="J45" s="964">
        <f t="shared" ca="1" si="6"/>
        <v>1823.0277985904379</v>
      </c>
      <c r="K45" s="746">
        <f ca="1">VLOOKUP($A45,Curves_Table,Escalation!$O$291)</f>
        <v>1.166287045927733</v>
      </c>
      <c r="L45" s="748">
        <f t="shared" ca="1" si="7"/>
        <v>2126.1737058621802</v>
      </c>
      <c r="M45" s="749">
        <f t="shared" ca="1" si="8"/>
        <v>24793.36661323718</v>
      </c>
    </row>
    <row r="46" spans="1:13">
      <c r="A46" s="743">
        <f t="shared" si="0"/>
        <v>37987</v>
      </c>
      <c r="C46" s="744">
        <f t="shared" si="1"/>
        <v>31</v>
      </c>
      <c r="D46" s="747">
        <f ca="1">(IF($A46&gt;Endyr,0,IF($A46&lt;Assm!$F$32,G46,Capacity*C46)))*(1+RAROC!$N$12)</f>
        <v>3192690</v>
      </c>
      <c r="E46" s="745">
        <f t="shared" si="2"/>
        <v>0.56679999999999997</v>
      </c>
      <c r="F46" s="959">
        <f t="shared" ca="1" si="3"/>
        <v>1809.6166919999998</v>
      </c>
      <c r="G46" s="960">
        <f ca="1">[3]MMBTU!U69</f>
        <v>2095485.4047559449</v>
      </c>
      <c r="H46" s="745">
        <f t="shared" si="4"/>
        <v>6.4000000000000003E-3</v>
      </c>
      <c r="I46" s="959">
        <f t="shared" ca="1" si="5"/>
        <v>13.411106590438049</v>
      </c>
      <c r="J46" s="964">
        <f t="shared" ca="1" si="6"/>
        <v>1823.0277985904379</v>
      </c>
      <c r="K46" s="746">
        <f ca="1">VLOOKUP($A46,Curves_Table,Escalation!$O$291)</f>
        <v>1.166287045927733</v>
      </c>
      <c r="L46" s="748">
        <f t="shared" ca="1" si="7"/>
        <v>2126.1737058621802</v>
      </c>
      <c r="M46" s="749" t="str">
        <f t="shared" ca="1" si="8"/>
        <v xml:space="preserve"> </v>
      </c>
    </row>
    <row r="47" spans="1:13">
      <c r="A47" s="743">
        <f t="shared" si="0"/>
        <v>38018</v>
      </c>
      <c r="C47" s="744">
        <f t="shared" si="1"/>
        <v>29</v>
      </c>
      <c r="D47" s="747">
        <f ca="1">(IF($A47&gt;Endyr,0,IF($A47&lt;Assm!$F$32,G47,Capacity*C47)))*(1+RAROC!$N$12)</f>
        <v>2986710</v>
      </c>
      <c r="E47" s="745">
        <f t="shared" si="2"/>
        <v>0.56679999999999997</v>
      </c>
      <c r="F47" s="959">
        <f t="shared" ca="1" si="3"/>
        <v>1692.8672279999998</v>
      </c>
      <c r="G47" s="960">
        <f ca="1">[3]MMBTU!U70</f>
        <v>1960292.7979974968</v>
      </c>
      <c r="H47" s="745">
        <f t="shared" si="4"/>
        <v>6.4000000000000003E-3</v>
      </c>
      <c r="I47" s="959">
        <f t="shared" ca="1" si="5"/>
        <v>12.545873907183982</v>
      </c>
      <c r="J47" s="964">
        <f t="shared" ca="1" si="6"/>
        <v>1705.4131019071838</v>
      </c>
      <c r="K47" s="746">
        <f ca="1">VLOOKUP($A47,Curves_Table,Escalation!$O$291)</f>
        <v>1.166287045927733</v>
      </c>
      <c r="L47" s="748">
        <f t="shared" ca="1" si="7"/>
        <v>1989.0012087097812</v>
      </c>
      <c r="M47" s="749" t="str">
        <f t="shared" ca="1" si="8"/>
        <v xml:space="preserve"> </v>
      </c>
    </row>
    <row r="48" spans="1:13">
      <c r="A48" s="743">
        <f t="shared" si="0"/>
        <v>38047</v>
      </c>
      <c r="C48" s="744">
        <f t="shared" si="1"/>
        <v>31</v>
      </c>
      <c r="D48" s="747">
        <f ca="1">(IF($A48&gt;Endyr,0,IF($A48&lt;Assm!$F$32,G48,Capacity*C48)))*(1+RAROC!$N$12)</f>
        <v>3192690</v>
      </c>
      <c r="E48" s="745">
        <f t="shared" si="2"/>
        <v>0.56679999999999997</v>
      </c>
      <c r="F48" s="959">
        <f t="shared" ca="1" si="3"/>
        <v>1809.6166919999998</v>
      </c>
      <c r="G48" s="960">
        <f ca="1">[3]MMBTU!U71</f>
        <v>2095485.4047559449</v>
      </c>
      <c r="H48" s="745">
        <f t="shared" si="4"/>
        <v>6.4000000000000003E-3</v>
      </c>
      <c r="I48" s="959">
        <f t="shared" ca="1" si="5"/>
        <v>13.411106590438049</v>
      </c>
      <c r="J48" s="964">
        <f t="shared" ca="1" si="6"/>
        <v>1823.0277985904379</v>
      </c>
      <c r="K48" s="746">
        <f ca="1">VLOOKUP($A48,Curves_Table,Escalation!$O$291)</f>
        <v>1.166287045927733</v>
      </c>
      <c r="L48" s="748">
        <f t="shared" ca="1" si="7"/>
        <v>2126.1737058621802</v>
      </c>
      <c r="M48" s="749" t="str">
        <f t="shared" ca="1" si="8"/>
        <v xml:space="preserve"> </v>
      </c>
    </row>
    <row r="49" spans="1:13">
      <c r="A49" s="743">
        <f t="shared" si="0"/>
        <v>38078</v>
      </c>
      <c r="C49" s="744">
        <f t="shared" si="1"/>
        <v>30</v>
      </c>
      <c r="D49" s="747">
        <f ca="1">(IF($A49&gt;Endyr,0,IF($A49&lt;Assm!$F$32,G49,Capacity*C49)))*(1+RAROC!$N$12)</f>
        <v>3089700</v>
      </c>
      <c r="E49" s="745">
        <f t="shared" si="2"/>
        <v>0.56679999999999997</v>
      </c>
      <c r="F49" s="959">
        <f t="shared" ca="1" si="3"/>
        <v>1751.2419600000001</v>
      </c>
      <c r="G49" s="960">
        <f ca="1">[3]MMBTU!U72</f>
        <v>2027889.1013767209</v>
      </c>
      <c r="H49" s="745">
        <f t="shared" si="4"/>
        <v>6.4000000000000003E-3</v>
      </c>
      <c r="I49" s="959">
        <f t="shared" ca="1" si="5"/>
        <v>12.978490248811015</v>
      </c>
      <c r="J49" s="964">
        <f t="shared" ca="1" si="6"/>
        <v>1764.2204502488112</v>
      </c>
      <c r="K49" s="746">
        <f ca="1">VLOOKUP($A49,Curves_Table,Escalation!$O$291)</f>
        <v>1.166287045927733</v>
      </c>
      <c r="L49" s="748">
        <f t="shared" ca="1" si="7"/>
        <v>2057.5874572859811</v>
      </c>
      <c r="M49" s="749" t="str">
        <f t="shared" ca="1" si="8"/>
        <v xml:space="preserve"> </v>
      </c>
    </row>
    <row r="50" spans="1:13">
      <c r="A50" s="743">
        <f t="shared" si="0"/>
        <v>38108</v>
      </c>
      <c r="C50" s="744">
        <f t="shared" si="1"/>
        <v>31</v>
      </c>
      <c r="D50" s="747">
        <f ca="1">(IF($A50&gt;Endyr,0,IF($A50&lt;Assm!$F$32,G50,Capacity*C50)))*(1+RAROC!$N$12)</f>
        <v>3192690</v>
      </c>
      <c r="E50" s="745">
        <f t="shared" si="2"/>
        <v>0.56679999999999997</v>
      </c>
      <c r="F50" s="959">
        <f t="shared" ca="1" si="3"/>
        <v>1809.6166919999998</v>
      </c>
      <c r="G50" s="960">
        <f ca="1">[3]MMBTU!U73</f>
        <v>2095485.4047559449</v>
      </c>
      <c r="H50" s="745">
        <f t="shared" si="4"/>
        <v>6.4000000000000003E-3</v>
      </c>
      <c r="I50" s="959">
        <f t="shared" ca="1" si="5"/>
        <v>13.411106590438049</v>
      </c>
      <c r="J50" s="964">
        <f t="shared" ca="1" si="6"/>
        <v>1823.0277985904379</v>
      </c>
      <c r="K50" s="746">
        <f ca="1">VLOOKUP($A50,Curves_Table,Escalation!$O$291)</f>
        <v>1.2003493342906499</v>
      </c>
      <c r="L50" s="748">
        <f t="shared" ca="1" si="7"/>
        <v>2188.270204431381</v>
      </c>
      <c r="M50" s="749" t="str">
        <f t="shared" ca="1" si="8"/>
        <v xml:space="preserve"> </v>
      </c>
    </row>
    <row r="51" spans="1:13">
      <c r="A51" s="743">
        <f t="shared" si="0"/>
        <v>38139</v>
      </c>
      <c r="C51" s="744">
        <f t="shared" si="1"/>
        <v>30</v>
      </c>
      <c r="D51" s="747">
        <f ca="1">(IF($A51&gt;Endyr,0,IF($A51&lt;Assm!$F$32,G51,Capacity*C51)))*(1+RAROC!$N$12)</f>
        <v>3089700</v>
      </c>
      <c r="E51" s="745">
        <f t="shared" si="2"/>
        <v>0.56679999999999997</v>
      </c>
      <c r="F51" s="959">
        <f t="shared" ca="1" si="3"/>
        <v>1751.2419600000001</v>
      </c>
      <c r="G51" s="960">
        <f ca="1">[3]MMBTU!U74</f>
        <v>2027889.1013767209</v>
      </c>
      <c r="H51" s="745">
        <f t="shared" si="4"/>
        <v>6.4000000000000003E-3</v>
      </c>
      <c r="I51" s="959">
        <f t="shared" ca="1" si="5"/>
        <v>12.978490248811015</v>
      </c>
      <c r="J51" s="964">
        <f t="shared" ca="1" si="6"/>
        <v>1764.2204502488112</v>
      </c>
      <c r="K51" s="746">
        <f ca="1">VLOOKUP($A51,Curves_Table,Escalation!$O$291)</f>
        <v>1.2003493342906499</v>
      </c>
      <c r="L51" s="748">
        <f t="shared" ca="1" si="7"/>
        <v>2117.6808429981111</v>
      </c>
      <c r="M51" s="749" t="str">
        <f t="shared" ca="1" si="8"/>
        <v xml:space="preserve"> </v>
      </c>
    </row>
    <row r="52" spans="1:13">
      <c r="A52" s="743">
        <f t="shared" si="0"/>
        <v>38169</v>
      </c>
      <c r="C52" s="744">
        <f t="shared" si="1"/>
        <v>31</v>
      </c>
      <c r="D52" s="747">
        <f ca="1">(IF($A52&gt;Endyr,0,IF($A52&lt;Assm!$F$32,G52,Capacity*C52)))*(1+RAROC!$N$12)</f>
        <v>3192690</v>
      </c>
      <c r="E52" s="745">
        <f t="shared" si="2"/>
        <v>0.56679999999999997</v>
      </c>
      <c r="F52" s="959">
        <f t="shared" ca="1" si="3"/>
        <v>1809.6166919999998</v>
      </c>
      <c r="G52" s="960">
        <f ca="1">[3]MMBTU!U75</f>
        <v>2095485.4047559449</v>
      </c>
      <c r="H52" s="745">
        <f t="shared" si="4"/>
        <v>6.4000000000000003E-3</v>
      </c>
      <c r="I52" s="959">
        <f t="shared" ca="1" si="5"/>
        <v>13.411106590438049</v>
      </c>
      <c r="J52" s="964">
        <f t="shared" ca="1" si="6"/>
        <v>1823.0277985904379</v>
      </c>
      <c r="K52" s="746">
        <f ca="1">VLOOKUP($A52,Curves_Table,Escalation!$O$291)</f>
        <v>1.2003493342906499</v>
      </c>
      <c r="L52" s="748">
        <f t="shared" ca="1" si="7"/>
        <v>2188.270204431381</v>
      </c>
      <c r="M52" s="749" t="str">
        <f t="shared" ca="1" si="8"/>
        <v xml:space="preserve"> </v>
      </c>
    </row>
    <row r="53" spans="1:13">
      <c r="A53" s="743">
        <f t="shared" si="0"/>
        <v>38200</v>
      </c>
      <c r="C53" s="744">
        <f t="shared" si="1"/>
        <v>31</v>
      </c>
      <c r="D53" s="747">
        <f ca="1">(IF($A53&gt;Endyr,0,IF($A53&lt;Assm!$F$32,G53,Capacity*C53)))*(1+RAROC!$N$12)</f>
        <v>3192690</v>
      </c>
      <c r="E53" s="745">
        <f t="shared" si="2"/>
        <v>0.56679999999999997</v>
      </c>
      <c r="F53" s="959">
        <f t="shared" ca="1" si="3"/>
        <v>1809.6166919999998</v>
      </c>
      <c r="G53" s="960">
        <f ca="1">[3]MMBTU!U76</f>
        <v>2095485.4047559449</v>
      </c>
      <c r="H53" s="745">
        <f t="shared" si="4"/>
        <v>6.4000000000000003E-3</v>
      </c>
      <c r="I53" s="959">
        <f t="shared" ca="1" si="5"/>
        <v>13.411106590438049</v>
      </c>
      <c r="J53" s="964">
        <f t="shared" ca="1" si="6"/>
        <v>1823.0277985904379</v>
      </c>
      <c r="K53" s="746">
        <f ca="1">VLOOKUP($A53,Curves_Table,Escalation!$O$291)</f>
        <v>1.2003493342906499</v>
      </c>
      <c r="L53" s="748">
        <f t="shared" ca="1" si="7"/>
        <v>2188.270204431381</v>
      </c>
      <c r="M53" s="749" t="str">
        <f t="shared" ca="1" si="8"/>
        <v xml:space="preserve"> </v>
      </c>
    </row>
    <row r="54" spans="1:13">
      <c r="A54" s="743">
        <f t="shared" si="0"/>
        <v>38231</v>
      </c>
      <c r="C54" s="744">
        <f t="shared" si="1"/>
        <v>30</v>
      </c>
      <c r="D54" s="747">
        <f ca="1">(IF($A54&gt;Endyr,0,IF($A54&lt;Assm!$F$32,G54,Capacity*C54)))*(1+RAROC!$N$12)</f>
        <v>3089700</v>
      </c>
      <c r="E54" s="745">
        <f t="shared" si="2"/>
        <v>0.56679999999999997</v>
      </c>
      <c r="F54" s="959">
        <f t="shared" ca="1" si="3"/>
        <v>1751.2419600000001</v>
      </c>
      <c r="G54" s="960">
        <f ca="1">[3]MMBTU!U77</f>
        <v>2027889.1013767209</v>
      </c>
      <c r="H54" s="745">
        <f t="shared" si="4"/>
        <v>6.4000000000000003E-3</v>
      </c>
      <c r="I54" s="959">
        <f t="shared" ca="1" si="5"/>
        <v>12.978490248811015</v>
      </c>
      <c r="J54" s="964">
        <f t="shared" ca="1" si="6"/>
        <v>1764.2204502488112</v>
      </c>
      <c r="K54" s="746">
        <f ca="1">VLOOKUP($A54,Curves_Table,Escalation!$O$291)</f>
        <v>1.2003493342906499</v>
      </c>
      <c r="L54" s="748">
        <f t="shared" ca="1" si="7"/>
        <v>2117.6808429981111</v>
      </c>
      <c r="M54" s="749" t="str">
        <f t="shared" ca="1" si="8"/>
        <v xml:space="preserve"> </v>
      </c>
    </row>
    <row r="55" spans="1:13">
      <c r="A55" s="743">
        <f t="shared" si="0"/>
        <v>38261</v>
      </c>
      <c r="C55" s="744">
        <f t="shared" si="1"/>
        <v>31</v>
      </c>
      <c r="D55" s="747">
        <f ca="1">(IF($A55&gt;Endyr,0,IF($A55&lt;Assm!$F$32,G55,Capacity*C55)))*(1+RAROC!$N$12)</f>
        <v>3192690</v>
      </c>
      <c r="E55" s="745">
        <f t="shared" si="2"/>
        <v>0.56679999999999997</v>
      </c>
      <c r="F55" s="959">
        <f t="shared" ca="1" si="3"/>
        <v>1809.6166919999998</v>
      </c>
      <c r="G55" s="960">
        <f ca="1">[3]MMBTU!U78</f>
        <v>2095485.4047559449</v>
      </c>
      <c r="H55" s="745">
        <f t="shared" si="4"/>
        <v>6.4000000000000003E-3</v>
      </c>
      <c r="I55" s="959">
        <f t="shared" ca="1" si="5"/>
        <v>13.411106590438049</v>
      </c>
      <c r="J55" s="964">
        <f t="shared" ca="1" si="6"/>
        <v>1823.0277985904379</v>
      </c>
      <c r="K55" s="746">
        <f ca="1">VLOOKUP($A55,Curves_Table,Escalation!$O$291)</f>
        <v>1.2003493342906499</v>
      </c>
      <c r="L55" s="748">
        <f t="shared" ca="1" si="7"/>
        <v>2188.270204431381</v>
      </c>
      <c r="M55" s="749" t="str">
        <f t="shared" ca="1" si="8"/>
        <v xml:space="preserve"> </v>
      </c>
    </row>
    <row r="56" spans="1:13">
      <c r="A56" s="743">
        <f t="shared" si="0"/>
        <v>38292</v>
      </c>
      <c r="C56" s="744">
        <f t="shared" si="1"/>
        <v>30</v>
      </c>
      <c r="D56" s="747">
        <f ca="1">(IF($A56&gt;Endyr,0,IF($A56&lt;Assm!$F$32,G56,Capacity*C56)))*(1+RAROC!$N$12)</f>
        <v>3089700</v>
      </c>
      <c r="E56" s="745">
        <f t="shared" si="2"/>
        <v>0.56679999999999997</v>
      </c>
      <c r="F56" s="959">
        <f t="shared" ca="1" si="3"/>
        <v>1751.2419600000001</v>
      </c>
      <c r="G56" s="960">
        <f ca="1">[3]MMBTU!U79</f>
        <v>2027889.1013767209</v>
      </c>
      <c r="H56" s="745">
        <f t="shared" si="4"/>
        <v>6.4000000000000003E-3</v>
      </c>
      <c r="I56" s="959">
        <f t="shared" ca="1" si="5"/>
        <v>12.978490248811015</v>
      </c>
      <c r="J56" s="964">
        <f t="shared" ca="1" si="6"/>
        <v>1764.2204502488112</v>
      </c>
      <c r="K56" s="746">
        <f ca="1">VLOOKUP($A56,Curves_Table,Escalation!$O$291)</f>
        <v>1.2003493342906499</v>
      </c>
      <c r="L56" s="748">
        <f t="shared" ca="1" si="7"/>
        <v>2117.6808429981111</v>
      </c>
      <c r="M56" s="749" t="str">
        <f t="shared" ca="1" si="8"/>
        <v xml:space="preserve"> </v>
      </c>
    </row>
    <row r="57" spans="1:13">
      <c r="A57" s="743">
        <f t="shared" si="0"/>
        <v>38322</v>
      </c>
      <c r="C57" s="744">
        <f t="shared" si="1"/>
        <v>31</v>
      </c>
      <c r="D57" s="747">
        <f ca="1">(IF($A57&gt;Endyr,0,IF($A57&lt;Assm!$F$32,G57,Capacity*C57)))*(1+RAROC!$N$12)</f>
        <v>3192690</v>
      </c>
      <c r="E57" s="745">
        <f t="shared" si="2"/>
        <v>0.56679999999999997</v>
      </c>
      <c r="F57" s="959">
        <f t="shared" ca="1" si="3"/>
        <v>1809.6166919999998</v>
      </c>
      <c r="G57" s="960">
        <f ca="1">[3]MMBTU!U80</f>
        <v>2095485.4047559449</v>
      </c>
      <c r="H57" s="745">
        <f t="shared" si="4"/>
        <v>6.4000000000000003E-3</v>
      </c>
      <c r="I57" s="959">
        <f t="shared" ca="1" si="5"/>
        <v>13.411106590438049</v>
      </c>
      <c r="J57" s="964">
        <f t="shared" ca="1" si="6"/>
        <v>1823.0277985904379</v>
      </c>
      <c r="K57" s="746">
        <f ca="1">VLOOKUP($A57,Curves_Table,Escalation!$O$291)</f>
        <v>1.2003493342906499</v>
      </c>
      <c r="L57" s="748">
        <f t="shared" ca="1" si="7"/>
        <v>2188.270204431381</v>
      </c>
      <c r="M57" s="749">
        <f t="shared" ca="1" si="8"/>
        <v>25593.329628871357</v>
      </c>
    </row>
    <row r="58" spans="1:13">
      <c r="A58" s="743">
        <f t="shared" si="0"/>
        <v>38353</v>
      </c>
      <c r="C58" s="744">
        <f t="shared" si="1"/>
        <v>31</v>
      </c>
      <c r="D58" s="747">
        <f ca="1">(IF($A58&gt;Endyr,0,IF($A58&lt;Assm!$F$32,G58,Capacity*C58)))*(1+RAROC!$N$12)</f>
        <v>3192690</v>
      </c>
      <c r="E58" s="745">
        <f t="shared" si="2"/>
        <v>0.56679999999999997</v>
      </c>
      <c r="F58" s="959">
        <f t="shared" ca="1" si="3"/>
        <v>1809.6166919999998</v>
      </c>
      <c r="G58" s="960">
        <f ca="1">[3]MMBTU!U81</f>
        <v>2095485.4047559449</v>
      </c>
      <c r="H58" s="745">
        <f t="shared" si="4"/>
        <v>6.4000000000000003E-3</v>
      </c>
      <c r="I58" s="959">
        <f t="shared" ca="1" si="5"/>
        <v>13.411106590438049</v>
      </c>
      <c r="J58" s="964">
        <f t="shared" ca="1" si="6"/>
        <v>1823.0277985904379</v>
      </c>
      <c r="K58" s="746">
        <f ca="1">VLOOKUP($A58,Curves_Table,Escalation!$O$291)</f>
        <v>1.2003493342906499</v>
      </c>
      <c r="L58" s="748">
        <f t="shared" ca="1" si="7"/>
        <v>2188.270204431381</v>
      </c>
      <c r="M58" s="749" t="str">
        <f t="shared" ca="1" si="8"/>
        <v xml:space="preserve"> </v>
      </c>
    </row>
    <row r="59" spans="1:13">
      <c r="A59" s="743">
        <f t="shared" si="0"/>
        <v>38384</v>
      </c>
      <c r="C59" s="744">
        <f t="shared" si="1"/>
        <v>28</v>
      </c>
      <c r="D59" s="747">
        <f ca="1">(IF($A59&gt;Endyr,0,IF($A59&lt;Assm!$F$32,G59,Capacity*C59)))*(1+RAROC!$N$12)</f>
        <v>2883720</v>
      </c>
      <c r="E59" s="745">
        <f t="shared" si="2"/>
        <v>0.56679999999999997</v>
      </c>
      <c r="F59" s="959">
        <f t="shared" ca="1" si="3"/>
        <v>1634.4924959999998</v>
      </c>
      <c r="G59" s="960">
        <f ca="1">[3]MMBTU!U82</f>
        <v>1892696.4946182731</v>
      </c>
      <c r="H59" s="745">
        <f t="shared" si="4"/>
        <v>6.4000000000000003E-3</v>
      </c>
      <c r="I59" s="959">
        <f t="shared" ca="1" si="5"/>
        <v>12.11325756555695</v>
      </c>
      <c r="J59" s="964">
        <f t="shared" ca="1" si="6"/>
        <v>1646.6057535655568</v>
      </c>
      <c r="K59" s="746">
        <f ca="1">VLOOKUP($A59,Curves_Table,Escalation!$O$291)</f>
        <v>1.2003493342906499</v>
      </c>
      <c r="L59" s="748">
        <f t="shared" ca="1" si="7"/>
        <v>1976.5021201315701</v>
      </c>
      <c r="M59" s="749" t="str">
        <f t="shared" ca="1" si="8"/>
        <v xml:space="preserve"> </v>
      </c>
    </row>
    <row r="60" spans="1:13">
      <c r="A60" s="743">
        <f t="shared" si="0"/>
        <v>38412</v>
      </c>
      <c r="C60" s="744">
        <f t="shared" si="1"/>
        <v>31</v>
      </c>
      <c r="D60" s="747">
        <f ca="1">(IF($A60&gt;Endyr,0,IF($A60&lt;Assm!$F$32,G60,Capacity*C60)))*(1+RAROC!$N$12)</f>
        <v>3192690</v>
      </c>
      <c r="E60" s="745">
        <f t="shared" si="2"/>
        <v>0.56679999999999997</v>
      </c>
      <c r="F60" s="959">
        <f t="shared" ca="1" si="3"/>
        <v>1809.6166919999998</v>
      </c>
      <c r="G60" s="960">
        <f ca="1">[3]MMBTU!U83</f>
        <v>2095485.4047559449</v>
      </c>
      <c r="H60" s="745">
        <f t="shared" si="4"/>
        <v>6.4000000000000003E-3</v>
      </c>
      <c r="I60" s="959">
        <f t="shared" ca="1" si="5"/>
        <v>13.411106590438049</v>
      </c>
      <c r="J60" s="964">
        <f t="shared" ca="1" si="6"/>
        <v>1823.0277985904379</v>
      </c>
      <c r="K60" s="746">
        <f ca="1">VLOOKUP($A60,Curves_Table,Escalation!$O$291)</f>
        <v>1.2003493342906499</v>
      </c>
      <c r="L60" s="748">
        <f t="shared" ca="1" si="7"/>
        <v>2188.270204431381</v>
      </c>
      <c r="M60" s="749" t="str">
        <f t="shared" ca="1" si="8"/>
        <v xml:space="preserve"> </v>
      </c>
    </row>
    <row r="61" spans="1:13">
      <c r="A61" s="743">
        <f t="shared" si="0"/>
        <v>38443</v>
      </c>
      <c r="C61" s="744">
        <f t="shared" si="1"/>
        <v>30</v>
      </c>
      <c r="D61" s="747">
        <f ca="1">(IF($A61&gt;Endyr,0,IF($A61&lt;Assm!$F$32,G61,Capacity*C61)))*(1+RAROC!$N$12)</f>
        <v>3089700</v>
      </c>
      <c r="E61" s="745">
        <f t="shared" si="2"/>
        <v>0.56679999999999997</v>
      </c>
      <c r="F61" s="959">
        <f t="shared" ca="1" si="3"/>
        <v>1751.2419600000001</v>
      </c>
      <c r="G61" s="960">
        <f ca="1">[3]MMBTU!U84</f>
        <v>2027889.1013767209</v>
      </c>
      <c r="H61" s="745">
        <f t="shared" si="4"/>
        <v>6.4000000000000003E-3</v>
      </c>
      <c r="I61" s="959">
        <f t="shared" ca="1" si="5"/>
        <v>12.978490248811015</v>
      </c>
      <c r="J61" s="964">
        <f t="shared" ca="1" si="6"/>
        <v>1764.2204502488112</v>
      </c>
      <c r="K61" s="746">
        <f ca="1">VLOOKUP($A61,Curves_Table,Escalation!$O$291)</f>
        <v>1.2003493342906499</v>
      </c>
      <c r="L61" s="748">
        <f t="shared" ca="1" si="7"/>
        <v>2117.6808429981111</v>
      </c>
      <c r="M61" s="749" t="str">
        <f t="shared" ca="1" si="8"/>
        <v xml:space="preserve"> </v>
      </c>
    </row>
    <row r="62" spans="1:13">
      <c r="A62" s="743">
        <f t="shared" si="0"/>
        <v>38473</v>
      </c>
      <c r="C62" s="744">
        <f t="shared" si="1"/>
        <v>31</v>
      </c>
      <c r="D62" s="747">
        <f ca="1">(IF($A62&gt;Endyr,0,IF($A62&lt;Assm!$F$32,G62,Capacity*C62)))*(1+RAROC!$N$12)</f>
        <v>3192690</v>
      </c>
      <c r="E62" s="745">
        <f t="shared" si="2"/>
        <v>0.56679999999999997</v>
      </c>
      <c r="F62" s="959">
        <f t="shared" ca="1" si="3"/>
        <v>1809.6166919999998</v>
      </c>
      <c r="G62" s="960">
        <f ca="1">[3]MMBTU!U85</f>
        <v>2095485.4047559449</v>
      </c>
      <c r="H62" s="745">
        <f t="shared" si="4"/>
        <v>6.4000000000000003E-3</v>
      </c>
      <c r="I62" s="959">
        <f t="shared" ca="1" si="5"/>
        <v>13.411106590438049</v>
      </c>
      <c r="J62" s="964">
        <f t="shared" ca="1" si="6"/>
        <v>1823.0277985904379</v>
      </c>
      <c r="K62" s="746">
        <f ca="1">VLOOKUP($A62,Curves_Table,Escalation!$O$291)</f>
        <v>1.2346229437596627</v>
      </c>
      <c r="L62" s="748">
        <f t="shared" ca="1" si="7"/>
        <v>2250.7519472514241</v>
      </c>
      <c r="M62" s="749" t="str">
        <f t="shared" ca="1" si="8"/>
        <v xml:space="preserve"> </v>
      </c>
    </row>
    <row r="63" spans="1:13">
      <c r="A63" s="743">
        <f t="shared" si="0"/>
        <v>38504</v>
      </c>
      <c r="C63" s="744">
        <f t="shared" si="1"/>
        <v>30</v>
      </c>
      <c r="D63" s="747">
        <f ca="1">(IF($A63&gt;Endyr,0,IF($A63&lt;Assm!$F$32,G63,Capacity*C63)))*(1+RAROC!$N$12)</f>
        <v>3089700</v>
      </c>
      <c r="E63" s="745">
        <f t="shared" si="2"/>
        <v>0.56679999999999997</v>
      </c>
      <c r="F63" s="959">
        <f t="shared" ca="1" si="3"/>
        <v>1751.2419600000001</v>
      </c>
      <c r="G63" s="960">
        <f ca="1">[3]MMBTU!U86</f>
        <v>2027889.1013767209</v>
      </c>
      <c r="H63" s="745">
        <f t="shared" si="4"/>
        <v>6.4000000000000003E-3</v>
      </c>
      <c r="I63" s="959">
        <f t="shared" ca="1" si="5"/>
        <v>12.978490248811015</v>
      </c>
      <c r="J63" s="964">
        <f t="shared" ca="1" si="6"/>
        <v>1764.2204502488112</v>
      </c>
      <c r="K63" s="746">
        <f ca="1">VLOOKUP($A63,Curves_Table,Escalation!$O$291)</f>
        <v>1.2346229437596627</v>
      </c>
      <c r="L63" s="748">
        <f t="shared" ca="1" si="7"/>
        <v>2178.1470457271848</v>
      </c>
      <c r="M63" s="749" t="str">
        <f t="shared" ca="1" si="8"/>
        <v xml:space="preserve"> </v>
      </c>
    </row>
    <row r="64" spans="1:13">
      <c r="A64" s="743">
        <f t="shared" si="0"/>
        <v>38534</v>
      </c>
      <c r="C64" s="744">
        <f t="shared" si="1"/>
        <v>31</v>
      </c>
      <c r="D64" s="747">
        <f ca="1">(IF($A64&gt;Endyr,0,IF($A64&lt;Assm!$F$32,G64,Capacity*C64)))*(1+RAROC!$N$12)</f>
        <v>3192690</v>
      </c>
      <c r="E64" s="745">
        <f t="shared" si="2"/>
        <v>0.56679999999999997</v>
      </c>
      <c r="F64" s="959">
        <f t="shared" ca="1" si="3"/>
        <v>1809.6166919999998</v>
      </c>
      <c r="G64" s="960">
        <f ca="1">[3]MMBTU!U87</f>
        <v>2095485.4047559449</v>
      </c>
      <c r="H64" s="745">
        <f t="shared" si="4"/>
        <v>6.4000000000000003E-3</v>
      </c>
      <c r="I64" s="959">
        <f t="shared" ca="1" si="5"/>
        <v>13.411106590438049</v>
      </c>
      <c r="J64" s="964">
        <f t="shared" ca="1" si="6"/>
        <v>1823.0277985904379</v>
      </c>
      <c r="K64" s="746">
        <f ca="1">VLOOKUP($A64,Curves_Table,Escalation!$O$291)</f>
        <v>1.2346229437596627</v>
      </c>
      <c r="L64" s="748">
        <f t="shared" ca="1" si="7"/>
        <v>2250.7519472514241</v>
      </c>
      <c r="M64" s="749" t="str">
        <f t="shared" ca="1" si="8"/>
        <v xml:space="preserve"> </v>
      </c>
    </row>
    <row r="65" spans="1:13">
      <c r="A65" s="743">
        <f t="shared" si="0"/>
        <v>38565</v>
      </c>
      <c r="C65" s="744">
        <f t="shared" si="1"/>
        <v>31</v>
      </c>
      <c r="D65" s="747">
        <f ca="1">(IF($A65&gt;Endyr,0,IF($A65&lt;Assm!$F$32,G65,Capacity*C65)))*(1+RAROC!$N$12)</f>
        <v>3192690</v>
      </c>
      <c r="E65" s="745">
        <f t="shared" si="2"/>
        <v>0.56679999999999997</v>
      </c>
      <c r="F65" s="959">
        <f t="shared" ca="1" si="3"/>
        <v>1809.6166919999998</v>
      </c>
      <c r="G65" s="960">
        <f ca="1">[3]MMBTU!U88</f>
        <v>2095485.4047559449</v>
      </c>
      <c r="H65" s="745">
        <f t="shared" si="4"/>
        <v>6.4000000000000003E-3</v>
      </c>
      <c r="I65" s="959">
        <f t="shared" ca="1" si="5"/>
        <v>13.411106590438049</v>
      </c>
      <c r="J65" s="964">
        <f t="shared" ca="1" si="6"/>
        <v>1823.0277985904379</v>
      </c>
      <c r="K65" s="746">
        <f ca="1">VLOOKUP($A65,Curves_Table,Escalation!$O$291)</f>
        <v>1.2346229437596627</v>
      </c>
      <c r="L65" s="748">
        <f t="shared" ca="1" si="7"/>
        <v>2250.7519472514241</v>
      </c>
      <c r="M65" s="749" t="str">
        <f t="shared" ca="1" si="8"/>
        <v xml:space="preserve"> </v>
      </c>
    </row>
    <row r="66" spans="1:13">
      <c r="A66" s="743">
        <f t="shared" si="0"/>
        <v>38596</v>
      </c>
      <c r="C66" s="744">
        <f t="shared" si="1"/>
        <v>30</v>
      </c>
      <c r="D66" s="747">
        <f ca="1">(IF($A66&gt;Endyr,0,IF($A66&lt;Assm!$F$32,G66,Capacity*C66)))*(1+RAROC!$N$12)</f>
        <v>3089700</v>
      </c>
      <c r="E66" s="745">
        <f t="shared" si="2"/>
        <v>0.56679999999999997</v>
      </c>
      <c r="F66" s="959">
        <f t="shared" ca="1" si="3"/>
        <v>1751.2419600000001</v>
      </c>
      <c r="G66" s="960">
        <f ca="1">[3]MMBTU!U89</f>
        <v>2027889.1013767209</v>
      </c>
      <c r="H66" s="745">
        <f t="shared" si="4"/>
        <v>6.4000000000000003E-3</v>
      </c>
      <c r="I66" s="959">
        <f t="shared" ca="1" si="5"/>
        <v>12.978490248811015</v>
      </c>
      <c r="J66" s="964">
        <f t="shared" ca="1" si="6"/>
        <v>1764.2204502488112</v>
      </c>
      <c r="K66" s="746">
        <f ca="1">VLOOKUP($A66,Curves_Table,Escalation!$O$291)</f>
        <v>1.2346229437596627</v>
      </c>
      <c r="L66" s="748">
        <f t="shared" ca="1" si="7"/>
        <v>2178.1470457271848</v>
      </c>
      <c r="M66" s="749" t="str">
        <f t="shared" ca="1" si="8"/>
        <v xml:space="preserve"> </v>
      </c>
    </row>
    <row r="67" spans="1:13">
      <c r="A67" s="743">
        <f t="shared" si="0"/>
        <v>38626</v>
      </c>
      <c r="C67" s="744">
        <f t="shared" si="1"/>
        <v>31</v>
      </c>
      <c r="D67" s="747">
        <f ca="1">(IF($A67&gt;Endyr,0,IF($A67&lt;Assm!$F$32,G67,Capacity*C67)))*(1+RAROC!$N$12)</f>
        <v>3192690</v>
      </c>
      <c r="E67" s="745">
        <f t="shared" si="2"/>
        <v>0.56679999999999997</v>
      </c>
      <c r="F67" s="959">
        <f t="shared" ca="1" si="3"/>
        <v>1809.6166919999998</v>
      </c>
      <c r="G67" s="960">
        <f ca="1">[3]MMBTU!U90</f>
        <v>2095485.4047559449</v>
      </c>
      <c r="H67" s="745">
        <f t="shared" si="4"/>
        <v>6.4000000000000003E-3</v>
      </c>
      <c r="I67" s="959">
        <f t="shared" ca="1" si="5"/>
        <v>13.411106590438049</v>
      </c>
      <c r="J67" s="964">
        <f t="shared" ca="1" si="6"/>
        <v>1823.0277985904379</v>
      </c>
      <c r="K67" s="746">
        <f ca="1">VLOOKUP($A67,Curves_Table,Escalation!$O$291)</f>
        <v>1.2346229437596627</v>
      </c>
      <c r="L67" s="748">
        <f t="shared" ca="1" si="7"/>
        <v>2250.7519472514241</v>
      </c>
      <c r="M67" s="749" t="str">
        <f t="shared" ca="1" si="8"/>
        <v xml:space="preserve"> </v>
      </c>
    </row>
    <row r="68" spans="1:13">
      <c r="A68" s="743">
        <f t="shared" si="0"/>
        <v>38657</v>
      </c>
      <c r="C68" s="744">
        <f t="shared" si="1"/>
        <v>30</v>
      </c>
      <c r="D68" s="747">
        <f ca="1">(IF($A68&gt;Endyr,0,IF($A68&lt;Assm!$F$32,G68,Capacity*C68)))*(1+RAROC!$N$12)</f>
        <v>3089700</v>
      </c>
      <c r="E68" s="745">
        <f t="shared" si="2"/>
        <v>0.56679999999999997</v>
      </c>
      <c r="F68" s="959">
        <f t="shared" ca="1" si="3"/>
        <v>1751.2419600000001</v>
      </c>
      <c r="G68" s="960">
        <f ca="1">[3]MMBTU!U91</f>
        <v>2027889.1013767209</v>
      </c>
      <c r="H68" s="745">
        <f t="shared" si="4"/>
        <v>6.4000000000000003E-3</v>
      </c>
      <c r="I68" s="959">
        <f t="shared" ca="1" si="5"/>
        <v>12.978490248811015</v>
      </c>
      <c r="J68" s="964">
        <f t="shared" ca="1" si="6"/>
        <v>1764.2204502488112</v>
      </c>
      <c r="K68" s="746">
        <f ca="1">VLOOKUP($A68,Curves_Table,Escalation!$O$291)</f>
        <v>1.2346229437596627</v>
      </c>
      <c r="L68" s="748">
        <f t="shared" ca="1" si="7"/>
        <v>2178.1470457271848</v>
      </c>
      <c r="M68" s="749" t="str">
        <f t="shared" ca="1" si="8"/>
        <v xml:space="preserve"> </v>
      </c>
    </row>
    <row r="69" spans="1:13">
      <c r="A69" s="743">
        <f t="shared" si="0"/>
        <v>38687</v>
      </c>
      <c r="C69" s="744">
        <f t="shared" si="1"/>
        <v>31</v>
      </c>
      <c r="D69" s="747">
        <f ca="1">(IF($A69&gt;Endyr,0,IF($A69&lt;Assm!$F$32,G69,Capacity*C69)))*(1+RAROC!$N$12)</f>
        <v>3192690</v>
      </c>
      <c r="E69" s="745">
        <f t="shared" si="2"/>
        <v>0.56679999999999997</v>
      </c>
      <c r="F69" s="959">
        <f t="shared" ca="1" si="3"/>
        <v>1809.6166919999998</v>
      </c>
      <c r="G69" s="960">
        <f ca="1">[3]MMBTU!U92</f>
        <v>2095485.4047559449</v>
      </c>
      <c r="H69" s="745">
        <f t="shared" si="4"/>
        <v>6.4000000000000003E-3</v>
      </c>
      <c r="I69" s="959">
        <f t="shared" ca="1" si="5"/>
        <v>13.411106590438049</v>
      </c>
      <c r="J69" s="964">
        <f t="shared" ca="1" si="6"/>
        <v>1823.0277985904379</v>
      </c>
      <c r="K69" s="746">
        <f ca="1">VLOOKUP($A69,Curves_Table,Escalation!$O$291)</f>
        <v>1.2346229437596627</v>
      </c>
      <c r="L69" s="748">
        <f t="shared" ca="1" si="7"/>
        <v>2250.7519472514241</v>
      </c>
      <c r="M69" s="749">
        <f t="shared" ca="1" si="8"/>
        <v>26258.924245431124</v>
      </c>
    </row>
    <row r="70" spans="1:13">
      <c r="A70" s="743">
        <f t="shared" si="0"/>
        <v>38718</v>
      </c>
      <c r="C70" s="744">
        <f t="shared" si="1"/>
        <v>31</v>
      </c>
      <c r="D70" s="747">
        <f ca="1">(IF($A70&gt;Endyr,0,IF($A70&lt;Assm!$F$32,G70,Capacity*C70)))*(1+RAROC!$N$12)</f>
        <v>3192690</v>
      </c>
      <c r="E70" s="745">
        <f t="shared" si="2"/>
        <v>0.56679999999999997</v>
      </c>
      <c r="F70" s="959">
        <f t="shared" ca="1" si="3"/>
        <v>1809.6166919999998</v>
      </c>
      <c r="G70" s="960">
        <f ca="1">[3]MMBTU!U93</f>
        <v>2095485.4047559449</v>
      </c>
      <c r="H70" s="745">
        <f t="shared" si="4"/>
        <v>6.4000000000000003E-3</v>
      </c>
      <c r="I70" s="959">
        <f t="shared" ca="1" si="5"/>
        <v>13.411106590438049</v>
      </c>
      <c r="J70" s="964">
        <f t="shared" ca="1" si="6"/>
        <v>1823.0277985904379</v>
      </c>
      <c r="K70" s="746">
        <f ca="1">VLOOKUP($A70,Curves_Table,Escalation!$O$291)</f>
        <v>1.2346229437596627</v>
      </c>
      <c r="L70" s="748">
        <f t="shared" ca="1" si="7"/>
        <v>2250.7519472514241</v>
      </c>
      <c r="M70" s="749" t="str">
        <f t="shared" ca="1" si="8"/>
        <v xml:space="preserve"> </v>
      </c>
    </row>
    <row r="71" spans="1:13">
      <c r="A71" s="743">
        <f t="shared" si="0"/>
        <v>38749</v>
      </c>
      <c r="C71" s="744">
        <f t="shared" si="1"/>
        <v>28</v>
      </c>
      <c r="D71" s="747">
        <f ca="1">(IF($A71&gt;Endyr,0,IF($A71&lt;Assm!$F$32,G71,Capacity*C71)))*(1+RAROC!$N$12)</f>
        <v>2883720</v>
      </c>
      <c r="E71" s="745">
        <f t="shared" si="2"/>
        <v>0.56679999999999997</v>
      </c>
      <c r="F71" s="959">
        <f t="shared" ca="1" si="3"/>
        <v>1634.4924959999998</v>
      </c>
      <c r="G71" s="960">
        <f ca="1">[3]MMBTU!U94</f>
        <v>1892696.4946182731</v>
      </c>
      <c r="H71" s="745">
        <f t="shared" si="4"/>
        <v>6.4000000000000003E-3</v>
      </c>
      <c r="I71" s="959">
        <f t="shared" ca="1" si="5"/>
        <v>12.11325756555695</v>
      </c>
      <c r="J71" s="964">
        <f t="shared" ca="1" si="6"/>
        <v>1646.6057535655568</v>
      </c>
      <c r="K71" s="746">
        <f ca="1">VLOOKUP($A71,Curves_Table,Escalation!$O$291)</f>
        <v>1.2346229437596627</v>
      </c>
      <c r="L71" s="748">
        <f t="shared" ca="1" si="7"/>
        <v>2032.9372426787056</v>
      </c>
      <c r="M71" s="749" t="str">
        <f t="shared" ca="1" si="8"/>
        <v xml:space="preserve"> </v>
      </c>
    </row>
    <row r="72" spans="1:13">
      <c r="A72" s="743">
        <f t="shared" si="0"/>
        <v>38777</v>
      </c>
      <c r="C72" s="744">
        <f t="shared" si="1"/>
        <v>31</v>
      </c>
      <c r="D72" s="747">
        <f ca="1">(IF($A72&gt;Endyr,0,IF($A72&lt;Assm!$F$32,G72,Capacity*C72)))*(1+RAROC!$N$12)</f>
        <v>3192690</v>
      </c>
      <c r="E72" s="745">
        <f t="shared" si="2"/>
        <v>0.56679999999999997</v>
      </c>
      <c r="F72" s="959">
        <f t="shared" ca="1" si="3"/>
        <v>1809.6166919999998</v>
      </c>
      <c r="G72" s="960">
        <f ca="1">[3]MMBTU!U95</f>
        <v>2095485.4047559449</v>
      </c>
      <c r="H72" s="745">
        <f t="shared" si="4"/>
        <v>6.4000000000000003E-3</v>
      </c>
      <c r="I72" s="959">
        <f t="shared" ca="1" si="5"/>
        <v>13.411106590438049</v>
      </c>
      <c r="J72" s="964">
        <f t="shared" ca="1" si="6"/>
        <v>1823.0277985904379</v>
      </c>
      <c r="K72" s="746">
        <f ca="1">VLOOKUP($A72,Curves_Table,Escalation!$O$291)</f>
        <v>1.2346229437596627</v>
      </c>
      <c r="L72" s="748">
        <f t="shared" ca="1" si="7"/>
        <v>2250.7519472514241</v>
      </c>
      <c r="M72" s="749" t="str">
        <f t="shared" ca="1" si="8"/>
        <v xml:space="preserve"> </v>
      </c>
    </row>
    <row r="73" spans="1:13">
      <c r="A73" s="743">
        <f t="shared" si="0"/>
        <v>38808</v>
      </c>
      <c r="C73" s="744">
        <f t="shared" si="1"/>
        <v>30</v>
      </c>
      <c r="D73" s="747">
        <f ca="1">(IF($A73&gt;Endyr,0,IF($A73&lt;Assm!$F$32,G73,Capacity*C73)))*(1+RAROC!$N$12)</f>
        <v>3089700</v>
      </c>
      <c r="E73" s="745">
        <f t="shared" si="2"/>
        <v>0.56679999999999997</v>
      </c>
      <c r="F73" s="959">
        <f t="shared" ca="1" si="3"/>
        <v>1751.2419600000001</v>
      </c>
      <c r="G73" s="960">
        <f ca="1">[3]MMBTU!U96</f>
        <v>2027889.1013767209</v>
      </c>
      <c r="H73" s="745">
        <f t="shared" si="4"/>
        <v>6.4000000000000003E-3</v>
      </c>
      <c r="I73" s="959">
        <f t="shared" ca="1" si="5"/>
        <v>12.978490248811015</v>
      </c>
      <c r="J73" s="964">
        <f t="shared" ca="1" si="6"/>
        <v>1764.2204502488112</v>
      </c>
      <c r="K73" s="746">
        <f ca="1">VLOOKUP($A73,Curves_Table,Escalation!$O$291)</f>
        <v>1.2346229437596627</v>
      </c>
      <c r="L73" s="748">
        <f t="shared" ca="1" si="7"/>
        <v>2178.1470457271848</v>
      </c>
      <c r="M73" s="749" t="str">
        <f t="shared" ca="1" si="8"/>
        <v xml:space="preserve"> </v>
      </c>
    </row>
    <row r="74" spans="1:13">
      <c r="A74" s="743">
        <f t="shared" si="0"/>
        <v>38838</v>
      </c>
      <c r="C74" s="744">
        <f t="shared" si="1"/>
        <v>31</v>
      </c>
      <c r="D74" s="747">
        <f ca="1">(IF($A74&gt;Endyr,0,IF($A74&lt;Assm!$F$32,G74,Capacity*C74)))*(1+RAROC!$N$12)</f>
        <v>3192690</v>
      </c>
      <c r="E74" s="745">
        <f t="shared" si="2"/>
        <v>0.56679999999999997</v>
      </c>
      <c r="F74" s="959">
        <f t="shared" ca="1" si="3"/>
        <v>1809.6166919999998</v>
      </c>
      <c r="G74" s="960">
        <f ca="1">[3]MMBTU!U97</f>
        <v>2095485.4047559449</v>
      </c>
      <c r="H74" s="745">
        <f t="shared" si="4"/>
        <v>6.4000000000000003E-3</v>
      </c>
      <c r="I74" s="959">
        <f t="shared" ca="1" si="5"/>
        <v>13.411106590438049</v>
      </c>
      <c r="J74" s="964">
        <f t="shared" ca="1" si="6"/>
        <v>1823.0277985904379</v>
      </c>
      <c r="K74" s="746">
        <f ca="1">VLOOKUP($A74,Curves_Table,Escalation!$O$291)</f>
        <v>1.2691909562879884</v>
      </c>
      <c r="L74" s="748">
        <f t="shared" ca="1" si="7"/>
        <v>2313.770395032584</v>
      </c>
      <c r="M74" s="749" t="str">
        <f t="shared" ca="1" si="8"/>
        <v xml:space="preserve"> </v>
      </c>
    </row>
    <row r="75" spans="1:13">
      <c r="A75" s="743">
        <f t="shared" si="0"/>
        <v>38869</v>
      </c>
      <c r="C75" s="744">
        <f t="shared" si="1"/>
        <v>30</v>
      </c>
      <c r="D75" s="747">
        <f ca="1">(IF($A75&gt;Endyr,0,IF($A75&lt;Assm!$F$32,G75,Capacity*C75)))*(1+RAROC!$N$12)</f>
        <v>3089700</v>
      </c>
      <c r="E75" s="745">
        <f t="shared" si="2"/>
        <v>0.56679999999999997</v>
      </c>
      <c r="F75" s="959">
        <f t="shared" ca="1" si="3"/>
        <v>1751.2419600000001</v>
      </c>
      <c r="G75" s="960">
        <f ca="1">[3]MMBTU!U98</f>
        <v>2027889.1013767209</v>
      </c>
      <c r="H75" s="745">
        <f t="shared" si="4"/>
        <v>6.4000000000000003E-3</v>
      </c>
      <c r="I75" s="959">
        <f t="shared" ca="1" si="5"/>
        <v>12.978490248811015</v>
      </c>
      <c r="J75" s="964">
        <f t="shared" ca="1" si="6"/>
        <v>1764.2204502488112</v>
      </c>
      <c r="K75" s="746">
        <f ca="1">VLOOKUP($A75,Curves_Table,Escalation!$O$291)</f>
        <v>1.2691909562879884</v>
      </c>
      <c r="L75" s="748">
        <f t="shared" ca="1" si="7"/>
        <v>2239.1326403541143</v>
      </c>
      <c r="M75" s="749" t="str">
        <f t="shared" ca="1" si="8"/>
        <v xml:space="preserve"> </v>
      </c>
    </row>
    <row r="76" spans="1:13">
      <c r="A76" s="743">
        <f t="shared" si="0"/>
        <v>38899</v>
      </c>
      <c r="C76" s="744">
        <f t="shared" si="1"/>
        <v>31</v>
      </c>
      <c r="D76" s="747">
        <f ca="1">(IF($A76&gt;Endyr,0,IF($A76&lt;Assm!$F$32,G76,Capacity*C76)))*(1+RAROC!$N$12)</f>
        <v>3192690</v>
      </c>
      <c r="E76" s="745">
        <f t="shared" si="2"/>
        <v>0.56679999999999997</v>
      </c>
      <c r="F76" s="959">
        <f t="shared" ca="1" si="3"/>
        <v>1809.6166919999998</v>
      </c>
      <c r="G76" s="960">
        <f ca="1">[3]MMBTU!U99</f>
        <v>2095485.4047559449</v>
      </c>
      <c r="H76" s="745">
        <f t="shared" si="4"/>
        <v>6.4000000000000003E-3</v>
      </c>
      <c r="I76" s="959">
        <f t="shared" ca="1" si="5"/>
        <v>13.411106590438049</v>
      </c>
      <c r="J76" s="964">
        <f t="shared" ca="1" si="6"/>
        <v>1823.0277985904379</v>
      </c>
      <c r="K76" s="746">
        <f ca="1">VLOOKUP($A76,Curves_Table,Escalation!$O$291)</f>
        <v>1.2691909562879884</v>
      </c>
      <c r="L76" s="748">
        <f t="shared" ca="1" si="7"/>
        <v>2313.770395032584</v>
      </c>
      <c r="M76" s="749" t="str">
        <f t="shared" ca="1" si="8"/>
        <v xml:space="preserve"> </v>
      </c>
    </row>
    <row r="77" spans="1:13">
      <c r="A77" s="743">
        <f t="shared" ref="A77:A140" si="9">EDATE(A76,1)</f>
        <v>38930</v>
      </c>
      <c r="C77" s="744">
        <f t="shared" ref="C77:C140" si="10">A78-A77</f>
        <v>31</v>
      </c>
      <c r="D77" s="747">
        <f ca="1">(IF($A77&gt;Endyr,0,IF($A77&lt;Assm!$F$32,G77,Capacity*C77)))*(1+RAROC!$N$12)</f>
        <v>3192690</v>
      </c>
      <c r="E77" s="745">
        <f t="shared" ref="E77:E140" si="11">IF($A77&gt;Endyr,0,Tariff_Cap)</f>
        <v>0.56679999999999997</v>
      </c>
      <c r="F77" s="959">
        <f t="shared" ref="F77:F140" ca="1" si="12">D77*E77/1000</f>
        <v>1809.6166919999998</v>
      </c>
      <c r="G77" s="960">
        <f ca="1">[3]MMBTU!U100</f>
        <v>2095485.4047559449</v>
      </c>
      <c r="H77" s="745">
        <f t="shared" ref="H77:H140" si="13">IF($A77&gt;Endyr,0,Tariff_Var)</f>
        <v>6.4000000000000003E-3</v>
      </c>
      <c r="I77" s="959">
        <f t="shared" ref="I77:I140" ca="1" si="14">G77*H77/1000</f>
        <v>13.411106590438049</v>
      </c>
      <c r="J77" s="964">
        <f t="shared" ref="J77:J140" ca="1" si="15">SUM(F77,I77)</f>
        <v>1823.0277985904379</v>
      </c>
      <c r="K77" s="746">
        <f ca="1">VLOOKUP($A77,Curves_Table,Escalation!$O$291)</f>
        <v>1.2691909562879884</v>
      </c>
      <c r="L77" s="748">
        <f t="shared" ref="L77:L140" ca="1" si="16">J77*K77</f>
        <v>2313.770395032584</v>
      </c>
      <c r="M77" s="749" t="str">
        <f t="shared" ref="M77:M140" ca="1" si="17">IF(MONTH($A77)=12,SUM(L66:L77)," ")</f>
        <v xml:space="preserve"> </v>
      </c>
    </row>
    <row r="78" spans="1:13">
      <c r="A78" s="743">
        <f t="shared" si="9"/>
        <v>38961</v>
      </c>
      <c r="C78" s="744">
        <f t="shared" si="10"/>
        <v>30</v>
      </c>
      <c r="D78" s="747">
        <f ca="1">(IF($A78&gt;Endyr,0,IF($A78&lt;Assm!$F$32,G78,Capacity*C78)))*(1+RAROC!$N$12)</f>
        <v>3089700</v>
      </c>
      <c r="E78" s="745">
        <f t="shared" si="11"/>
        <v>0.56679999999999997</v>
      </c>
      <c r="F78" s="959">
        <f t="shared" ca="1" si="12"/>
        <v>1751.2419600000001</v>
      </c>
      <c r="G78" s="960">
        <f ca="1">[3]MMBTU!U101</f>
        <v>2027889.1013767209</v>
      </c>
      <c r="H78" s="745">
        <f t="shared" si="13"/>
        <v>6.4000000000000003E-3</v>
      </c>
      <c r="I78" s="959">
        <f t="shared" ca="1" si="14"/>
        <v>12.978490248811015</v>
      </c>
      <c r="J78" s="964">
        <f t="shared" ca="1" si="15"/>
        <v>1764.2204502488112</v>
      </c>
      <c r="K78" s="746">
        <f ca="1">VLOOKUP($A78,Curves_Table,Escalation!$O$291)</f>
        <v>1.2691909562879884</v>
      </c>
      <c r="L78" s="748">
        <f t="shared" ca="1" si="16"/>
        <v>2239.1326403541143</v>
      </c>
      <c r="M78" s="749" t="str">
        <f t="shared" ca="1" si="17"/>
        <v xml:space="preserve"> </v>
      </c>
    </row>
    <row r="79" spans="1:13">
      <c r="A79" s="743">
        <f t="shared" si="9"/>
        <v>38991</v>
      </c>
      <c r="C79" s="744">
        <f t="shared" si="10"/>
        <v>31</v>
      </c>
      <c r="D79" s="747">
        <f ca="1">(IF($A79&gt;Endyr,0,IF($A79&lt;Assm!$F$32,G79,Capacity*C79)))*(1+RAROC!$N$12)</f>
        <v>3192690</v>
      </c>
      <c r="E79" s="745">
        <f t="shared" si="11"/>
        <v>0.56679999999999997</v>
      </c>
      <c r="F79" s="959">
        <f t="shared" ca="1" si="12"/>
        <v>1809.6166919999998</v>
      </c>
      <c r="G79" s="960">
        <f ca="1">[3]MMBTU!U102</f>
        <v>2095485.4047559449</v>
      </c>
      <c r="H79" s="745">
        <f t="shared" si="13"/>
        <v>6.4000000000000003E-3</v>
      </c>
      <c r="I79" s="959">
        <f t="shared" ca="1" si="14"/>
        <v>13.411106590438049</v>
      </c>
      <c r="J79" s="964">
        <f t="shared" ca="1" si="15"/>
        <v>1823.0277985904379</v>
      </c>
      <c r="K79" s="746">
        <f ca="1">VLOOKUP($A79,Curves_Table,Escalation!$O$291)</f>
        <v>1.2691909562879884</v>
      </c>
      <c r="L79" s="748">
        <f t="shared" ca="1" si="16"/>
        <v>2313.770395032584</v>
      </c>
      <c r="M79" s="749" t="str">
        <f t="shared" ca="1" si="17"/>
        <v xml:space="preserve"> </v>
      </c>
    </row>
    <row r="80" spans="1:13">
      <c r="A80" s="743">
        <f t="shared" si="9"/>
        <v>39022</v>
      </c>
      <c r="C80" s="744">
        <f t="shared" si="10"/>
        <v>30</v>
      </c>
      <c r="D80" s="747">
        <f ca="1">(IF($A80&gt;Endyr,0,IF($A80&lt;Assm!$F$32,G80,Capacity*C80)))*(1+RAROC!$N$12)</f>
        <v>3089700</v>
      </c>
      <c r="E80" s="745">
        <f t="shared" si="11"/>
        <v>0.56679999999999997</v>
      </c>
      <c r="F80" s="959">
        <f t="shared" ca="1" si="12"/>
        <v>1751.2419600000001</v>
      </c>
      <c r="G80" s="960">
        <f ca="1">[3]MMBTU!U103</f>
        <v>2027889.1013767209</v>
      </c>
      <c r="H80" s="745">
        <f t="shared" si="13"/>
        <v>6.4000000000000003E-3</v>
      </c>
      <c r="I80" s="959">
        <f t="shared" ca="1" si="14"/>
        <v>12.978490248811015</v>
      </c>
      <c r="J80" s="964">
        <f t="shared" ca="1" si="15"/>
        <v>1764.2204502488112</v>
      </c>
      <c r="K80" s="746">
        <f ca="1">VLOOKUP($A80,Curves_Table,Escalation!$O$291)</f>
        <v>1.2691909562879884</v>
      </c>
      <c r="L80" s="748">
        <f t="shared" ca="1" si="16"/>
        <v>2239.1326403541143</v>
      </c>
      <c r="M80" s="749" t="str">
        <f t="shared" ca="1" si="17"/>
        <v xml:space="preserve"> </v>
      </c>
    </row>
    <row r="81" spans="1:13">
      <c r="A81" s="743">
        <f t="shared" si="9"/>
        <v>39052</v>
      </c>
      <c r="C81" s="744">
        <f t="shared" si="10"/>
        <v>31</v>
      </c>
      <c r="D81" s="747">
        <f ca="1">(IF($A81&gt;Endyr,0,IF($A81&lt;Assm!$F$32,G81,Capacity*C81)))*(1+RAROC!$N$12)</f>
        <v>3192690</v>
      </c>
      <c r="E81" s="745">
        <f t="shared" si="11"/>
        <v>0.56679999999999997</v>
      </c>
      <c r="F81" s="959">
        <f t="shared" ca="1" si="12"/>
        <v>1809.6166919999998</v>
      </c>
      <c r="G81" s="960">
        <f ca="1">[3]MMBTU!U104</f>
        <v>2095485.4047559449</v>
      </c>
      <c r="H81" s="745">
        <f t="shared" si="13"/>
        <v>6.4000000000000003E-3</v>
      </c>
      <c r="I81" s="959">
        <f t="shared" ca="1" si="14"/>
        <v>13.411106590438049</v>
      </c>
      <c r="J81" s="964">
        <f t="shared" ca="1" si="15"/>
        <v>1823.0277985904379</v>
      </c>
      <c r="K81" s="746">
        <f ca="1">VLOOKUP($A81,Curves_Table,Escalation!$O$291)</f>
        <v>1.2691909562879884</v>
      </c>
      <c r="L81" s="748">
        <f t="shared" ca="1" si="16"/>
        <v>2313.770395032584</v>
      </c>
      <c r="M81" s="749">
        <f t="shared" ca="1" si="17"/>
        <v>26998.838079134002</v>
      </c>
    </row>
    <row r="82" spans="1:13">
      <c r="A82" s="743">
        <f t="shared" si="9"/>
        <v>39083</v>
      </c>
      <c r="C82" s="744">
        <f t="shared" si="10"/>
        <v>31</v>
      </c>
      <c r="D82" s="747">
        <f ca="1">(IF($A82&gt;Endyr,0,IF($A82&lt;Assm!$F$32,G82,Capacity*C82)))*(1+RAROC!$N$12)</f>
        <v>3192690</v>
      </c>
      <c r="E82" s="745">
        <f t="shared" si="11"/>
        <v>0.56679999999999997</v>
      </c>
      <c r="F82" s="959">
        <f t="shared" ca="1" si="12"/>
        <v>1809.6166919999998</v>
      </c>
      <c r="G82" s="960">
        <f ca="1">[3]MMBTU!U105</f>
        <v>2095485.4047559449</v>
      </c>
      <c r="H82" s="745">
        <f t="shared" si="13"/>
        <v>6.4000000000000003E-3</v>
      </c>
      <c r="I82" s="959">
        <f t="shared" ca="1" si="14"/>
        <v>13.411106590438049</v>
      </c>
      <c r="J82" s="964">
        <f t="shared" ca="1" si="15"/>
        <v>1823.0277985904379</v>
      </c>
      <c r="K82" s="746">
        <f ca="1">VLOOKUP($A82,Curves_Table,Escalation!$O$291)</f>
        <v>1.2691909562879884</v>
      </c>
      <c r="L82" s="748">
        <f t="shared" ca="1" si="16"/>
        <v>2313.770395032584</v>
      </c>
      <c r="M82" s="749" t="str">
        <f t="shared" ca="1" si="17"/>
        <v xml:space="preserve"> </v>
      </c>
    </row>
    <row r="83" spans="1:13">
      <c r="A83" s="743">
        <f t="shared" si="9"/>
        <v>39114</v>
      </c>
      <c r="C83" s="744">
        <f t="shared" si="10"/>
        <v>28</v>
      </c>
      <c r="D83" s="747">
        <f ca="1">(IF($A83&gt;Endyr,0,IF($A83&lt;Assm!$F$32,G83,Capacity*C83)))*(1+RAROC!$N$12)</f>
        <v>2883720</v>
      </c>
      <c r="E83" s="745">
        <f t="shared" si="11"/>
        <v>0.56679999999999997</v>
      </c>
      <c r="F83" s="959">
        <f t="shared" ca="1" si="12"/>
        <v>1634.4924959999998</v>
      </c>
      <c r="G83" s="960">
        <f ca="1">[3]MMBTU!U106</f>
        <v>1892696.4946182731</v>
      </c>
      <c r="H83" s="745">
        <f t="shared" si="13"/>
        <v>6.4000000000000003E-3</v>
      </c>
      <c r="I83" s="959">
        <f t="shared" ca="1" si="14"/>
        <v>12.11325756555695</v>
      </c>
      <c r="J83" s="964">
        <f t="shared" ca="1" si="15"/>
        <v>1646.6057535655568</v>
      </c>
      <c r="K83" s="746">
        <f ca="1">VLOOKUP($A83,Curves_Table,Escalation!$O$291)</f>
        <v>1.2691909562879884</v>
      </c>
      <c r="L83" s="748">
        <f t="shared" ca="1" si="16"/>
        <v>2089.857130997173</v>
      </c>
      <c r="M83" s="749" t="str">
        <f t="shared" ca="1" si="17"/>
        <v xml:space="preserve"> </v>
      </c>
    </row>
    <row r="84" spans="1:13">
      <c r="A84" s="743">
        <f t="shared" si="9"/>
        <v>39142</v>
      </c>
      <c r="C84" s="744">
        <f t="shared" si="10"/>
        <v>31</v>
      </c>
      <c r="D84" s="747">
        <f ca="1">(IF($A84&gt;Endyr,0,IF($A84&lt;Assm!$F$32,G84,Capacity*C84)))*(1+RAROC!$N$12)</f>
        <v>3192690</v>
      </c>
      <c r="E84" s="745">
        <f t="shared" si="11"/>
        <v>0.56679999999999997</v>
      </c>
      <c r="F84" s="959">
        <f t="shared" ca="1" si="12"/>
        <v>1809.6166919999998</v>
      </c>
      <c r="G84" s="960">
        <f ca="1">[3]MMBTU!U107</f>
        <v>2095485.4047559449</v>
      </c>
      <c r="H84" s="745">
        <f t="shared" si="13"/>
        <v>6.4000000000000003E-3</v>
      </c>
      <c r="I84" s="959">
        <f t="shared" ca="1" si="14"/>
        <v>13.411106590438049</v>
      </c>
      <c r="J84" s="964">
        <f t="shared" ca="1" si="15"/>
        <v>1823.0277985904379</v>
      </c>
      <c r="K84" s="746">
        <f ca="1">VLOOKUP($A84,Curves_Table,Escalation!$O$291)</f>
        <v>1.2691909562879884</v>
      </c>
      <c r="L84" s="748">
        <f t="shared" ca="1" si="16"/>
        <v>2313.770395032584</v>
      </c>
      <c r="M84" s="749" t="str">
        <f t="shared" ca="1" si="17"/>
        <v xml:space="preserve"> </v>
      </c>
    </row>
    <row r="85" spans="1:13">
      <c r="A85" s="743">
        <f t="shared" si="9"/>
        <v>39173</v>
      </c>
      <c r="C85" s="744">
        <f t="shared" si="10"/>
        <v>30</v>
      </c>
      <c r="D85" s="747">
        <f ca="1">(IF($A85&gt;Endyr,0,IF($A85&lt;Assm!$F$32,G85,Capacity*C85)))*(1+RAROC!$N$12)</f>
        <v>3089700</v>
      </c>
      <c r="E85" s="745">
        <f t="shared" si="11"/>
        <v>0.56679999999999997</v>
      </c>
      <c r="F85" s="959">
        <f t="shared" ca="1" si="12"/>
        <v>1751.2419600000001</v>
      </c>
      <c r="G85" s="960">
        <f ca="1">[3]MMBTU!U108</f>
        <v>2027889.1013767209</v>
      </c>
      <c r="H85" s="745">
        <f t="shared" si="13"/>
        <v>6.4000000000000003E-3</v>
      </c>
      <c r="I85" s="959">
        <f t="shared" ca="1" si="14"/>
        <v>12.978490248811015</v>
      </c>
      <c r="J85" s="964">
        <f t="shared" ca="1" si="15"/>
        <v>1764.2204502488112</v>
      </c>
      <c r="K85" s="746">
        <f ca="1">VLOOKUP($A85,Curves_Table,Escalation!$O$291)</f>
        <v>1.2691909562879884</v>
      </c>
      <c r="L85" s="748">
        <f t="shared" ca="1" si="16"/>
        <v>2239.1326403541143</v>
      </c>
      <c r="M85" s="749" t="str">
        <f t="shared" ca="1" si="17"/>
        <v xml:space="preserve"> </v>
      </c>
    </row>
    <row r="86" spans="1:13">
      <c r="A86" s="743">
        <f t="shared" si="9"/>
        <v>39203</v>
      </c>
      <c r="C86" s="744">
        <f t="shared" si="10"/>
        <v>31</v>
      </c>
      <c r="D86" s="747">
        <f ca="1">(IF($A86&gt;Endyr,0,IF($A86&lt;Assm!$F$32,G86,Capacity*C86)))*(1+RAROC!$N$12)</f>
        <v>3192690</v>
      </c>
      <c r="E86" s="745">
        <f t="shared" si="11"/>
        <v>0.56679999999999997</v>
      </c>
      <c r="F86" s="959">
        <f t="shared" ca="1" si="12"/>
        <v>1809.6166919999998</v>
      </c>
      <c r="G86" s="960">
        <f ca="1">[3]MMBTU!U109</f>
        <v>2095485.4047559449</v>
      </c>
      <c r="H86" s="745">
        <f t="shared" si="13"/>
        <v>6.4000000000000003E-3</v>
      </c>
      <c r="I86" s="959">
        <f t="shared" ca="1" si="14"/>
        <v>13.411106590438049</v>
      </c>
      <c r="J86" s="964">
        <f t="shared" ca="1" si="15"/>
        <v>1823.0277985904379</v>
      </c>
      <c r="K86" s="746">
        <f ca="1">VLOOKUP($A86,Curves_Table,Escalation!$O$291)</f>
        <v>1.3038965761068158</v>
      </c>
      <c r="L86" s="748">
        <f t="shared" ca="1" si="16"/>
        <v>2377.0397047296178</v>
      </c>
      <c r="M86" s="749" t="str">
        <f t="shared" ca="1" si="17"/>
        <v xml:space="preserve"> </v>
      </c>
    </row>
    <row r="87" spans="1:13">
      <c r="A87" s="743">
        <f t="shared" si="9"/>
        <v>39234</v>
      </c>
      <c r="C87" s="744">
        <f t="shared" si="10"/>
        <v>30</v>
      </c>
      <c r="D87" s="747">
        <f ca="1">(IF($A87&gt;Endyr,0,IF($A87&lt;Assm!$F$32,G87,Capacity*C87)))*(1+RAROC!$N$12)</f>
        <v>3089700</v>
      </c>
      <c r="E87" s="745">
        <f t="shared" si="11"/>
        <v>0.56679999999999997</v>
      </c>
      <c r="F87" s="959">
        <f t="shared" ca="1" si="12"/>
        <v>1751.2419600000001</v>
      </c>
      <c r="G87" s="960">
        <f ca="1">[3]MMBTU!U110</f>
        <v>2027889.1013767209</v>
      </c>
      <c r="H87" s="745">
        <f t="shared" si="13"/>
        <v>6.4000000000000003E-3</v>
      </c>
      <c r="I87" s="959">
        <f t="shared" ca="1" si="14"/>
        <v>12.978490248811015</v>
      </c>
      <c r="J87" s="964">
        <f t="shared" ca="1" si="15"/>
        <v>1764.2204502488112</v>
      </c>
      <c r="K87" s="746">
        <f ca="1">VLOOKUP($A87,Curves_Table,Escalation!$O$291)</f>
        <v>1.3038965761068158</v>
      </c>
      <c r="L87" s="748">
        <f t="shared" ca="1" si="16"/>
        <v>2300.3610045770497</v>
      </c>
      <c r="M87" s="749" t="str">
        <f t="shared" ca="1" si="17"/>
        <v xml:space="preserve"> </v>
      </c>
    </row>
    <row r="88" spans="1:13">
      <c r="A88" s="743">
        <f t="shared" si="9"/>
        <v>39264</v>
      </c>
      <c r="C88" s="744">
        <f t="shared" si="10"/>
        <v>31</v>
      </c>
      <c r="D88" s="747">
        <f ca="1">(IF($A88&gt;Endyr,0,IF($A88&lt;Assm!$F$32,G88,Capacity*C88)))*(1+RAROC!$N$12)</f>
        <v>3192690</v>
      </c>
      <c r="E88" s="745">
        <f t="shared" si="11"/>
        <v>0.56679999999999997</v>
      </c>
      <c r="F88" s="959">
        <f t="shared" ca="1" si="12"/>
        <v>1809.6166919999998</v>
      </c>
      <c r="G88" s="960">
        <f ca="1">[3]MMBTU!U111</f>
        <v>2095485.4047559449</v>
      </c>
      <c r="H88" s="745">
        <f t="shared" si="13"/>
        <v>6.4000000000000003E-3</v>
      </c>
      <c r="I88" s="959">
        <f t="shared" ca="1" si="14"/>
        <v>13.411106590438049</v>
      </c>
      <c r="J88" s="964">
        <f t="shared" ca="1" si="15"/>
        <v>1823.0277985904379</v>
      </c>
      <c r="K88" s="746">
        <f ca="1">VLOOKUP($A88,Curves_Table,Escalation!$O$291)</f>
        <v>1.3038965761068158</v>
      </c>
      <c r="L88" s="748">
        <f t="shared" ca="1" si="16"/>
        <v>2377.0397047296178</v>
      </c>
      <c r="M88" s="749" t="str">
        <f t="shared" ca="1" si="17"/>
        <v xml:space="preserve"> </v>
      </c>
    </row>
    <row r="89" spans="1:13">
      <c r="A89" s="743">
        <f t="shared" si="9"/>
        <v>39295</v>
      </c>
      <c r="C89" s="744">
        <f t="shared" si="10"/>
        <v>31</v>
      </c>
      <c r="D89" s="747">
        <f ca="1">(IF($A89&gt;Endyr,0,IF($A89&lt;Assm!$F$32,G89,Capacity*C89)))*(1+RAROC!$N$12)</f>
        <v>3192690</v>
      </c>
      <c r="E89" s="745">
        <f t="shared" si="11"/>
        <v>0.56679999999999997</v>
      </c>
      <c r="F89" s="959">
        <f t="shared" ca="1" si="12"/>
        <v>1809.6166919999998</v>
      </c>
      <c r="G89" s="960">
        <f ca="1">[3]MMBTU!U112</f>
        <v>2095485.4047559449</v>
      </c>
      <c r="H89" s="745">
        <f t="shared" si="13"/>
        <v>6.4000000000000003E-3</v>
      </c>
      <c r="I89" s="959">
        <f t="shared" ca="1" si="14"/>
        <v>13.411106590438049</v>
      </c>
      <c r="J89" s="964">
        <f t="shared" ca="1" si="15"/>
        <v>1823.0277985904379</v>
      </c>
      <c r="K89" s="746">
        <f ca="1">VLOOKUP($A89,Curves_Table,Escalation!$O$291)</f>
        <v>1.3038965761068158</v>
      </c>
      <c r="L89" s="748">
        <f t="shared" ca="1" si="16"/>
        <v>2377.0397047296178</v>
      </c>
      <c r="M89" s="749" t="str">
        <f t="shared" ca="1" si="17"/>
        <v xml:space="preserve"> </v>
      </c>
    </row>
    <row r="90" spans="1:13">
      <c r="A90" s="743">
        <f t="shared" si="9"/>
        <v>39326</v>
      </c>
      <c r="C90" s="744">
        <f t="shared" si="10"/>
        <v>30</v>
      </c>
      <c r="D90" s="747">
        <f ca="1">(IF($A90&gt;Endyr,0,IF($A90&lt;Assm!$F$32,G90,Capacity*C90)))*(1+RAROC!$N$12)</f>
        <v>3089700</v>
      </c>
      <c r="E90" s="745">
        <f t="shared" si="11"/>
        <v>0.56679999999999997</v>
      </c>
      <c r="F90" s="959">
        <f t="shared" ca="1" si="12"/>
        <v>1751.2419600000001</v>
      </c>
      <c r="G90" s="960">
        <f ca="1">[3]MMBTU!U113</f>
        <v>2027889.1013767209</v>
      </c>
      <c r="H90" s="745">
        <f t="shared" si="13"/>
        <v>6.4000000000000003E-3</v>
      </c>
      <c r="I90" s="959">
        <f t="shared" ca="1" si="14"/>
        <v>12.978490248811015</v>
      </c>
      <c r="J90" s="964">
        <f t="shared" ca="1" si="15"/>
        <v>1764.2204502488112</v>
      </c>
      <c r="K90" s="746">
        <f ca="1">VLOOKUP($A90,Curves_Table,Escalation!$O$291)</f>
        <v>1.3038965761068158</v>
      </c>
      <c r="L90" s="748">
        <f t="shared" ca="1" si="16"/>
        <v>2300.3610045770497</v>
      </c>
      <c r="M90" s="749" t="str">
        <f t="shared" ca="1" si="17"/>
        <v xml:space="preserve"> </v>
      </c>
    </row>
    <row r="91" spans="1:13">
      <c r="A91" s="743">
        <f t="shared" si="9"/>
        <v>39356</v>
      </c>
      <c r="C91" s="744">
        <f t="shared" si="10"/>
        <v>31</v>
      </c>
      <c r="D91" s="747">
        <f ca="1">(IF($A91&gt;Endyr,0,IF($A91&lt;Assm!$F$32,G91,Capacity*C91)))*(1+RAROC!$N$12)</f>
        <v>3192690</v>
      </c>
      <c r="E91" s="745">
        <f t="shared" si="11"/>
        <v>0.56679999999999997</v>
      </c>
      <c r="F91" s="959">
        <f t="shared" ca="1" si="12"/>
        <v>1809.6166919999998</v>
      </c>
      <c r="G91" s="960">
        <f ca="1">[3]MMBTU!U114</f>
        <v>2095485.4047559449</v>
      </c>
      <c r="H91" s="745">
        <f t="shared" si="13"/>
        <v>6.4000000000000003E-3</v>
      </c>
      <c r="I91" s="959">
        <f t="shared" ca="1" si="14"/>
        <v>13.411106590438049</v>
      </c>
      <c r="J91" s="964">
        <f t="shared" ca="1" si="15"/>
        <v>1823.0277985904379</v>
      </c>
      <c r="K91" s="746">
        <f ca="1">VLOOKUP($A91,Curves_Table,Escalation!$O$291)</f>
        <v>1.3038965761068158</v>
      </c>
      <c r="L91" s="748">
        <f t="shared" ca="1" si="16"/>
        <v>2377.0397047296178</v>
      </c>
      <c r="M91" s="749" t="str">
        <f t="shared" ca="1" si="17"/>
        <v xml:space="preserve"> </v>
      </c>
    </row>
    <row r="92" spans="1:13">
      <c r="A92" s="743">
        <f t="shared" si="9"/>
        <v>39387</v>
      </c>
      <c r="C92" s="744">
        <f t="shared" si="10"/>
        <v>30</v>
      </c>
      <c r="D92" s="747">
        <f ca="1">(IF($A92&gt;Endyr,0,IF($A92&lt;Assm!$F$32,G92,Capacity*C92)))*(1+RAROC!$N$12)</f>
        <v>3089700</v>
      </c>
      <c r="E92" s="745">
        <f t="shared" si="11"/>
        <v>0.56679999999999997</v>
      </c>
      <c r="F92" s="959">
        <f t="shared" ca="1" si="12"/>
        <v>1751.2419600000001</v>
      </c>
      <c r="G92" s="960">
        <f ca="1">[3]MMBTU!U115</f>
        <v>2027889.1013767209</v>
      </c>
      <c r="H92" s="745">
        <f t="shared" si="13"/>
        <v>6.4000000000000003E-3</v>
      </c>
      <c r="I92" s="959">
        <f t="shared" ca="1" si="14"/>
        <v>12.978490248811015</v>
      </c>
      <c r="J92" s="964">
        <f t="shared" ca="1" si="15"/>
        <v>1764.2204502488112</v>
      </c>
      <c r="K92" s="746">
        <f ca="1">VLOOKUP($A92,Curves_Table,Escalation!$O$291)</f>
        <v>1.3038965761068158</v>
      </c>
      <c r="L92" s="748">
        <f t="shared" ca="1" si="16"/>
        <v>2300.3610045770497</v>
      </c>
      <c r="M92" s="749" t="str">
        <f t="shared" ca="1" si="17"/>
        <v xml:space="preserve"> </v>
      </c>
    </row>
    <row r="93" spans="1:13">
      <c r="A93" s="743">
        <f t="shared" si="9"/>
        <v>39417</v>
      </c>
      <c r="C93" s="744">
        <f t="shared" si="10"/>
        <v>31</v>
      </c>
      <c r="D93" s="747">
        <f ca="1">(IF($A93&gt;Endyr,0,IF($A93&lt;Assm!$F$32,G93,Capacity*C93)))*(1+RAROC!$N$12)</f>
        <v>3192690</v>
      </c>
      <c r="E93" s="745">
        <f t="shared" si="11"/>
        <v>0.56679999999999997</v>
      </c>
      <c r="F93" s="959">
        <f t="shared" ca="1" si="12"/>
        <v>1809.6166919999998</v>
      </c>
      <c r="G93" s="960">
        <f ca="1">[3]MMBTU!U116</f>
        <v>2095485.4047559449</v>
      </c>
      <c r="H93" s="745">
        <f t="shared" si="13"/>
        <v>6.4000000000000003E-3</v>
      </c>
      <c r="I93" s="959">
        <f t="shared" ca="1" si="14"/>
        <v>13.411106590438049</v>
      </c>
      <c r="J93" s="964">
        <f t="shared" ca="1" si="15"/>
        <v>1823.0277985904379</v>
      </c>
      <c r="K93" s="746">
        <f ca="1">VLOOKUP($A93,Curves_Table,Escalation!$O$291)</f>
        <v>1.3038965761068158</v>
      </c>
      <c r="L93" s="748">
        <f t="shared" ca="1" si="16"/>
        <v>2377.0397047296178</v>
      </c>
      <c r="M93" s="749">
        <f t="shared" ca="1" si="17"/>
        <v>27742.812098795694</v>
      </c>
    </row>
    <row r="94" spans="1:13">
      <c r="A94" s="743">
        <f t="shared" si="9"/>
        <v>39448</v>
      </c>
      <c r="C94" s="744">
        <f t="shared" si="10"/>
        <v>31</v>
      </c>
      <c r="D94" s="747">
        <f ca="1">(IF($A94&gt;Endyr,0,IF($A94&lt;Assm!$F$32,G94,Capacity*C94)))*(1+RAROC!$N$12)</f>
        <v>3192690</v>
      </c>
      <c r="E94" s="745">
        <f t="shared" si="11"/>
        <v>0.56679999999999997</v>
      </c>
      <c r="F94" s="959">
        <f t="shared" ca="1" si="12"/>
        <v>1809.6166919999998</v>
      </c>
      <c r="G94" s="960">
        <f ca="1">[3]MMBTU!U117</f>
        <v>2095485.4047559449</v>
      </c>
      <c r="H94" s="745">
        <f t="shared" si="13"/>
        <v>6.4000000000000003E-3</v>
      </c>
      <c r="I94" s="959">
        <f t="shared" ca="1" si="14"/>
        <v>13.411106590438049</v>
      </c>
      <c r="J94" s="964">
        <f t="shared" ca="1" si="15"/>
        <v>1823.0277985904379</v>
      </c>
      <c r="K94" s="746">
        <f ca="1">VLOOKUP($A94,Curves_Table,Escalation!$O$291)</f>
        <v>1.3038965761068158</v>
      </c>
      <c r="L94" s="748">
        <f t="shared" ca="1" si="16"/>
        <v>2377.0397047296178</v>
      </c>
      <c r="M94" s="749" t="str">
        <f t="shared" ca="1" si="17"/>
        <v xml:space="preserve"> </v>
      </c>
    </row>
    <row r="95" spans="1:13">
      <c r="A95" s="743">
        <f t="shared" si="9"/>
        <v>39479</v>
      </c>
      <c r="C95" s="744">
        <f t="shared" si="10"/>
        <v>29</v>
      </c>
      <c r="D95" s="747">
        <f ca="1">(IF($A95&gt;Endyr,0,IF($A95&lt;Assm!$F$32,G95,Capacity*C95)))*(1+RAROC!$N$12)</f>
        <v>2986710</v>
      </c>
      <c r="E95" s="745">
        <f t="shared" si="11"/>
        <v>0.56679999999999997</v>
      </c>
      <c r="F95" s="959">
        <f t="shared" ca="1" si="12"/>
        <v>1692.8672279999998</v>
      </c>
      <c r="G95" s="960">
        <f ca="1">[3]MMBTU!U118</f>
        <v>1960292.7979974968</v>
      </c>
      <c r="H95" s="745">
        <f t="shared" si="13"/>
        <v>6.4000000000000003E-3</v>
      </c>
      <c r="I95" s="959">
        <f t="shared" ca="1" si="14"/>
        <v>12.545873907183982</v>
      </c>
      <c r="J95" s="964">
        <f t="shared" ca="1" si="15"/>
        <v>1705.4131019071838</v>
      </c>
      <c r="K95" s="746">
        <f ca="1">VLOOKUP($A95,Curves_Table,Escalation!$O$291)</f>
        <v>1.3038965761068158</v>
      </c>
      <c r="L95" s="748">
        <f t="shared" ca="1" si="16"/>
        <v>2223.6823044244811</v>
      </c>
      <c r="M95" s="749" t="str">
        <f t="shared" ca="1" si="17"/>
        <v xml:space="preserve"> </v>
      </c>
    </row>
    <row r="96" spans="1:13">
      <c r="A96" s="743">
        <f t="shared" si="9"/>
        <v>39508</v>
      </c>
      <c r="C96" s="744">
        <f t="shared" si="10"/>
        <v>31</v>
      </c>
      <c r="D96" s="747">
        <f ca="1">(IF($A96&gt;Endyr,0,IF($A96&lt;Assm!$F$32,G96,Capacity*C96)))*(1+RAROC!$N$12)</f>
        <v>3192690</v>
      </c>
      <c r="E96" s="745">
        <f t="shared" si="11"/>
        <v>0.56679999999999997</v>
      </c>
      <c r="F96" s="959">
        <f t="shared" ca="1" si="12"/>
        <v>1809.6166919999998</v>
      </c>
      <c r="G96" s="960">
        <f ca="1">[3]MMBTU!U119</f>
        <v>2095485.4047559449</v>
      </c>
      <c r="H96" s="745">
        <f t="shared" si="13"/>
        <v>6.4000000000000003E-3</v>
      </c>
      <c r="I96" s="959">
        <f t="shared" ca="1" si="14"/>
        <v>13.411106590438049</v>
      </c>
      <c r="J96" s="964">
        <f t="shared" ca="1" si="15"/>
        <v>1823.0277985904379</v>
      </c>
      <c r="K96" s="746">
        <f ca="1">VLOOKUP($A96,Curves_Table,Escalation!$O$291)</f>
        <v>1.3038965761068158</v>
      </c>
      <c r="L96" s="748">
        <f t="shared" ca="1" si="16"/>
        <v>2377.0397047296178</v>
      </c>
      <c r="M96" s="749" t="str">
        <f t="shared" ca="1" si="17"/>
        <v xml:space="preserve"> </v>
      </c>
    </row>
    <row r="97" spans="1:13">
      <c r="A97" s="743">
        <f t="shared" si="9"/>
        <v>39539</v>
      </c>
      <c r="C97" s="744">
        <f t="shared" si="10"/>
        <v>30</v>
      </c>
      <c r="D97" s="747">
        <f ca="1">(IF($A97&gt;Endyr,0,IF($A97&lt;Assm!$F$32,G97,Capacity*C97)))*(1+RAROC!$N$12)</f>
        <v>3089700</v>
      </c>
      <c r="E97" s="745">
        <f t="shared" si="11"/>
        <v>0.56679999999999997</v>
      </c>
      <c r="F97" s="959">
        <f t="shared" ca="1" si="12"/>
        <v>1751.2419600000001</v>
      </c>
      <c r="G97" s="960">
        <f ca="1">[3]MMBTU!U120</f>
        <v>2027889.1013767209</v>
      </c>
      <c r="H97" s="745">
        <f t="shared" si="13"/>
        <v>6.4000000000000003E-3</v>
      </c>
      <c r="I97" s="959">
        <f t="shared" ca="1" si="14"/>
        <v>12.978490248811015</v>
      </c>
      <c r="J97" s="964">
        <f t="shared" ca="1" si="15"/>
        <v>1764.2204502488112</v>
      </c>
      <c r="K97" s="746">
        <f ca="1">VLOOKUP($A97,Curves_Table,Escalation!$O$291)</f>
        <v>1.3038965761068158</v>
      </c>
      <c r="L97" s="748">
        <f t="shared" ca="1" si="16"/>
        <v>2300.3610045770497</v>
      </c>
      <c r="M97" s="749" t="str">
        <f t="shared" ca="1" si="17"/>
        <v xml:space="preserve"> </v>
      </c>
    </row>
    <row r="98" spans="1:13">
      <c r="A98" s="743">
        <f t="shared" si="9"/>
        <v>39569</v>
      </c>
      <c r="C98" s="744">
        <f t="shared" si="10"/>
        <v>31</v>
      </c>
      <c r="D98" s="747">
        <f ca="1">(IF($A98&gt;Endyr,0,IF($A98&lt;Assm!$F$32,G98,Capacity*C98)))*(1+RAROC!$N$12)</f>
        <v>3192690</v>
      </c>
      <c r="E98" s="745">
        <f t="shared" si="11"/>
        <v>0.56679999999999997</v>
      </c>
      <c r="F98" s="959">
        <f t="shared" ca="1" si="12"/>
        <v>1809.6166919999998</v>
      </c>
      <c r="G98" s="960">
        <f ca="1">[3]MMBTU!U121</f>
        <v>2095485.4047559449</v>
      </c>
      <c r="H98" s="745">
        <f t="shared" si="13"/>
        <v>6.4000000000000003E-3</v>
      </c>
      <c r="I98" s="959">
        <f t="shared" ca="1" si="14"/>
        <v>13.411106590438049</v>
      </c>
      <c r="J98" s="964">
        <f t="shared" ca="1" si="15"/>
        <v>1823.0277985904379</v>
      </c>
      <c r="K98" s="746">
        <f ca="1">VLOOKUP($A98,Curves_Table,Escalation!$O$291)</f>
        <v>1.3387797805891259</v>
      </c>
      <c r="L98" s="748">
        <f t="shared" ca="1" si="16"/>
        <v>2440.6327562047836</v>
      </c>
      <c r="M98" s="749" t="str">
        <f t="shared" ca="1" si="17"/>
        <v xml:space="preserve"> </v>
      </c>
    </row>
    <row r="99" spans="1:13">
      <c r="A99" s="743">
        <f t="shared" si="9"/>
        <v>39600</v>
      </c>
      <c r="C99" s="744">
        <f t="shared" si="10"/>
        <v>30</v>
      </c>
      <c r="D99" s="747">
        <f ca="1">(IF($A99&gt;Endyr,0,IF($A99&lt;Assm!$F$32,G99,Capacity*C99)))*(1+RAROC!$N$12)</f>
        <v>3089700</v>
      </c>
      <c r="E99" s="745">
        <f t="shared" si="11"/>
        <v>0.56679999999999997</v>
      </c>
      <c r="F99" s="959">
        <f t="shared" ca="1" si="12"/>
        <v>1751.2419600000001</v>
      </c>
      <c r="G99" s="960">
        <f ca="1">[3]MMBTU!U122</f>
        <v>2027889.1013767209</v>
      </c>
      <c r="H99" s="745">
        <f t="shared" si="13"/>
        <v>6.4000000000000003E-3</v>
      </c>
      <c r="I99" s="959">
        <f t="shared" ca="1" si="14"/>
        <v>12.978490248811015</v>
      </c>
      <c r="J99" s="964">
        <f t="shared" ca="1" si="15"/>
        <v>1764.2204502488112</v>
      </c>
      <c r="K99" s="746">
        <f ca="1">VLOOKUP($A99,Curves_Table,Escalation!$O$291)</f>
        <v>1.3387797805891259</v>
      </c>
      <c r="L99" s="748">
        <f t="shared" ca="1" si="16"/>
        <v>2361.9026672949526</v>
      </c>
      <c r="M99" s="749" t="str">
        <f t="shared" ca="1" si="17"/>
        <v xml:space="preserve"> </v>
      </c>
    </row>
    <row r="100" spans="1:13">
      <c r="A100" s="743">
        <f t="shared" si="9"/>
        <v>39630</v>
      </c>
      <c r="C100" s="744">
        <f t="shared" si="10"/>
        <v>31</v>
      </c>
      <c r="D100" s="747">
        <f ca="1">(IF($A100&gt;Endyr,0,IF($A100&lt;Assm!$F$32,G100,Capacity*C100)))*(1+RAROC!$N$12)</f>
        <v>3192690</v>
      </c>
      <c r="E100" s="745">
        <f t="shared" si="11"/>
        <v>0.56679999999999997</v>
      </c>
      <c r="F100" s="959">
        <f t="shared" ca="1" si="12"/>
        <v>1809.6166919999998</v>
      </c>
      <c r="G100" s="960">
        <f ca="1">[3]MMBTU!U123</f>
        <v>2095485.4047559449</v>
      </c>
      <c r="H100" s="745">
        <f t="shared" si="13"/>
        <v>6.4000000000000003E-3</v>
      </c>
      <c r="I100" s="959">
        <f t="shared" ca="1" si="14"/>
        <v>13.411106590438049</v>
      </c>
      <c r="J100" s="964">
        <f t="shared" ca="1" si="15"/>
        <v>1823.0277985904379</v>
      </c>
      <c r="K100" s="746">
        <f ca="1">VLOOKUP($A100,Curves_Table,Escalation!$O$291)</f>
        <v>1.3387797805891259</v>
      </c>
      <c r="L100" s="748">
        <f t="shared" ca="1" si="16"/>
        <v>2440.6327562047836</v>
      </c>
      <c r="M100" s="749" t="str">
        <f t="shared" ca="1" si="17"/>
        <v xml:space="preserve"> </v>
      </c>
    </row>
    <row r="101" spans="1:13">
      <c r="A101" s="743">
        <f t="shared" si="9"/>
        <v>39661</v>
      </c>
      <c r="C101" s="744">
        <f t="shared" si="10"/>
        <v>31</v>
      </c>
      <c r="D101" s="747">
        <f ca="1">(IF($A101&gt;Endyr,0,IF($A101&lt;Assm!$F$32,G101,Capacity*C101)))*(1+RAROC!$N$12)</f>
        <v>3192690</v>
      </c>
      <c r="E101" s="745">
        <f t="shared" si="11"/>
        <v>0.56679999999999997</v>
      </c>
      <c r="F101" s="959">
        <f t="shared" ca="1" si="12"/>
        <v>1809.6166919999998</v>
      </c>
      <c r="G101" s="960">
        <f ca="1">[3]MMBTU!U124</f>
        <v>2095485.4047559449</v>
      </c>
      <c r="H101" s="745">
        <f t="shared" si="13"/>
        <v>6.4000000000000003E-3</v>
      </c>
      <c r="I101" s="959">
        <f t="shared" ca="1" si="14"/>
        <v>13.411106590438049</v>
      </c>
      <c r="J101" s="964">
        <f t="shared" ca="1" si="15"/>
        <v>1823.0277985904379</v>
      </c>
      <c r="K101" s="746">
        <f ca="1">VLOOKUP($A101,Curves_Table,Escalation!$O$291)</f>
        <v>1.3387797805891259</v>
      </c>
      <c r="L101" s="748">
        <f t="shared" ca="1" si="16"/>
        <v>2440.6327562047836</v>
      </c>
      <c r="M101" s="749" t="str">
        <f t="shared" ca="1" si="17"/>
        <v xml:space="preserve"> </v>
      </c>
    </row>
    <row r="102" spans="1:13">
      <c r="A102" s="743">
        <f t="shared" si="9"/>
        <v>39692</v>
      </c>
      <c r="C102" s="744">
        <f t="shared" si="10"/>
        <v>30</v>
      </c>
      <c r="D102" s="747">
        <f ca="1">(IF($A102&gt;Endyr,0,IF($A102&lt;Assm!$F$32,G102,Capacity*C102)))*(1+RAROC!$N$12)</f>
        <v>3089700</v>
      </c>
      <c r="E102" s="745">
        <f t="shared" si="11"/>
        <v>0.56679999999999997</v>
      </c>
      <c r="F102" s="959">
        <f t="shared" ca="1" si="12"/>
        <v>1751.2419600000001</v>
      </c>
      <c r="G102" s="960">
        <f ca="1">[3]MMBTU!U125</f>
        <v>2027889.1013767209</v>
      </c>
      <c r="H102" s="745">
        <f t="shared" si="13"/>
        <v>6.4000000000000003E-3</v>
      </c>
      <c r="I102" s="959">
        <f t="shared" ca="1" si="14"/>
        <v>12.978490248811015</v>
      </c>
      <c r="J102" s="964">
        <f t="shared" ca="1" si="15"/>
        <v>1764.2204502488112</v>
      </c>
      <c r="K102" s="746">
        <f ca="1">VLOOKUP($A102,Curves_Table,Escalation!$O$291)</f>
        <v>1.3387797805891259</v>
      </c>
      <c r="L102" s="748">
        <f t="shared" ca="1" si="16"/>
        <v>2361.9026672949526</v>
      </c>
      <c r="M102" s="749" t="str">
        <f t="shared" ca="1" si="17"/>
        <v xml:space="preserve"> </v>
      </c>
    </row>
    <row r="103" spans="1:13">
      <c r="A103" s="743">
        <f t="shared" si="9"/>
        <v>39722</v>
      </c>
      <c r="C103" s="744">
        <f t="shared" si="10"/>
        <v>31</v>
      </c>
      <c r="D103" s="747">
        <f ca="1">(IF($A103&gt;Endyr,0,IF($A103&lt;Assm!$F$32,G103,Capacity*C103)))*(1+RAROC!$N$12)</f>
        <v>3192690</v>
      </c>
      <c r="E103" s="745">
        <f t="shared" si="11"/>
        <v>0.56679999999999997</v>
      </c>
      <c r="F103" s="959">
        <f t="shared" ca="1" si="12"/>
        <v>1809.6166919999998</v>
      </c>
      <c r="G103" s="960">
        <f ca="1">[3]MMBTU!U126</f>
        <v>2095485.4047559449</v>
      </c>
      <c r="H103" s="745">
        <f t="shared" si="13"/>
        <v>6.4000000000000003E-3</v>
      </c>
      <c r="I103" s="959">
        <f t="shared" ca="1" si="14"/>
        <v>13.411106590438049</v>
      </c>
      <c r="J103" s="964">
        <f t="shared" ca="1" si="15"/>
        <v>1823.0277985904379</v>
      </c>
      <c r="K103" s="746">
        <f ca="1">VLOOKUP($A103,Curves_Table,Escalation!$O$291)</f>
        <v>1.3387797805891259</v>
      </c>
      <c r="L103" s="748">
        <f t="shared" ca="1" si="16"/>
        <v>2440.6327562047836</v>
      </c>
      <c r="M103" s="749" t="str">
        <f t="shared" ca="1" si="17"/>
        <v xml:space="preserve"> </v>
      </c>
    </row>
    <row r="104" spans="1:13">
      <c r="A104" s="743">
        <f t="shared" si="9"/>
        <v>39753</v>
      </c>
      <c r="C104" s="744">
        <f t="shared" si="10"/>
        <v>30</v>
      </c>
      <c r="D104" s="747">
        <f ca="1">(IF($A104&gt;Endyr,0,IF($A104&lt;Assm!$F$32,G104,Capacity*C104)))*(1+RAROC!$N$12)</f>
        <v>3089700</v>
      </c>
      <c r="E104" s="745">
        <f t="shared" si="11"/>
        <v>0.56679999999999997</v>
      </c>
      <c r="F104" s="959">
        <f t="shared" ca="1" si="12"/>
        <v>1751.2419600000001</v>
      </c>
      <c r="G104" s="960">
        <f ca="1">[3]MMBTU!U127</f>
        <v>2027889.1013767209</v>
      </c>
      <c r="H104" s="745">
        <f t="shared" si="13"/>
        <v>6.4000000000000003E-3</v>
      </c>
      <c r="I104" s="959">
        <f t="shared" ca="1" si="14"/>
        <v>12.978490248811015</v>
      </c>
      <c r="J104" s="964">
        <f t="shared" ca="1" si="15"/>
        <v>1764.2204502488112</v>
      </c>
      <c r="K104" s="746">
        <f ca="1">VLOOKUP($A104,Curves_Table,Escalation!$O$291)</f>
        <v>1.3387797805891259</v>
      </c>
      <c r="L104" s="748">
        <f t="shared" ca="1" si="16"/>
        <v>2361.9026672949526</v>
      </c>
      <c r="M104" s="749" t="str">
        <f t="shared" ca="1" si="17"/>
        <v xml:space="preserve"> </v>
      </c>
    </row>
    <row r="105" spans="1:13">
      <c r="A105" s="743">
        <f t="shared" si="9"/>
        <v>39783</v>
      </c>
      <c r="C105" s="744">
        <f t="shared" si="10"/>
        <v>31</v>
      </c>
      <c r="D105" s="747">
        <f ca="1">(IF($A105&gt;Endyr,0,IF($A105&lt;Assm!$F$32,G105,Capacity*C105)))*(1+RAROC!$N$12)</f>
        <v>3192690</v>
      </c>
      <c r="E105" s="745">
        <f t="shared" si="11"/>
        <v>0.56679999999999997</v>
      </c>
      <c r="F105" s="959">
        <f t="shared" ca="1" si="12"/>
        <v>1809.6166919999998</v>
      </c>
      <c r="G105" s="960">
        <f ca="1">[3]MMBTU!U128</f>
        <v>2095485.4047559449</v>
      </c>
      <c r="H105" s="745">
        <f t="shared" si="13"/>
        <v>6.4000000000000003E-3</v>
      </c>
      <c r="I105" s="959">
        <f t="shared" ca="1" si="14"/>
        <v>13.411106590438049</v>
      </c>
      <c r="J105" s="964">
        <f t="shared" ca="1" si="15"/>
        <v>1823.0277985904379</v>
      </c>
      <c r="K105" s="746">
        <f ca="1">VLOOKUP($A105,Curves_Table,Escalation!$O$291)</f>
        <v>1.3387797805891259</v>
      </c>
      <c r="L105" s="748">
        <f t="shared" ca="1" si="16"/>
        <v>2440.6327562047836</v>
      </c>
      <c r="M105" s="749">
        <f t="shared" ca="1" si="17"/>
        <v>28566.99450136954</v>
      </c>
    </row>
    <row r="106" spans="1:13">
      <c r="A106" s="743">
        <f t="shared" si="9"/>
        <v>39814</v>
      </c>
      <c r="C106" s="744">
        <f t="shared" si="10"/>
        <v>31</v>
      </c>
      <c r="D106" s="747">
        <f ca="1">(IF($A106&gt;Endyr,0,IF($A106&lt;Assm!$F$32,G106,Capacity*C106)))*(1+RAROC!$N$12)</f>
        <v>3192690</v>
      </c>
      <c r="E106" s="745">
        <f t="shared" si="11"/>
        <v>0.56679999999999997</v>
      </c>
      <c r="F106" s="959">
        <f t="shared" ca="1" si="12"/>
        <v>1809.6166919999998</v>
      </c>
      <c r="G106" s="960">
        <f ca="1">[3]MMBTU!U129</f>
        <v>2095485.4047559449</v>
      </c>
      <c r="H106" s="745">
        <f t="shared" si="13"/>
        <v>6.4000000000000003E-3</v>
      </c>
      <c r="I106" s="959">
        <f t="shared" ca="1" si="14"/>
        <v>13.411106590438049</v>
      </c>
      <c r="J106" s="964">
        <f t="shared" ca="1" si="15"/>
        <v>1823.0277985904379</v>
      </c>
      <c r="K106" s="746">
        <f ca="1">VLOOKUP($A106,Curves_Table,Escalation!$O$291)</f>
        <v>1.3387797805891259</v>
      </c>
      <c r="L106" s="748">
        <f t="shared" ca="1" si="16"/>
        <v>2440.6327562047836</v>
      </c>
      <c r="M106" s="749" t="str">
        <f t="shared" ca="1" si="17"/>
        <v xml:space="preserve"> </v>
      </c>
    </row>
    <row r="107" spans="1:13">
      <c r="A107" s="743">
        <f t="shared" si="9"/>
        <v>39845</v>
      </c>
      <c r="C107" s="744">
        <f t="shared" si="10"/>
        <v>28</v>
      </c>
      <c r="D107" s="747">
        <f ca="1">(IF($A107&gt;Endyr,0,IF($A107&lt;Assm!$F$32,G107,Capacity*C107)))*(1+RAROC!$N$12)</f>
        <v>2883720</v>
      </c>
      <c r="E107" s="745">
        <f t="shared" si="11"/>
        <v>0.56679999999999997</v>
      </c>
      <c r="F107" s="959">
        <f t="shared" ca="1" si="12"/>
        <v>1634.4924959999998</v>
      </c>
      <c r="G107" s="960">
        <f ca="1">[3]MMBTU!U130</f>
        <v>1892696.4946182731</v>
      </c>
      <c r="H107" s="745">
        <f t="shared" si="13"/>
        <v>6.4000000000000003E-3</v>
      </c>
      <c r="I107" s="959">
        <f t="shared" ca="1" si="14"/>
        <v>12.11325756555695</v>
      </c>
      <c r="J107" s="964">
        <f t="shared" ca="1" si="15"/>
        <v>1646.6057535655568</v>
      </c>
      <c r="K107" s="746">
        <f ca="1">VLOOKUP($A107,Curves_Table,Escalation!$O$291)</f>
        <v>1.3387797805891259</v>
      </c>
      <c r="L107" s="748">
        <f t="shared" ca="1" si="16"/>
        <v>2204.4424894752888</v>
      </c>
      <c r="M107" s="749" t="str">
        <f t="shared" ca="1" si="17"/>
        <v xml:space="preserve"> </v>
      </c>
    </row>
    <row r="108" spans="1:13">
      <c r="A108" s="743">
        <f t="shared" si="9"/>
        <v>39873</v>
      </c>
      <c r="C108" s="744">
        <f t="shared" si="10"/>
        <v>31</v>
      </c>
      <c r="D108" s="747">
        <f ca="1">(IF($A108&gt;Endyr,0,IF($A108&lt;Assm!$F$32,G108,Capacity*C108)))*(1+RAROC!$N$12)</f>
        <v>3192690</v>
      </c>
      <c r="E108" s="745">
        <f t="shared" si="11"/>
        <v>0.56679999999999997</v>
      </c>
      <c r="F108" s="959">
        <f t="shared" ca="1" si="12"/>
        <v>1809.6166919999998</v>
      </c>
      <c r="G108" s="960">
        <f ca="1">[3]MMBTU!U131</f>
        <v>2095485.4047559449</v>
      </c>
      <c r="H108" s="745">
        <f t="shared" si="13"/>
        <v>6.4000000000000003E-3</v>
      </c>
      <c r="I108" s="959">
        <f t="shared" ca="1" si="14"/>
        <v>13.411106590438049</v>
      </c>
      <c r="J108" s="964">
        <f t="shared" ca="1" si="15"/>
        <v>1823.0277985904379</v>
      </c>
      <c r="K108" s="746">
        <f ca="1">VLOOKUP($A108,Curves_Table,Escalation!$O$291)</f>
        <v>1.3387797805891259</v>
      </c>
      <c r="L108" s="748">
        <f t="shared" ca="1" si="16"/>
        <v>2440.6327562047836</v>
      </c>
      <c r="M108" s="749" t="str">
        <f t="shared" ca="1" si="17"/>
        <v xml:space="preserve"> </v>
      </c>
    </row>
    <row r="109" spans="1:13">
      <c r="A109" s="743">
        <f t="shared" si="9"/>
        <v>39904</v>
      </c>
      <c r="C109" s="744">
        <f t="shared" si="10"/>
        <v>30</v>
      </c>
      <c r="D109" s="747">
        <f ca="1">(IF($A109&gt;Endyr,0,IF($A109&lt;Assm!$F$32,G109,Capacity*C109)))*(1+RAROC!$N$12)</f>
        <v>3089700</v>
      </c>
      <c r="E109" s="745">
        <f t="shared" si="11"/>
        <v>0.56679999999999997</v>
      </c>
      <c r="F109" s="959">
        <f t="shared" ca="1" si="12"/>
        <v>1751.2419600000001</v>
      </c>
      <c r="G109" s="960">
        <f ca="1">[3]MMBTU!U132</f>
        <v>2027889.1013767209</v>
      </c>
      <c r="H109" s="745">
        <f t="shared" si="13"/>
        <v>6.4000000000000003E-3</v>
      </c>
      <c r="I109" s="959">
        <f t="shared" ca="1" si="14"/>
        <v>12.978490248811015</v>
      </c>
      <c r="J109" s="964">
        <f t="shared" ca="1" si="15"/>
        <v>1764.2204502488112</v>
      </c>
      <c r="K109" s="746">
        <f ca="1">VLOOKUP($A109,Curves_Table,Escalation!$O$291)</f>
        <v>1.3387797805891259</v>
      </c>
      <c r="L109" s="748">
        <f t="shared" ca="1" si="16"/>
        <v>2361.9026672949526</v>
      </c>
      <c r="M109" s="749" t="str">
        <f t="shared" ca="1" si="17"/>
        <v xml:space="preserve"> </v>
      </c>
    </row>
    <row r="110" spans="1:13">
      <c r="A110" s="743">
        <f t="shared" si="9"/>
        <v>39934</v>
      </c>
      <c r="C110" s="744">
        <f t="shared" si="10"/>
        <v>31</v>
      </c>
      <c r="D110" s="747">
        <f ca="1">(IF($A110&gt;Endyr,0,IF($A110&lt;Assm!$F$32,G110,Capacity*C110)))*(1+RAROC!$N$12)</f>
        <v>3192690</v>
      </c>
      <c r="E110" s="745">
        <f t="shared" si="11"/>
        <v>0.56679999999999997</v>
      </c>
      <c r="F110" s="959">
        <f t="shared" ca="1" si="12"/>
        <v>1809.6166919999998</v>
      </c>
      <c r="G110" s="960">
        <f ca="1">[3]MMBTU!U133</f>
        <v>2095485.4047559449</v>
      </c>
      <c r="H110" s="745">
        <f t="shared" si="13"/>
        <v>6.4000000000000003E-3</v>
      </c>
      <c r="I110" s="959">
        <f t="shared" ca="1" si="14"/>
        <v>13.411106590438049</v>
      </c>
      <c r="J110" s="964">
        <f t="shared" ca="1" si="15"/>
        <v>1823.0277985904379</v>
      </c>
      <c r="K110" s="746">
        <f ca="1">VLOOKUP($A110,Curves_Table,Escalation!$O$291)</f>
        <v>1.3739510144936682</v>
      </c>
      <c r="L110" s="748">
        <f t="shared" ca="1" si="16"/>
        <v>2504.7508933234908</v>
      </c>
      <c r="M110" s="749" t="str">
        <f t="shared" ca="1" si="17"/>
        <v xml:space="preserve"> </v>
      </c>
    </row>
    <row r="111" spans="1:13">
      <c r="A111" s="743">
        <f t="shared" si="9"/>
        <v>39965</v>
      </c>
      <c r="C111" s="744">
        <f t="shared" si="10"/>
        <v>30</v>
      </c>
      <c r="D111" s="747">
        <f ca="1">(IF($A111&gt;Endyr,0,IF($A111&lt;Assm!$F$32,G111,Capacity*C111)))*(1+RAROC!$N$12)</f>
        <v>3089700</v>
      </c>
      <c r="E111" s="745">
        <f t="shared" si="11"/>
        <v>0.56679999999999997</v>
      </c>
      <c r="F111" s="959">
        <f t="shared" ca="1" si="12"/>
        <v>1751.2419600000001</v>
      </c>
      <c r="G111" s="960">
        <f ca="1">[3]MMBTU!U134</f>
        <v>2027889.1013767209</v>
      </c>
      <c r="H111" s="745">
        <f t="shared" si="13"/>
        <v>6.4000000000000003E-3</v>
      </c>
      <c r="I111" s="959">
        <f t="shared" ca="1" si="14"/>
        <v>12.978490248811015</v>
      </c>
      <c r="J111" s="964">
        <f t="shared" ca="1" si="15"/>
        <v>1764.2204502488112</v>
      </c>
      <c r="K111" s="746">
        <f ca="1">VLOOKUP($A111,Curves_Table,Escalation!$O$291)</f>
        <v>1.3739510144936682</v>
      </c>
      <c r="L111" s="748">
        <f t="shared" ca="1" si="16"/>
        <v>2423.95247740983</v>
      </c>
      <c r="M111" s="749" t="str">
        <f t="shared" ca="1" si="17"/>
        <v xml:space="preserve"> </v>
      </c>
    </row>
    <row r="112" spans="1:13">
      <c r="A112" s="743">
        <f t="shared" si="9"/>
        <v>39995</v>
      </c>
      <c r="C112" s="744">
        <f t="shared" si="10"/>
        <v>31</v>
      </c>
      <c r="D112" s="747">
        <f ca="1">(IF($A112&gt;Endyr,0,IF($A112&lt;Assm!$F$32,G112,Capacity*C112)))*(1+RAROC!$N$12)</f>
        <v>3192690</v>
      </c>
      <c r="E112" s="745">
        <f t="shared" si="11"/>
        <v>0.56679999999999997</v>
      </c>
      <c r="F112" s="959">
        <f t="shared" ca="1" si="12"/>
        <v>1809.6166919999998</v>
      </c>
      <c r="G112" s="960">
        <f ca="1">[3]MMBTU!U135</f>
        <v>2095485.4047559449</v>
      </c>
      <c r="H112" s="745">
        <f t="shared" si="13"/>
        <v>6.4000000000000003E-3</v>
      </c>
      <c r="I112" s="959">
        <f t="shared" ca="1" si="14"/>
        <v>13.411106590438049</v>
      </c>
      <c r="J112" s="964">
        <f t="shared" ca="1" si="15"/>
        <v>1823.0277985904379</v>
      </c>
      <c r="K112" s="746">
        <f ca="1">VLOOKUP($A112,Curves_Table,Escalation!$O$291)</f>
        <v>1.3739510144936682</v>
      </c>
      <c r="L112" s="748">
        <f t="shared" ca="1" si="16"/>
        <v>2504.7508933234908</v>
      </c>
      <c r="M112" s="749" t="str">
        <f t="shared" ca="1" si="17"/>
        <v xml:space="preserve"> </v>
      </c>
    </row>
    <row r="113" spans="1:13">
      <c r="A113" s="743">
        <f t="shared" si="9"/>
        <v>40026</v>
      </c>
      <c r="C113" s="744">
        <f t="shared" si="10"/>
        <v>31</v>
      </c>
      <c r="D113" s="747">
        <f ca="1">(IF($A113&gt;Endyr,0,IF($A113&lt;Assm!$F$32,G113,Capacity*C113)))*(1+RAROC!$N$12)</f>
        <v>3192690</v>
      </c>
      <c r="E113" s="745">
        <f t="shared" si="11"/>
        <v>0.56679999999999997</v>
      </c>
      <c r="F113" s="959">
        <f t="shared" ca="1" si="12"/>
        <v>1809.6166919999998</v>
      </c>
      <c r="G113" s="960">
        <f ca="1">[3]MMBTU!U136</f>
        <v>2095485.4047559449</v>
      </c>
      <c r="H113" s="745">
        <f t="shared" si="13"/>
        <v>6.4000000000000003E-3</v>
      </c>
      <c r="I113" s="959">
        <f t="shared" ca="1" si="14"/>
        <v>13.411106590438049</v>
      </c>
      <c r="J113" s="964">
        <f t="shared" ca="1" si="15"/>
        <v>1823.0277985904379</v>
      </c>
      <c r="K113" s="746">
        <f ca="1">VLOOKUP($A113,Curves_Table,Escalation!$O$291)</f>
        <v>1.3739510144936682</v>
      </c>
      <c r="L113" s="748">
        <f t="shared" ca="1" si="16"/>
        <v>2504.7508933234908</v>
      </c>
      <c r="M113" s="749" t="str">
        <f t="shared" ca="1" si="17"/>
        <v xml:space="preserve"> </v>
      </c>
    </row>
    <row r="114" spans="1:13">
      <c r="A114" s="743">
        <f t="shared" si="9"/>
        <v>40057</v>
      </c>
      <c r="C114" s="744">
        <f t="shared" si="10"/>
        <v>30</v>
      </c>
      <c r="D114" s="747">
        <f ca="1">(IF($A114&gt;Endyr,0,IF($A114&lt;Assm!$F$32,G114,Capacity*C114)))*(1+RAROC!$N$12)</f>
        <v>3089700</v>
      </c>
      <c r="E114" s="745">
        <f t="shared" si="11"/>
        <v>0.56679999999999997</v>
      </c>
      <c r="F114" s="959">
        <f t="shared" ca="1" si="12"/>
        <v>1751.2419600000001</v>
      </c>
      <c r="G114" s="960">
        <f ca="1">[3]MMBTU!U137</f>
        <v>2027889.1013767209</v>
      </c>
      <c r="H114" s="745">
        <f t="shared" si="13"/>
        <v>6.4000000000000003E-3</v>
      </c>
      <c r="I114" s="959">
        <f t="shared" ca="1" si="14"/>
        <v>12.978490248811015</v>
      </c>
      <c r="J114" s="964">
        <f t="shared" ca="1" si="15"/>
        <v>1764.2204502488112</v>
      </c>
      <c r="K114" s="746">
        <f ca="1">VLOOKUP($A114,Curves_Table,Escalation!$O$291)</f>
        <v>1.3739510144936682</v>
      </c>
      <c r="L114" s="748">
        <f t="shared" ca="1" si="16"/>
        <v>2423.95247740983</v>
      </c>
      <c r="M114" s="749" t="str">
        <f t="shared" ca="1" si="17"/>
        <v xml:space="preserve"> </v>
      </c>
    </row>
    <row r="115" spans="1:13">
      <c r="A115" s="743">
        <f t="shared" si="9"/>
        <v>40087</v>
      </c>
      <c r="C115" s="744">
        <f t="shared" si="10"/>
        <v>31</v>
      </c>
      <c r="D115" s="747">
        <f ca="1">(IF($A115&gt;Endyr,0,IF($A115&lt;Assm!$F$32,G115,Capacity*C115)))*(1+RAROC!$N$12)</f>
        <v>3192690</v>
      </c>
      <c r="E115" s="745">
        <f t="shared" si="11"/>
        <v>0.56679999999999997</v>
      </c>
      <c r="F115" s="959">
        <f t="shared" ca="1" si="12"/>
        <v>1809.6166919999998</v>
      </c>
      <c r="G115" s="960">
        <f ca="1">[3]MMBTU!U138</f>
        <v>2095485.4047559449</v>
      </c>
      <c r="H115" s="745">
        <f t="shared" si="13"/>
        <v>6.4000000000000003E-3</v>
      </c>
      <c r="I115" s="959">
        <f t="shared" ca="1" si="14"/>
        <v>13.411106590438049</v>
      </c>
      <c r="J115" s="964">
        <f t="shared" ca="1" si="15"/>
        <v>1823.0277985904379</v>
      </c>
      <c r="K115" s="746">
        <f ca="1">VLOOKUP($A115,Curves_Table,Escalation!$O$291)</f>
        <v>1.3739510144936682</v>
      </c>
      <c r="L115" s="748">
        <f t="shared" ca="1" si="16"/>
        <v>2504.7508933234908</v>
      </c>
      <c r="M115" s="749" t="str">
        <f t="shared" ca="1" si="17"/>
        <v xml:space="preserve"> </v>
      </c>
    </row>
    <row r="116" spans="1:13">
      <c r="A116" s="743">
        <f t="shared" si="9"/>
        <v>40118</v>
      </c>
      <c r="C116" s="744">
        <f t="shared" si="10"/>
        <v>30</v>
      </c>
      <c r="D116" s="747">
        <f ca="1">(IF($A116&gt;Endyr,0,IF($A116&lt;Assm!$F$32,G116,Capacity*C116)))*(1+RAROC!$N$12)</f>
        <v>3089700</v>
      </c>
      <c r="E116" s="745">
        <f t="shared" si="11"/>
        <v>0.56679999999999997</v>
      </c>
      <c r="F116" s="959">
        <f t="shared" ca="1" si="12"/>
        <v>1751.2419600000001</v>
      </c>
      <c r="G116" s="960">
        <f ca="1">[3]MMBTU!U139</f>
        <v>2027889.1013767209</v>
      </c>
      <c r="H116" s="745">
        <f t="shared" si="13"/>
        <v>6.4000000000000003E-3</v>
      </c>
      <c r="I116" s="959">
        <f t="shared" ca="1" si="14"/>
        <v>12.978490248811015</v>
      </c>
      <c r="J116" s="964">
        <f t="shared" ca="1" si="15"/>
        <v>1764.2204502488112</v>
      </c>
      <c r="K116" s="746">
        <f ca="1">VLOOKUP($A116,Curves_Table,Escalation!$O$291)</f>
        <v>1.3739510144936682</v>
      </c>
      <c r="L116" s="748">
        <f t="shared" ca="1" si="16"/>
        <v>2423.95247740983</v>
      </c>
      <c r="M116" s="749" t="str">
        <f t="shared" ca="1" si="17"/>
        <v xml:space="preserve"> </v>
      </c>
    </row>
    <row r="117" spans="1:13">
      <c r="A117" s="743">
        <f t="shared" si="9"/>
        <v>40148</v>
      </c>
      <c r="C117" s="744">
        <f t="shared" si="10"/>
        <v>31</v>
      </c>
      <c r="D117" s="747">
        <f ca="1">(IF($A117&gt;Endyr,0,IF($A117&lt;Assm!$F$32,G117,Capacity*C117)))*(1+RAROC!$N$12)</f>
        <v>3192690</v>
      </c>
      <c r="E117" s="745">
        <f t="shared" si="11"/>
        <v>0.56679999999999997</v>
      </c>
      <c r="F117" s="959">
        <f t="shared" ca="1" si="12"/>
        <v>1809.6166919999998</v>
      </c>
      <c r="G117" s="960">
        <f ca="1">[3]MMBTU!U140</f>
        <v>2095485.4047559449</v>
      </c>
      <c r="H117" s="745">
        <f t="shared" si="13"/>
        <v>6.4000000000000003E-3</v>
      </c>
      <c r="I117" s="959">
        <f t="shared" ca="1" si="14"/>
        <v>13.411106590438049</v>
      </c>
      <c r="J117" s="964">
        <f t="shared" ca="1" si="15"/>
        <v>1823.0277985904379</v>
      </c>
      <c r="K117" s="746">
        <f ca="1">VLOOKUP($A117,Curves_Table,Escalation!$O$291)</f>
        <v>1.3739510144936682</v>
      </c>
      <c r="L117" s="748">
        <f t="shared" ca="1" si="16"/>
        <v>2504.7508933234908</v>
      </c>
      <c r="M117" s="749">
        <f t="shared" ca="1" si="17"/>
        <v>29243.222568026747</v>
      </c>
    </row>
    <row r="118" spans="1:13">
      <c r="A118" s="743">
        <f t="shared" si="9"/>
        <v>40179</v>
      </c>
      <c r="C118" s="744">
        <f t="shared" si="10"/>
        <v>31</v>
      </c>
      <c r="D118" s="747">
        <f ca="1">(IF($A118&gt;Endyr,0,IF($A118&lt;Assm!$F$32,G118,Capacity*C118)))*(1+RAROC!$N$12)</f>
        <v>3192690</v>
      </c>
      <c r="E118" s="745">
        <f t="shared" si="11"/>
        <v>0.56679999999999997</v>
      </c>
      <c r="F118" s="959">
        <f t="shared" ca="1" si="12"/>
        <v>1809.6166919999998</v>
      </c>
      <c r="G118" s="960">
        <f ca="1">[3]MMBTU!U141</f>
        <v>2095485.4047559449</v>
      </c>
      <c r="H118" s="745">
        <f t="shared" si="13"/>
        <v>6.4000000000000003E-3</v>
      </c>
      <c r="I118" s="959">
        <f t="shared" ca="1" si="14"/>
        <v>13.411106590438049</v>
      </c>
      <c r="J118" s="964">
        <f t="shared" ca="1" si="15"/>
        <v>1823.0277985904379</v>
      </c>
      <c r="K118" s="746">
        <f ca="1">VLOOKUP($A118,Curves_Table,Escalation!$O$291)</f>
        <v>1.3739510144936682</v>
      </c>
      <c r="L118" s="748">
        <f t="shared" ca="1" si="16"/>
        <v>2504.7508933234908</v>
      </c>
      <c r="M118" s="749" t="str">
        <f t="shared" ca="1" si="17"/>
        <v xml:space="preserve"> </v>
      </c>
    </row>
    <row r="119" spans="1:13">
      <c r="A119" s="743">
        <f t="shared" si="9"/>
        <v>40210</v>
      </c>
      <c r="C119" s="744">
        <f t="shared" si="10"/>
        <v>28</v>
      </c>
      <c r="D119" s="747">
        <f ca="1">(IF($A119&gt;Endyr,0,IF($A119&lt;Assm!$F$32,G119,Capacity*C119)))*(1+RAROC!$N$12)</f>
        <v>2883720</v>
      </c>
      <c r="E119" s="745">
        <f t="shared" si="11"/>
        <v>0.56679999999999997</v>
      </c>
      <c r="F119" s="959">
        <f t="shared" ca="1" si="12"/>
        <v>1634.4924959999998</v>
      </c>
      <c r="G119" s="960">
        <f ca="1">[3]MMBTU!U142</f>
        <v>1892696.4946182731</v>
      </c>
      <c r="H119" s="745">
        <f t="shared" si="13"/>
        <v>6.4000000000000003E-3</v>
      </c>
      <c r="I119" s="959">
        <f t="shared" ca="1" si="14"/>
        <v>12.11325756555695</v>
      </c>
      <c r="J119" s="964">
        <f t="shared" ca="1" si="15"/>
        <v>1646.6057535655568</v>
      </c>
      <c r="K119" s="746">
        <f ca="1">VLOOKUP($A119,Curves_Table,Escalation!$O$291)</f>
        <v>1.3739510144936682</v>
      </c>
      <c r="L119" s="748">
        <f t="shared" ca="1" si="16"/>
        <v>2262.3556455825078</v>
      </c>
      <c r="M119" s="749" t="str">
        <f t="shared" ca="1" si="17"/>
        <v xml:space="preserve"> </v>
      </c>
    </row>
    <row r="120" spans="1:13">
      <c r="A120" s="743">
        <f t="shared" si="9"/>
        <v>40238</v>
      </c>
      <c r="C120" s="744">
        <f t="shared" si="10"/>
        <v>31</v>
      </c>
      <c r="D120" s="747">
        <f ca="1">(IF($A120&gt;Endyr,0,IF($A120&lt;Assm!$F$32,G120,Capacity*C120)))*(1+RAROC!$N$12)</f>
        <v>3192690</v>
      </c>
      <c r="E120" s="745">
        <f t="shared" si="11"/>
        <v>0.56679999999999997</v>
      </c>
      <c r="F120" s="959">
        <f t="shared" ca="1" si="12"/>
        <v>1809.6166919999998</v>
      </c>
      <c r="G120" s="960">
        <f ca="1">[3]MMBTU!U143</f>
        <v>2095485.4047559449</v>
      </c>
      <c r="H120" s="745">
        <f t="shared" si="13"/>
        <v>6.4000000000000003E-3</v>
      </c>
      <c r="I120" s="959">
        <f t="shared" ca="1" si="14"/>
        <v>13.411106590438049</v>
      </c>
      <c r="J120" s="964">
        <f t="shared" ca="1" si="15"/>
        <v>1823.0277985904379</v>
      </c>
      <c r="K120" s="746">
        <f ca="1">VLOOKUP($A120,Curves_Table,Escalation!$O$291)</f>
        <v>1.3739510144936682</v>
      </c>
      <c r="L120" s="748">
        <f t="shared" ca="1" si="16"/>
        <v>2504.7508933234908</v>
      </c>
      <c r="M120" s="749" t="str">
        <f t="shared" ca="1" si="17"/>
        <v xml:space="preserve"> </v>
      </c>
    </row>
    <row r="121" spans="1:13">
      <c r="A121" s="743">
        <f t="shared" si="9"/>
        <v>40269</v>
      </c>
      <c r="C121" s="744">
        <f t="shared" si="10"/>
        <v>30</v>
      </c>
      <c r="D121" s="747">
        <f ca="1">(IF($A121&gt;Endyr,0,IF($A121&lt;Assm!$F$32,G121,Capacity*C121)))*(1+RAROC!$N$12)</f>
        <v>3089700</v>
      </c>
      <c r="E121" s="745">
        <f t="shared" si="11"/>
        <v>0.56679999999999997</v>
      </c>
      <c r="F121" s="959">
        <f t="shared" ca="1" si="12"/>
        <v>1751.2419600000001</v>
      </c>
      <c r="G121" s="960">
        <f ca="1">[3]MMBTU!U144</f>
        <v>2027889.1013767209</v>
      </c>
      <c r="H121" s="745">
        <f t="shared" si="13"/>
        <v>6.4000000000000003E-3</v>
      </c>
      <c r="I121" s="959">
        <f t="shared" ca="1" si="14"/>
        <v>12.978490248811015</v>
      </c>
      <c r="J121" s="964">
        <f t="shared" ca="1" si="15"/>
        <v>1764.2204502488112</v>
      </c>
      <c r="K121" s="746">
        <f ca="1">VLOOKUP($A121,Curves_Table,Escalation!$O$291)</f>
        <v>1.3739510144936682</v>
      </c>
      <c r="L121" s="748">
        <f t="shared" ca="1" si="16"/>
        <v>2423.95247740983</v>
      </c>
      <c r="M121" s="749" t="str">
        <f t="shared" ca="1" si="17"/>
        <v xml:space="preserve"> </v>
      </c>
    </row>
    <row r="122" spans="1:13">
      <c r="A122" s="743">
        <f t="shared" si="9"/>
        <v>40299</v>
      </c>
      <c r="C122" s="744">
        <f t="shared" si="10"/>
        <v>31</v>
      </c>
      <c r="D122" s="747">
        <f ca="1">(IF($A122&gt;Endyr,0,IF($A122&lt;Assm!$F$32,G122,Capacity*C122)))*(1+RAROC!$N$12)</f>
        <v>3192690</v>
      </c>
      <c r="E122" s="745">
        <f t="shared" si="11"/>
        <v>0.56679999999999997</v>
      </c>
      <c r="F122" s="959">
        <f t="shared" ca="1" si="12"/>
        <v>1809.6166919999998</v>
      </c>
      <c r="G122" s="960">
        <f ca="1">[3]MMBTU!U145</f>
        <v>2095485.4047559449</v>
      </c>
      <c r="H122" s="745">
        <f t="shared" si="13"/>
        <v>6.4000000000000003E-3</v>
      </c>
      <c r="I122" s="959">
        <f t="shared" ca="1" si="14"/>
        <v>13.411106590438049</v>
      </c>
      <c r="J122" s="964">
        <f t="shared" ca="1" si="15"/>
        <v>1823.0277985904379</v>
      </c>
      <c r="K122" s="746">
        <f ca="1">VLOOKUP($A122,Curves_Table,Escalation!$O$291)</f>
        <v>1.409454688092179</v>
      </c>
      <c r="L122" s="748">
        <f t="shared" ca="1" si="16"/>
        <v>2569.4750772456573</v>
      </c>
      <c r="M122" s="749" t="str">
        <f t="shared" ca="1" si="17"/>
        <v xml:space="preserve"> </v>
      </c>
    </row>
    <row r="123" spans="1:13">
      <c r="A123" s="743">
        <f t="shared" si="9"/>
        <v>40330</v>
      </c>
      <c r="C123" s="744">
        <f t="shared" si="10"/>
        <v>30</v>
      </c>
      <c r="D123" s="747">
        <f ca="1">(IF($A123&gt;Endyr,0,IF($A123&lt;Assm!$F$32,G123,Capacity*C123)))*(1+RAROC!$N$12)</f>
        <v>3089700</v>
      </c>
      <c r="E123" s="745">
        <f t="shared" si="11"/>
        <v>0.56679999999999997</v>
      </c>
      <c r="F123" s="959">
        <f t="shared" ca="1" si="12"/>
        <v>1751.2419600000001</v>
      </c>
      <c r="G123" s="960">
        <f ca="1">[3]MMBTU!U146</f>
        <v>2027889.1013767209</v>
      </c>
      <c r="H123" s="745">
        <f t="shared" si="13"/>
        <v>6.4000000000000003E-3</v>
      </c>
      <c r="I123" s="959">
        <f t="shared" ca="1" si="14"/>
        <v>12.978490248811015</v>
      </c>
      <c r="J123" s="964">
        <f t="shared" ca="1" si="15"/>
        <v>1764.2204502488112</v>
      </c>
      <c r="K123" s="746">
        <f ca="1">VLOOKUP($A123,Curves_Table,Escalation!$O$291)</f>
        <v>1.409454688092179</v>
      </c>
      <c r="L123" s="748">
        <f t="shared" ca="1" si="16"/>
        <v>2486.588784431282</v>
      </c>
      <c r="M123" s="749" t="str">
        <f t="shared" ca="1" si="17"/>
        <v xml:space="preserve"> </v>
      </c>
    </row>
    <row r="124" spans="1:13">
      <c r="A124" s="743">
        <f t="shared" si="9"/>
        <v>40360</v>
      </c>
      <c r="C124" s="744">
        <f t="shared" si="10"/>
        <v>31</v>
      </c>
      <c r="D124" s="747">
        <f ca="1">(IF($A124&gt;Endyr,0,IF($A124&lt;Assm!$F$32,G124,Capacity*C124)))*(1+RAROC!$N$12)</f>
        <v>3192690</v>
      </c>
      <c r="E124" s="745">
        <f t="shared" si="11"/>
        <v>0.56679999999999997</v>
      </c>
      <c r="F124" s="959">
        <f t="shared" ca="1" si="12"/>
        <v>1809.6166919999998</v>
      </c>
      <c r="G124" s="960">
        <f ca="1">[3]MMBTU!U147</f>
        <v>2095485.4047559449</v>
      </c>
      <c r="H124" s="745">
        <f t="shared" si="13"/>
        <v>6.4000000000000003E-3</v>
      </c>
      <c r="I124" s="959">
        <f t="shared" ca="1" si="14"/>
        <v>13.411106590438049</v>
      </c>
      <c r="J124" s="964">
        <f t="shared" ca="1" si="15"/>
        <v>1823.0277985904379</v>
      </c>
      <c r="K124" s="746">
        <f ca="1">VLOOKUP($A124,Curves_Table,Escalation!$O$291)</f>
        <v>1.409454688092179</v>
      </c>
      <c r="L124" s="748">
        <f t="shared" ca="1" si="16"/>
        <v>2569.4750772456573</v>
      </c>
      <c r="M124" s="749" t="str">
        <f t="shared" ca="1" si="17"/>
        <v xml:space="preserve"> </v>
      </c>
    </row>
    <row r="125" spans="1:13">
      <c r="A125" s="743">
        <f t="shared" si="9"/>
        <v>40391</v>
      </c>
      <c r="C125" s="744">
        <f t="shared" si="10"/>
        <v>31</v>
      </c>
      <c r="D125" s="747">
        <f ca="1">(IF($A125&gt;Endyr,0,IF($A125&lt;Assm!$F$32,G125,Capacity*C125)))*(1+RAROC!$N$12)</f>
        <v>3192690</v>
      </c>
      <c r="E125" s="745">
        <f t="shared" si="11"/>
        <v>0.56679999999999997</v>
      </c>
      <c r="F125" s="959">
        <f t="shared" ca="1" si="12"/>
        <v>1809.6166919999998</v>
      </c>
      <c r="G125" s="960">
        <f ca="1">[3]MMBTU!U148</f>
        <v>2095485.4047559449</v>
      </c>
      <c r="H125" s="745">
        <f t="shared" si="13"/>
        <v>6.4000000000000003E-3</v>
      </c>
      <c r="I125" s="959">
        <f t="shared" ca="1" si="14"/>
        <v>13.411106590438049</v>
      </c>
      <c r="J125" s="964">
        <f t="shared" ca="1" si="15"/>
        <v>1823.0277985904379</v>
      </c>
      <c r="K125" s="746">
        <f ca="1">VLOOKUP($A125,Curves_Table,Escalation!$O$291)</f>
        <v>1.409454688092179</v>
      </c>
      <c r="L125" s="748">
        <f t="shared" ca="1" si="16"/>
        <v>2569.4750772456573</v>
      </c>
      <c r="M125" s="749" t="str">
        <f t="shared" ca="1" si="17"/>
        <v xml:space="preserve"> </v>
      </c>
    </row>
    <row r="126" spans="1:13">
      <c r="A126" s="743">
        <f t="shared" si="9"/>
        <v>40422</v>
      </c>
      <c r="C126" s="744">
        <f t="shared" si="10"/>
        <v>30</v>
      </c>
      <c r="D126" s="747">
        <f ca="1">(IF($A126&gt;Endyr,0,IF($A126&lt;Assm!$F$32,G126,Capacity*C126)))*(1+RAROC!$N$12)</f>
        <v>3089700</v>
      </c>
      <c r="E126" s="745">
        <f t="shared" si="11"/>
        <v>0.56679999999999997</v>
      </c>
      <c r="F126" s="959">
        <f t="shared" ca="1" si="12"/>
        <v>1751.2419600000001</v>
      </c>
      <c r="G126" s="960">
        <f ca="1">[3]MMBTU!U149</f>
        <v>2027889.1013767209</v>
      </c>
      <c r="H126" s="745">
        <f t="shared" si="13"/>
        <v>6.4000000000000003E-3</v>
      </c>
      <c r="I126" s="959">
        <f t="shared" ca="1" si="14"/>
        <v>12.978490248811015</v>
      </c>
      <c r="J126" s="964">
        <f t="shared" ca="1" si="15"/>
        <v>1764.2204502488112</v>
      </c>
      <c r="K126" s="746">
        <f ca="1">VLOOKUP($A126,Curves_Table,Escalation!$O$291)</f>
        <v>1.409454688092179</v>
      </c>
      <c r="L126" s="748">
        <f t="shared" ca="1" si="16"/>
        <v>2486.588784431282</v>
      </c>
      <c r="M126" s="749" t="str">
        <f t="shared" ca="1" si="17"/>
        <v xml:space="preserve"> </v>
      </c>
    </row>
    <row r="127" spans="1:13">
      <c r="A127" s="743">
        <f t="shared" si="9"/>
        <v>40452</v>
      </c>
      <c r="C127" s="744">
        <f t="shared" si="10"/>
        <v>31</v>
      </c>
      <c r="D127" s="747">
        <f ca="1">(IF($A127&gt;Endyr,0,IF($A127&lt;Assm!$F$32,G127,Capacity*C127)))*(1+RAROC!$N$12)</f>
        <v>3192690</v>
      </c>
      <c r="E127" s="745">
        <f t="shared" si="11"/>
        <v>0.56679999999999997</v>
      </c>
      <c r="F127" s="959">
        <f t="shared" ca="1" si="12"/>
        <v>1809.6166919999998</v>
      </c>
      <c r="G127" s="960">
        <f ca="1">[3]MMBTU!U150</f>
        <v>2095485.4047559449</v>
      </c>
      <c r="H127" s="745">
        <f t="shared" si="13"/>
        <v>6.4000000000000003E-3</v>
      </c>
      <c r="I127" s="959">
        <f t="shared" ca="1" si="14"/>
        <v>13.411106590438049</v>
      </c>
      <c r="J127" s="964">
        <f t="shared" ca="1" si="15"/>
        <v>1823.0277985904379</v>
      </c>
      <c r="K127" s="746">
        <f ca="1">VLOOKUP($A127,Curves_Table,Escalation!$O$291)</f>
        <v>1.409454688092179</v>
      </c>
      <c r="L127" s="748">
        <f t="shared" ca="1" si="16"/>
        <v>2569.4750772456573</v>
      </c>
      <c r="M127" s="749" t="str">
        <f t="shared" ca="1" si="17"/>
        <v xml:space="preserve"> </v>
      </c>
    </row>
    <row r="128" spans="1:13">
      <c r="A128" s="743">
        <f t="shared" si="9"/>
        <v>40483</v>
      </c>
      <c r="C128" s="744">
        <f t="shared" si="10"/>
        <v>30</v>
      </c>
      <c r="D128" s="747">
        <f ca="1">(IF($A128&gt;Endyr,0,IF($A128&lt;Assm!$F$32,G128,Capacity*C128)))*(1+RAROC!$N$12)</f>
        <v>3089700</v>
      </c>
      <c r="E128" s="745">
        <f t="shared" si="11"/>
        <v>0.56679999999999997</v>
      </c>
      <c r="F128" s="959">
        <f t="shared" ca="1" si="12"/>
        <v>1751.2419600000001</v>
      </c>
      <c r="G128" s="960">
        <f ca="1">[3]MMBTU!U151</f>
        <v>2027889.1013767209</v>
      </c>
      <c r="H128" s="745">
        <f t="shared" si="13"/>
        <v>6.4000000000000003E-3</v>
      </c>
      <c r="I128" s="959">
        <f t="shared" ca="1" si="14"/>
        <v>12.978490248811015</v>
      </c>
      <c r="J128" s="964">
        <f t="shared" ca="1" si="15"/>
        <v>1764.2204502488112</v>
      </c>
      <c r="K128" s="746">
        <f ca="1">VLOOKUP($A128,Curves_Table,Escalation!$O$291)</f>
        <v>1.409454688092179</v>
      </c>
      <c r="L128" s="748">
        <f t="shared" ca="1" si="16"/>
        <v>2486.588784431282</v>
      </c>
      <c r="M128" s="749" t="str">
        <f t="shared" ca="1" si="17"/>
        <v xml:space="preserve"> </v>
      </c>
    </row>
    <row r="129" spans="1:13">
      <c r="A129" s="743">
        <f t="shared" si="9"/>
        <v>40513</v>
      </c>
      <c r="C129" s="744">
        <f t="shared" si="10"/>
        <v>31</v>
      </c>
      <c r="D129" s="747">
        <f ca="1">(IF($A129&gt;Endyr,0,IF($A129&lt;Assm!$F$32,G129,Capacity*C129)))*(1+RAROC!$N$12)</f>
        <v>3192690</v>
      </c>
      <c r="E129" s="745">
        <f t="shared" si="11"/>
        <v>0.56679999999999997</v>
      </c>
      <c r="F129" s="959">
        <f t="shared" ca="1" si="12"/>
        <v>1809.6166919999998</v>
      </c>
      <c r="G129" s="960">
        <f ca="1">[3]MMBTU!U152</f>
        <v>2095485.4047559449</v>
      </c>
      <c r="H129" s="745">
        <f t="shared" si="13"/>
        <v>6.4000000000000003E-3</v>
      </c>
      <c r="I129" s="959">
        <f t="shared" ca="1" si="14"/>
        <v>13.411106590438049</v>
      </c>
      <c r="J129" s="964">
        <f t="shared" ca="1" si="15"/>
        <v>1823.0277985904379</v>
      </c>
      <c r="K129" s="746">
        <f ca="1">VLOOKUP($A129,Curves_Table,Escalation!$O$291)</f>
        <v>1.409454688092179</v>
      </c>
      <c r="L129" s="748">
        <f t="shared" ca="1" si="16"/>
        <v>2569.4750772456573</v>
      </c>
      <c r="M129" s="749">
        <f t="shared" ca="1" si="17"/>
        <v>30002.951649161452</v>
      </c>
    </row>
    <row r="130" spans="1:13">
      <c r="A130" s="743">
        <f t="shared" si="9"/>
        <v>40544</v>
      </c>
      <c r="C130" s="744">
        <f t="shared" si="10"/>
        <v>31</v>
      </c>
      <c r="D130" s="747">
        <f ca="1">(IF($A130&gt;Endyr,0,IF($A130&lt;Assm!$F$32,G130,Capacity*C130)))*(1+RAROC!$N$12)</f>
        <v>3192690</v>
      </c>
      <c r="E130" s="745">
        <f t="shared" si="11"/>
        <v>0.56679999999999997</v>
      </c>
      <c r="F130" s="959">
        <f t="shared" ca="1" si="12"/>
        <v>1809.6166919999998</v>
      </c>
      <c r="G130" s="960">
        <f ca="1">[3]MMBTU!U153</f>
        <v>2095485.4047559449</v>
      </c>
      <c r="H130" s="745">
        <f t="shared" si="13"/>
        <v>6.4000000000000003E-3</v>
      </c>
      <c r="I130" s="959">
        <f t="shared" ca="1" si="14"/>
        <v>13.411106590438049</v>
      </c>
      <c r="J130" s="964">
        <f t="shared" ca="1" si="15"/>
        <v>1823.0277985904379</v>
      </c>
      <c r="K130" s="746">
        <f ca="1">VLOOKUP($A130,Curves_Table,Escalation!$O$291)</f>
        <v>1.409454688092179</v>
      </c>
      <c r="L130" s="748">
        <f t="shared" ca="1" si="16"/>
        <v>2569.4750772456573</v>
      </c>
      <c r="M130" s="749" t="str">
        <f t="shared" ca="1" si="17"/>
        <v xml:space="preserve"> </v>
      </c>
    </row>
    <row r="131" spans="1:13">
      <c r="A131" s="743">
        <f t="shared" si="9"/>
        <v>40575</v>
      </c>
      <c r="C131" s="744">
        <f t="shared" si="10"/>
        <v>28</v>
      </c>
      <c r="D131" s="747">
        <f ca="1">(IF($A131&gt;Endyr,0,IF($A131&lt;Assm!$F$32,G131,Capacity*C131)))*(1+RAROC!$N$12)</f>
        <v>2883720</v>
      </c>
      <c r="E131" s="745">
        <f t="shared" si="11"/>
        <v>0.56679999999999997</v>
      </c>
      <c r="F131" s="959">
        <f t="shared" ca="1" si="12"/>
        <v>1634.4924959999998</v>
      </c>
      <c r="G131" s="960">
        <f ca="1">[3]MMBTU!U154</f>
        <v>1892696.4946182731</v>
      </c>
      <c r="H131" s="745">
        <f t="shared" si="13"/>
        <v>6.4000000000000003E-3</v>
      </c>
      <c r="I131" s="959">
        <f t="shared" ca="1" si="14"/>
        <v>12.11325756555695</v>
      </c>
      <c r="J131" s="964">
        <f t="shared" ca="1" si="15"/>
        <v>1646.6057535655568</v>
      </c>
      <c r="K131" s="746">
        <f ca="1">VLOOKUP($A131,Curves_Table,Escalation!$O$291)</f>
        <v>1.409454688092179</v>
      </c>
      <c r="L131" s="748">
        <f t="shared" ca="1" si="16"/>
        <v>2320.8161988025295</v>
      </c>
      <c r="M131" s="749" t="str">
        <f t="shared" ca="1" si="17"/>
        <v xml:space="preserve"> </v>
      </c>
    </row>
    <row r="132" spans="1:13">
      <c r="A132" s="743">
        <f t="shared" si="9"/>
        <v>40603</v>
      </c>
      <c r="C132" s="744">
        <f t="shared" si="10"/>
        <v>31</v>
      </c>
      <c r="D132" s="747">
        <f ca="1">(IF($A132&gt;Endyr,0,IF($A132&lt;Assm!$F$32,G132,Capacity*C132)))*(1+RAROC!$N$12)</f>
        <v>3192690</v>
      </c>
      <c r="E132" s="745">
        <f t="shared" si="11"/>
        <v>0.56679999999999997</v>
      </c>
      <c r="F132" s="959">
        <f t="shared" ca="1" si="12"/>
        <v>1809.6166919999998</v>
      </c>
      <c r="G132" s="960">
        <f ca="1">[3]MMBTU!U155</f>
        <v>2095485.4047559449</v>
      </c>
      <c r="H132" s="745">
        <f t="shared" si="13"/>
        <v>6.4000000000000003E-3</v>
      </c>
      <c r="I132" s="959">
        <f t="shared" ca="1" si="14"/>
        <v>13.411106590438049</v>
      </c>
      <c r="J132" s="964">
        <f t="shared" ca="1" si="15"/>
        <v>1823.0277985904379</v>
      </c>
      <c r="K132" s="746">
        <f ca="1">VLOOKUP($A132,Curves_Table,Escalation!$O$291)</f>
        <v>1.409454688092179</v>
      </c>
      <c r="L132" s="748">
        <f t="shared" ca="1" si="16"/>
        <v>2569.4750772456573</v>
      </c>
      <c r="M132" s="749" t="str">
        <f t="shared" ca="1" si="17"/>
        <v xml:space="preserve"> </v>
      </c>
    </row>
    <row r="133" spans="1:13">
      <c r="A133" s="743">
        <f t="shared" si="9"/>
        <v>40634</v>
      </c>
      <c r="C133" s="744">
        <f t="shared" si="10"/>
        <v>30</v>
      </c>
      <c r="D133" s="747">
        <f ca="1">(IF($A133&gt;Endyr,0,IF($A133&lt;Assm!$F$32,G133,Capacity*C133)))*(1+RAROC!$N$12)</f>
        <v>3089700</v>
      </c>
      <c r="E133" s="745">
        <f t="shared" si="11"/>
        <v>0.56679999999999997</v>
      </c>
      <c r="F133" s="959">
        <f t="shared" ca="1" si="12"/>
        <v>1751.2419600000001</v>
      </c>
      <c r="G133" s="960">
        <f ca="1">[3]MMBTU!U156</f>
        <v>2027889.1013767209</v>
      </c>
      <c r="H133" s="745">
        <f t="shared" si="13"/>
        <v>6.4000000000000003E-3</v>
      </c>
      <c r="I133" s="959">
        <f t="shared" ca="1" si="14"/>
        <v>12.978490248811015</v>
      </c>
      <c r="J133" s="964">
        <f t="shared" ca="1" si="15"/>
        <v>1764.2204502488112</v>
      </c>
      <c r="K133" s="746">
        <f ca="1">VLOOKUP($A133,Curves_Table,Escalation!$O$291)</f>
        <v>1.409454688092179</v>
      </c>
      <c r="L133" s="748">
        <f t="shared" ca="1" si="16"/>
        <v>2486.588784431282</v>
      </c>
      <c r="M133" s="749" t="str">
        <f t="shared" ca="1" si="17"/>
        <v xml:space="preserve"> </v>
      </c>
    </row>
    <row r="134" spans="1:13">
      <c r="A134" s="743">
        <f t="shared" si="9"/>
        <v>40664</v>
      </c>
      <c r="C134" s="744">
        <f t="shared" si="10"/>
        <v>31</v>
      </c>
      <c r="D134" s="747">
        <f ca="1">(IF($A134&gt;Endyr,0,IF($A134&lt;Assm!$F$32,G134,Capacity*C134)))*(1+RAROC!$N$12)</f>
        <v>3192690</v>
      </c>
      <c r="E134" s="745">
        <f t="shared" si="11"/>
        <v>0.56679999999999997</v>
      </c>
      <c r="F134" s="959">
        <f t="shared" ca="1" si="12"/>
        <v>1809.6166919999998</v>
      </c>
      <c r="G134" s="960">
        <f ca="1">[3]MMBTU!U157</f>
        <v>2095485.4047559449</v>
      </c>
      <c r="H134" s="745">
        <f t="shared" si="13"/>
        <v>6.4000000000000003E-3</v>
      </c>
      <c r="I134" s="959">
        <f t="shared" ca="1" si="14"/>
        <v>13.411106590438049</v>
      </c>
      <c r="J134" s="964">
        <f t="shared" ca="1" si="15"/>
        <v>1823.0277985904379</v>
      </c>
      <c r="K134" s="746">
        <f ca="1">VLOOKUP($A134,Curves_Table,Escalation!$O$291)</f>
        <v>1.4453629302678073</v>
      </c>
      <c r="L134" s="748">
        <f t="shared" ca="1" si="16"/>
        <v>2634.9368009303453</v>
      </c>
      <c r="M134" s="749" t="str">
        <f t="shared" ca="1" si="17"/>
        <v xml:space="preserve"> </v>
      </c>
    </row>
    <row r="135" spans="1:13">
      <c r="A135" s="743">
        <f t="shared" si="9"/>
        <v>40695</v>
      </c>
      <c r="C135" s="744">
        <f t="shared" si="10"/>
        <v>30</v>
      </c>
      <c r="D135" s="747">
        <f ca="1">(IF($A135&gt;Endyr,0,IF($A135&lt;Assm!$F$32,G135,Capacity*C135)))*(1+RAROC!$N$12)</f>
        <v>3089700</v>
      </c>
      <c r="E135" s="745">
        <f t="shared" si="11"/>
        <v>0.56679999999999997</v>
      </c>
      <c r="F135" s="959">
        <f t="shared" ca="1" si="12"/>
        <v>1751.2419600000001</v>
      </c>
      <c r="G135" s="960">
        <f ca="1">[3]MMBTU!U158</f>
        <v>2027889.1013767209</v>
      </c>
      <c r="H135" s="745">
        <f t="shared" si="13"/>
        <v>6.4000000000000003E-3</v>
      </c>
      <c r="I135" s="959">
        <f t="shared" ca="1" si="14"/>
        <v>12.978490248811015</v>
      </c>
      <c r="J135" s="964">
        <f t="shared" ca="1" si="15"/>
        <v>1764.2204502488112</v>
      </c>
      <c r="K135" s="746">
        <f ca="1">VLOOKUP($A135,Curves_Table,Escalation!$O$291)</f>
        <v>1.4453629302678073</v>
      </c>
      <c r="L135" s="748">
        <f t="shared" ca="1" si="16"/>
        <v>2549.9388396100121</v>
      </c>
      <c r="M135" s="749" t="str">
        <f t="shared" ca="1" si="17"/>
        <v xml:space="preserve"> </v>
      </c>
    </row>
    <row r="136" spans="1:13">
      <c r="A136" s="743">
        <f t="shared" si="9"/>
        <v>40725</v>
      </c>
      <c r="C136" s="744">
        <f t="shared" si="10"/>
        <v>31</v>
      </c>
      <c r="D136" s="747">
        <f ca="1">(IF($A136&gt;Endyr,0,IF($A136&lt;Assm!$F$32,G136,Capacity*C136)))*(1+RAROC!$N$12)</f>
        <v>3192690</v>
      </c>
      <c r="E136" s="745">
        <f t="shared" si="11"/>
        <v>0.56679999999999997</v>
      </c>
      <c r="F136" s="959">
        <f t="shared" ca="1" si="12"/>
        <v>1809.6166919999998</v>
      </c>
      <c r="G136" s="960">
        <f ca="1">[3]MMBTU!U159</f>
        <v>2095485.4047559449</v>
      </c>
      <c r="H136" s="745">
        <f t="shared" si="13"/>
        <v>6.4000000000000003E-3</v>
      </c>
      <c r="I136" s="959">
        <f t="shared" ca="1" si="14"/>
        <v>13.411106590438049</v>
      </c>
      <c r="J136" s="964">
        <f t="shared" ca="1" si="15"/>
        <v>1823.0277985904379</v>
      </c>
      <c r="K136" s="746">
        <f ca="1">VLOOKUP($A136,Curves_Table,Escalation!$O$291)</f>
        <v>1.4453629302678073</v>
      </c>
      <c r="L136" s="748">
        <f t="shared" ca="1" si="16"/>
        <v>2634.9368009303453</v>
      </c>
      <c r="M136" s="749" t="str">
        <f t="shared" ca="1" si="17"/>
        <v xml:space="preserve"> </v>
      </c>
    </row>
    <row r="137" spans="1:13">
      <c r="A137" s="743">
        <f t="shared" si="9"/>
        <v>40756</v>
      </c>
      <c r="C137" s="744">
        <f t="shared" si="10"/>
        <v>31</v>
      </c>
      <c r="D137" s="747">
        <f ca="1">(IF($A137&gt;Endyr,0,IF($A137&lt;Assm!$F$32,G137,Capacity*C137)))*(1+RAROC!$N$12)</f>
        <v>3192690</v>
      </c>
      <c r="E137" s="745">
        <f t="shared" si="11"/>
        <v>0.56679999999999997</v>
      </c>
      <c r="F137" s="959">
        <f t="shared" ca="1" si="12"/>
        <v>1809.6166919999998</v>
      </c>
      <c r="G137" s="960">
        <f ca="1">[3]MMBTU!U160</f>
        <v>2095485.4047559449</v>
      </c>
      <c r="H137" s="745">
        <f t="shared" si="13"/>
        <v>6.4000000000000003E-3</v>
      </c>
      <c r="I137" s="959">
        <f t="shared" ca="1" si="14"/>
        <v>13.411106590438049</v>
      </c>
      <c r="J137" s="964">
        <f t="shared" ca="1" si="15"/>
        <v>1823.0277985904379</v>
      </c>
      <c r="K137" s="746">
        <f ca="1">VLOOKUP($A137,Curves_Table,Escalation!$O$291)</f>
        <v>1.4453629302678073</v>
      </c>
      <c r="L137" s="748">
        <f t="shared" ca="1" si="16"/>
        <v>2634.9368009303453</v>
      </c>
      <c r="M137" s="749" t="str">
        <f t="shared" ca="1" si="17"/>
        <v xml:space="preserve"> </v>
      </c>
    </row>
    <row r="138" spans="1:13">
      <c r="A138" s="743">
        <f t="shared" si="9"/>
        <v>40787</v>
      </c>
      <c r="C138" s="744">
        <f t="shared" si="10"/>
        <v>30</v>
      </c>
      <c r="D138" s="747">
        <f ca="1">(IF($A138&gt;Endyr,0,IF($A138&lt;Assm!$F$32,G138,Capacity*C138)))*(1+RAROC!$N$12)</f>
        <v>3089700</v>
      </c>
      <c r="E138" s="745">
        <f t="shared" si="11"/>
        <v>0.56679999999999997</v>
      </c>
      <c r="F138" s="959">
        <f t="shared" ca="1" si="12"/>
        <v>1751.2419600000001</v>
      </c>
      <c r="G138" s="960">
        <f ca="1">[3]MMBTU!U161</f>
        <v>2027889.1013767209</v>
      </c>
      <c r="H138" s="745">
        <f t="shared" si="13"/>
        <v>6.4000000000000003E-3</v>
      </c>
      <c r="I138" s="959">
        <f t="shared" ca="1" si="14"/>
        <v>12.978490248811015</v>
      </c>
      <c r="J138" s="964">
        <f t="shared" ca="1" si="15"/>
        <v>1764.2204502488112</v>
      </c>
      <c r="K138" s="746">
        <f ca="1">VLOOKUP($A138,Curves_Table,Escalation!$O$291)</f>
        <v>1.4453629302678073</v>
      </c>
      <c r="L138" s="748">
        <f t="shared" ca="1" si="16"/>
        <v>2549.9388396100121</v>
      </c>
      <c r="M138" s="749" t="str">
        <f t="shared" ca="1" si="17"/>
        <v xml:space="preserve"> </v>
      </c>
    </row>
    <row r="139" spans="1:13">
      <c r="A139" s="743">
        <f t="shared" si="9"/>
        <v>40817</v>
      </c>
      <c r="C139" s="744">
        <f t="shared" si="10"/>
        <v>31</v>
      </c>
      <c r="D139" s="747">
        <f ca="1">(IF($A139&gt;Endyr,0,IF($A139&lt;Assm!$F$32,G139,Capacity*C139)))*(1+RAROC!$N$12)</f>
        <v>3192690</v>
      </c>
      <c r="E139" s="745">
        <f t="shared" si="11"/>
        <v>0.56679999999999997</v>
      </c>
      <c r="F139" s="959">
        <f t="shared" ca="1" si="12"/>
        <v>1809.6166919999998</v>
      </c>
      <c r="G139" s="960">
        <f ca="1">[3]MMBTU!U162</f>
        <v>2095485.4047559449</v>
      </c>
      <c r="H139" s="745">
        <f t="shared" si="13"/>
        <v>6.4000000000000003E-3</v>
      </c>
      <c r="I139" s="959">
        <f t="shared" ca="1" si="14"/>
        <v>13.411106590438049</v>
      </c>
      <c r="J139" s="964">
        <f t="shared" ca="1" si="15"/>
        <v>1823.0277985904379</v>
      </c>
      <c r="K139" s="746">
        <f ca="1">VLOOKUP($A139,Curves_Table,Escalation!$O$291)</f>
        <v>1.4453629302678073</v>
      </c>
      <c r="L139" s="748">
        <f t="shared" ca="1" si="16"/>
        <v>2634.9368009303453</v>
      </c>
      <c r="M139" s="749" t="str">
        <f t="shared" ca="1" si="17"/>
        <v xml:space="preserve"> </v>
      </c>
    </row>
    <row r="140" spans="1:13">
      <c r="A140" s="743">
        <f t="shared" si="9"/>
        <v>40848</v>
      </c>
      <c r="C140" s="744">
        <f t="shared" si="10"/>
        <v>30</v>
      </c>
      <c r="D140" s="747">
        <f ca="1">(IF($A140&gt;Endyr,0,IF($A140&lt;Assm!$F$32,G140,Capacity*C140)))*(1+RAROC!$N$12)</f>
        <v>3089700</v>
      </c>
      <c r="E140" s="745">
        <f t="shared" si="11"/>
        <v>0.56679999999999997</v>
      </c>
      <c r="F140" s="959">
        <f t="shared" ca="1" si="12"/>
        <v>1751.2419600000001</v>
      </c>
      <c r="G140" s="960">
        <f ca="1">[3]MMBTU!U163</f>
        <v>2027889.1013767209</v>
      </c>
      <c r="H140" s="745">
        <f t="shared" si="13"/>
        <v>6.4000000000000003E-3</v>
      </c>
      <c r="I140" s="959">
        <f t="shared" ca="1" si="14"/>
        <v>12.978490248811015</v>
      </c>
      <c r="J140" s="964">
        <f t="shared" ca="1" si="15"/>
        <v>1764.2204502488112</v>
      </c>
      <c r="K140" s="746">
        <f ca="1">VLOOKUP($A140,Curves_Table,Escalation!$O$291)</f>
        <v>1.4453629302678073</v>
      </c>
      <c r="L140" s="748">
        <f t="shared" ca="1" si="16"/>
        <v>2549.9388396100121</v>
      </c>
      <c r="M140" s="749" t="str">
        <f t="shared" ca="1" si="17"/>
        <v xml:space="preserve"> </v>
      </c>
    </row>
    <row r="141" spans="1:13">
      <c r="A141" s="743">
        <f t="shared" ref="A141:A204" si="18">EDATE(A140,1)</f>
        <v>40878</v>
      </c>
      <c r="C141" s="744">
        <f t="shared" ref="C141:C204" si="19">A142-A141</f>
        <v>31</v>
      </c>
      <c r="D141" s="747">
        <f ca="1">(IF($A141&gt;Endyr,0,IF($A141&lt;Assm!$F$32,G141,Capacity*C141)))*(1+RAROC!$N$12)</f>
        <v>3192690</v>
      </c>
      <c r="E141" s="745">
        <f t="shared" ref="E141:E204" si="20">IF($A141&gt;Endyr,0,Tariff_Cap)</f>
        <v>0.56679999999999997</v>
      </c>
      <c r="F141" s="959">
        <f t="shared" ref="F141:F204" ca="1" si="21">D141*E141/1000</f>
        <v>1809.6166919999998</v>
      </c>
      <c r="G141" s="960">
        <f ca="1">[3]MMBTU!U164</f>
        <v>2095485.4047559449</v>
      </c>
      <c r="H141" s="745">
        <f t="shared" ref="H141:H204" si="22">IF($A141&gt;Endyr,0,Tariff_Var)</f>
        <v>6.4000000000000003E-3</v>
      </c>
      <c r="I141" s="959">
        <f t="shared" ref="I141:I204" ca="1" si="23">G141*H141/1000</f>
        <v>13.411106590438049</v>
      </c>
      <c r="J141" s="964">
        <f t="shared" ref="J141:J204" ca="1" si="24">SUM(F141,I141)</f>
        <v>1823.0277985904379</v>
      </c>
      <c r="K141" s="746">
        <f ca="1">VLOOKUP($A141,Curves_Table,Escalation!$O$291)</f>
        <v>1.4453629302678073</v>
      </c>
      <c r="L141" s="748">
        <f t="shared" ref="L141:L204" ca="1" si="25">J141*K141</f>
        <v>2634.9368009303453</v>
      </c>
      <c r="M141" s="749">
        <f t="shared" ref="M141:M204" ca="1" si="26">IF(MONTH($A141)=12,SUM(L130:L141)," ")</f>
        <v>30770.855661206879</v>
      </c>
    </row>
    <row r="142" spans="1:13">
      <c r="A142" s="743">
        <f t="shared" si="18"/>
        <v>40909</v>
      </c>
      <c r="C142" s="744">
        <f t="shared" si="19"/>
        <v>31</v>
      </c>
      <c r="D142" s="747">
        <f ca="1">(IF($A142&gt;Endyr,0,IF($A142&lt;Assm!$F$32,G142,Capacity*C142)))*(1+RAROC!$N$12)</f>
        <v>3192690</v>
      </c>
      <c r="E142" s="745">
        <f t="shared" si="20"/>
        <v>0.56679999999999997</v>
      </c>
      <c r="F142" s="959">
        <f t="shared" ca="1" si="21"/>
        <v>1809.6166919999998</v>
      </c>
      <c r="G142" s="960">
        <f ca="1">[3]MMBTU!U165</f>
        <v>2095485.4047559449</v>
      </c>
      <c r="H142" s="745">
        <f t="shared" si="22"/>
        <v>6.4000000000000003E-3</v>
      </c>
      <c r="I142" s="959">
        <f t="shared" ca="1" si="23"/>
        <v>13.411106590438049</v>
      </c>
      <c r="J142" s="964">
        <f t="shared" ca="1" si="24"/>
        <v>1823.0277985904379</v>
      </c>
      <c r="K142" s="746">
        <f ca="1">VLOOKUP($A142,Curves_Table,Escalation!$O$291)</f>
        <v>1.4453629302678073</v>
      </c>
      <c r="L142" s="748">
        <f t="shared" ca="1" si="25"/>
        <v>2634.9368009303453</v>
      </c>
      <c r="M142" s="749" t="str">
        <f t="shared" ca="1" si="26"/>
        <v xml:space="preserve"> </v>
      </c>
    </row>
    <row r="143" spans="1:13">
      <c r="A143" s="743">
        <f t="shared" si="18"/>
        <v>40940</v>
      </c>
      <c r="C143" s="744">
        <f t="shared" si="19"/>
        <v>29</v>
      </c>
      <c r="D143" s="747">
        <f ca="1">(IF($A143&gt;Endyr,0,IF($A143&lt;Assm!$F$32,G143,Capacity*C143)))*(1+RAROC!$N$12)</f>
        <v>2986710</v>
      </c>
      <c r="E143" s="745">
        <f t="shared" si="20"/>
        <v>0.56679999999999997</v>
      </c>
      <c r="F143" s="959">
        <f t="shared" ca="1" si="21"/>
        <v>1692.8672279999998</v>
      </c>
      <c r="G143" s="960">
        <f ca="1">[3]MMBTU!U166</f>
        <v>1960292.7979974968</v>
      </c>
      <c r="H143" s="745">
        <f t="shared" si="22"/>
        <v>6.4000000000000003E-3</v>
      </c>
      <c r="I143" s="959">
        <f t="shared" ca="1" si="23"/>
        <v>12.545873907183982</v>
      </c>
      <c r="J143" s="964">
        <f t="shared" ca="1" si="24"/>
        <v>1705.4131019071838</v>
      </c>
      <c r="K143" s="746">
        <f ca="1">VLOOKUP($A143,Curves_Table,Escalation!$O$291)</f>
        <v>1.4453629302678073</v>
      </c>
      <c r="L143" s="748">
        <f t="shared" ca="1" si="25"/>
        <v>2464.9408782896776</v>
      </c>
      <c r="M143" s="749" t="str">
        <f t="shared" ca="1" si="26"/>
        <v xml:space="preserve"> </v>
      </c>
    </row>
    <row r="144" spans="1:13">
      <c r="A144" s="743">
        <f t="shared" si="18"/>
        <v>40969</v>
      </c>
      <c r="C144" s="744">
        <f t="shared" si="19"/>
        <v>31</v>
      </c>
      <c r="D144" s="747">
        <f ca="1">(IF($A144&gt;Endyr,0,IF($A144&lt;Assm!$F$32,G144,Capacity*C144)))*(1+RAROC!$N$12)</f>
        <v>3192690</v>
      </c>
      <c r="E144" s="745">
        <f t="shared" si="20"/>
        <v>0.56679999999999997</v>
      </c>
      <c r="F144" s="959">
        <f t="shared" ca="1" si="21"/>
        <v>1809.6166919999998</v>
      </c>
      <c r="G144" s="960">
        <f ca="1">[3]MMBTU!U167</f>
        <v>2095485.4047559449</v>
      </c>
      <c r="H144" s="745">
        <f t="shared" si="22"/>
        <v>6.4000000000000003E-3</v>
      </c>
      <c r="I144" s="959">
        <f t="shared" ca="1" si="23"/>
        <v>13.411106590438049</v>
      </c>
      <c r="J144" s="964">
        <f t="shared" ca="1" si="24"/>
        <v>1823.0277985904379</v>
      </c>
      <c r="K144" s="746">
        <f ca="1">VLOOKUP($A144,Curves_Table,Escalation!$O$291)</f>
        <v>1.4453629302678073</v>
      </c>
      <c r="L144" s="748">
        <f t="shared" ca="1" si="25"/>
        <v>2634.9368009303453</v>
      </c>
      <c r="M144" s="749" t="str">
        <f t="shared" ca="1" si="26"/>
        <v xml:space="preserve"> </v>
      </c>
    </row>
    <row r="145" spans="1:13">
      <c r="A145" s="743">
        <f t="shared" si="18"/>
        <v>41000</v>
      </c>
      <c r="C145" s="744">
        <f t="shared" si="19"/>
        <v>30</v>
      </c>
      <c r="D145" s="747">
        <f ca="1">(IF($A145&gt;Endyr,0,IF($A145&lt;Assm!$F$32,G145,Capacity*C145)))*(1+RAROC!$N$12)</f>
        <v>3089700</v>
      </c>
      <c r="E145" s="745">
        <f t="shared" si="20"/>
        <v>0.56679999999999997</v>
      </c>
      <c r="F145" s="959">
        <f t="shared" ca="1" si="21"/>
        <v>1751.2419600000001</v>
      </c>
      <c r="G145" s="960">
        <f ca="1">[3]MMBTU!U168</f>
        <v>2027889.1013767209</v>
      </c>
      <c r="H145" s="745">
        <f t="shared" si="22"/>
        <v>6.4000000000000003E-3</v>
      </c>
      <c r="I145" s="959">
        <f t="shared" ca="1" si="23"/>
        <v>12.978490248811015</v>
      </c>
      <c r="J145" s="964">
        <f t="shared" ca="1" si="24"/>
        <v>1764.2204502488112</v>
      </c>
      <c r="K145" s="746">
        <f ca="1">VLOOKUP($A145,Curves_Table,Escalation!$O$291)</f>
        <v>1.4453629302678073</v>
      </c>
      <c r="L145" s="748">
        <f t="shared" ca="1" si="25"/>
        <v>2549.9388396100121</v>
      </c>
      <c r="M145" s="749" t="str">
        <f t="shared" ca="1" si="26"/>
        <v xml:space="preserve"> </v>
      </c>
    </row>
    <row r="146" spans="1:13">
      <c r="A146" s="743">
        <f t="shared" si="18"/>
        <v>41030</v>
      </c>
      <c r="C146" s="744">
        <f t="shared" si="19"/>
        <v>31</v>
      </c>
      <c r="D146" s="747">
        <f ca="1">(IF($A146&gt;Endyr,0,IF($A146&lt;Assm!$F$32,G146,Capacity*C146)))*(1+RAROC!$N$12)</f>
        <v>3192690</v>
      </c>
      <c r="E146" s="745">
        <f t="shared" si="20"/>
        <v>0.56679999999999997</v>
      </c>
      <c r="F146" s="959">
        <f t="shared" ca="1" si="21"/>
        <v>1809.6166919999998</v>
      </c>
      <c r="G146" s="960">
        <f ca="1">[3]MMBTU!U169</f>
        <v>2095485.4047559449</v>
      </c>
      <c r="H146" s="745">
        <f t="shared" si="22"/>
        <v>6.4000000000000003E-3</v>
      </c>
      <c r="I146" s="959">
        <f t="shared" ca="1" si="23"/>
        <v>13.411106590438049</v>
      </c>
      <c r="J146" s="964">
        <f t="shared" ca="1" si="24"/>
        <v>1823.0277985904379</v>
      </c>
      <c r="K146" s="746">
        <f ca="1">VLOOKUP($A146,Curves_Table,Escalation!$O$291)</f>
        <v>1.4818086105109716</v>
      </c>
      <c r="L146" s="748">
        <f t="shared" ca="1" si="25"/>
        <v>2701.3782891521723</v>
      </c>
      <c r="M146" s="749" t="str">
        <f t="shared" ca="1" si="26"/>
        <v xml:space="preserve"> </v>
      </c>
    </row>
    <row r="147" spans="1:13">
      <c r="A147" s="743">
        <f t="shared" si="18"/>
        <v>41061</v>
      </c>
      <c r="C147" s="744">
        <f t="shared" si="19"/>
        <v>30</v>
      </c>
      <c r="D147" s="747">
        <f ca="1">(IF($A147&gt;Endyr,0,IF($A147&lt;Assm!$F$32,G147,Capacity*C147)))*(1+RAROC!$N$12)</f>
        <v>3089700</v>
      </c>
      <c r="E147" s="745">
        <f t="shared" si="20"/>
        <v>0.56679999999999997</v>
      </c>
      <c r="F147" s="959">
        <f t="shared" ca="1" si="21"/>
        <v>1751.2419600000001</v>
      </c>
      <c r="G147" s="960">
        <f ca="1">[3]MMBTU!U170</f>
        <v>2027889.1013767209</v>
      </c>
      <c r="H147" s="745">
        <f t="shared" si="22"/>
        <v>6.4000000000000003E-3</v>
      </c>
      <c r="I147" s="959">
        <f t="shared" ca="1" si="23"/>
        <v>12.978490248811015</v>
      </c>
      <c r="J147" s="964">
        <f t="shared" ca="1" si="24"/>
        <v>1764.2204502488112</v>
      </c>
      <c r="K147" s="746">
        <f ca="1">VLOOKUP($A147,Curves_Table,Escalation!$O$291)</f>
        <v>1.4818086105109716</v>
      </c>
      <c r="L147" s="748">
        <f t="shared" ca="1" si="25"/>
        <v>2614.2370540182314</v>
      </c>
      <c r="M147" s="749" t="str">
        <f t="shared" ca="1" si="26"/>
        <v xml:space="preserve"> </v>
      </c>
    </row>
    <row r="148" spans="1:13">
      <c r="A148" s="743">
        <f t="shared" si="18"/>
        <v>41091</v>
      </c>
      <c r="C148" s="744">
        <f t="shared" si="19"/>
        <v>31</v>
      </c>
      <c r="D148" s="747">
        <f ca="1">(IF($A148&gt;Endyr,0,IF($A148&lt;Assm!$F$32,G148,Capacity*C148)))*(1+RAROC!$N$12)</f>
        <v>3192690</v>
      </c>
      <c r="E148" s="745">
        <f t="shared" si="20"/>
        <v>0.56679999999999997</v>
      </c>
      <c r="F148" s="959">
        <f t="shared" ca="1" si="21"/>
        <v>1809.6166919999998</v>
      </c>
      <c r="G148" s="960">
        <f ca="1">[3]MMBTU!U171</f>
        <v>2095485.4047559449</v>
      </c>
      <c r="H148" s="745">
        <f t="shared" si="22"/>
        <v>6.4000000000000003E-3</v>
      </c>
      <c r="I148" s="959">
        <f t="shared" ca="1" si="23"/>
        <v>13.411106590438049</v>
      </c>
      <c r="J148" s="964">
        <f t="shared" ca="1" si="24"/>
        <v>1823.0277985904379</v>
      </c>
      <c r="K148" s="746">
        <f ca="1">VLOOKUP($A148,Curves_Table,Escalation!$O$291)</f>
        <v>1.4818086105109716</v>
      </c>
      <c r="L148" s="748">
        <f t="shared" ca="1" si="25"/>
        <v>2701.3782891521723</v>
      </c>
      <c r="M148" s="749" t="str">
        <f t="shared" ca="1" si="26"/>
        <v xml:space="preserve"> </v>
      </c>
    </row>
    <row r="149" spans="1:13">
      <c r="A149" s="743">
        <f t="shared" si="18"/>
        <v>41122</v>
      </c>
      <c r="C149" s="744">
        <f t="shared" si="19"/>
        <v>31</v>
      </c>
      <c r="D149" s="747">
        <f ca="1">(IF($A149&gt;Endyr,0,IF($A149&lt;Assm!$F$32,G149,Capacity*C149)))*(1+RAROC!$N$12)</f>
        <v>3192690</v>
      </c>
      <c r="E149" s="745">
        <f t="shared" si="20"/>
        <v>0.56679999999999997</v>
      </c>
      <c r="F149" s="959">
        <f t="shared" ca="1" si="21"/>
        <v>1809.6166919999998</v>
      </c>
      <c r="G149" s="960">
        <f ca="1">[3]MMBTU!U172</f>
        <v>2095485.4047559449</v>
      </c>
      <c r="H149" s="745">
        <f t="shared" si="22"/>
        <v>6.4000000000000003E-3</v>
      </c>
      <c r="I149" s="959">
        <f t="shared" ca="1" si="23"/>
        <v>13.411106590438049</v>
      </c>
      <c r="J149" s="964">
        <f t="shared" ca="1" si="24"/>
        <v>1823.0277985904379</v>
      </c>
      <c r="K149" s="746">
        <f ca="1">VLOOKUP($A149,Curves_Table,Escalation!$O$291)</f>
        <v>1.4818086105109716</v>
      </c>
      <c r="L149" s="748">
        <f t="shared" ca="1" si="25"/>
        <v>2701.3782891521723</v>
      </c>
      <c r="M149" s="749" t="str">
        <f t="shared" ca="1" si="26"/>
        <v xml:space="preserve"> </v>
      </c>
    </row>
    <row r="150" spans="1:13">
      <c r="A150" s="743">
        <f t="shared" si="18"/>
        <v>41153</v>
      </c>
      <c r="C150" s="744">
        <f t="shared" si="19"/>
        <v>30</v>
      </c>
      <c r="D150" s="747">
        <f ca="1">(IF($A150&gt;Endyr,0,IF($A150&lt;Assm!$F$32,G150,Capacity*C150)))*(1+RAROC!$N$12)</f>
        <v>3089700</v>
      </c>
      <c r="E150" s="745">
        <f t="shared" si="20"/>
        <v>0.56679999999999997</v>
      </c>
      <c r="F150" s="959">
        <f t="shared" ca="1" si="21"/>
        <v>1751.2419600000001</v>
      </c>
      <c r="G150" s="960">
        <f ca="1">[3]MMBTU!U173</f>
        <v>2027889.1013767209</v>
      </c>
      <c r="H150" s="745">
        <f t="shared" si="22"/>
        <v>6.4000000000000003E-3</v>
      </c>
      <c r="I150" s="959">
        <f t="shared" ca="1" si="23"/>
        <v>12.978490248811015</v>
      </c>
      <c r="J150" s="964">
        <f t="shared" ca="1" si="24"/>
        <v>1764.2204502488112</v>
      </c>
      <c r="K150" s="746">
        <f ca="1">VLOOKUP($A150,Curves_Table,Escalation!$O$291)</f>
        <v>1.4818086105109716</v>
      </c>
      <c r="L150" s="748">
        <f t="shared" ca="1" si="25"/>
        <v>2614.2370540182314</v>
      </c>
      <c r="M150" s="749" t="str">
        <f t="shared" ca="1" si="26"/>
        <v xml:space="preserve"> </v>
      </c>
    </row>
    <row r="151" spans="1:13">
      <c r="A151" s="743">
        <f t="shared" si="18"/>
        <v>41183</v>
      </c>
      <c r="C151" s="744">
        <f t="shared" si="19"/>
        <v>31</v>
      </c>
      <c r="D151" s="747">
        <f ca="1">(IF($A151&gt;Endyr,0,IF($A151&lt;Assm!$F$32,G151,Capacity*C151)))*(1+RAROC!$N$12)</f>
        <v>3192690</v>
      </c>
      <c r="E151" s="745">
        <f t="shared" si="20"/>
        <v>0.56679999999999997</v>
      </c>
      <c r="F151" s="959">
        <f t="shared" ca="1" si="21"/>
        <v>1809.6166919999998</v>
      </c>
      <c r="G151" s="960">
        <f ca="1">[3]MMBTU!U174</f>
        <v>2095485.4047559449</v>
      </c>
      <c r="H151" s="745">
        <f t="shared" si="22"/>
        <v>6.4000000000000003E-3</v>
      </c>
      <c r="I151" s="959">
        <f t="shared" ca="1" si="23"/>
        <v>13.411106590438049</v>
      </c>
      <c r="J151" s="964">
        <f t="shared" ca="1" si="24"/>
        <v>1823.0277985904379</v>
      </c>
      <c r="K151" s="746">
        <f ca="1">VLOOKUP($A151,Curves_Table,Escalation!$O$291)</f>
        <v>1.4818086105109716</v>
      </c>
      <c r="L151" s="748">
        <f t="shared" ca="1" si="25"/>
        <v>2701.3782891521723</v>
      </c>
      <c r="M151" s="749" t="str">
        <f t="shared" ca="1" si="26"/>
        <v xml:space="preserve"> </v>
      </c>
    </row>
    <row r="152" spans="1:13">
      <c r="A152" s="743">
        <f t="shared" si="18"/>
        <v>41214</v>
      </c>
      <c r="C152" s="744">
        <f t="shared" si="19"/>
        <v>30</v>
      </c>
      <c r="D152" s="747">
        <f ca="1">(IF($A152&gt;Endyr,0,IF($A152&lt;Assm!$F$32,G152,Capacity*C152)))*(1+RAROC!$N$12)</f>
        <v>3089700</v>
      </c>
      <c r="E152" s="745">
        <f t="shared" si="20"/>
        <v>0.56679999999999997</v>
      </c>
      <c r="F152" s="959">
        <f t="shared" ca="1" si="21"/>
        <v>1751.2419600000001</v>
      </c>
      <c r="G152" s="960">
        <f ca="1">[3]MMBTU!U175</f>
        <v>2027889.1013767209</v>
      </c>
      <c r="H152" s="745">
        <f t="shared" si="22"/>
        <v>6.4000000000000003E-3</v>
      </c>
      <c r="I152" s="959">
        <f t="shared" ca="1" si="23"/>
        <v>12.978490248811015</v>
      </c>
      <c r="J152" s="964">
        <f t="shared" ca="1" si="24"/>
        <v>1764.2204502488112</v>
      </c>
      <c r="K152" s="746">
        <f ca="1">VLOOKUP($A152,Curves_Table,Escalation!$O$291)</f>
        <v>1.4818086105109716</v>
      </c>
      <c r="L152" s="748">
        <f t="shared" ca="1" si="25"/>
        <v>2614.2370540182314</v>
      </c>
      <c r="M152" s="749" t="str">
        <f t="shared" ca="1" si="26"/>
        <v xml:space="preserve"> </v>
      </c>
    </row>
    <row r="153" spans="1:13">
      <c r="A153" s="743">
        <f t="shared" si="18"/>
        <v>41244</v>
      </c>
      <c r="C153" s="744">
        <f t="shared" si="19"/>
        <v>31</v>
      </c>
      <c r="D153" s="747">
        <f ca="1">(IF($A153&gt;Endyr,0,IF($A153&lt;Assm!$F$32,G153,Capacity*C153)))*(1+RAROC!$N$12)</f>
        <v>3192690</v>
      </c>
      <c r="E153" s="745">
        <f t="shared" si="20"/>
        <v>0.56679999999999997</v>
      </c>
      <c r="F153" s="959">
        <f t="shared" ca="1" si="21"/>
        <v>1809.6166919999998</v>
      </c>
      <c r="G153" s="960">
        <f ca="1">[3]MMBTU!U176</f>
        <v>2095485.4047559449</v>
      </c>
      <c r="H153" s="745">
        <f t="shared" si="22"/>
        <v>6.4000000000000003E-3</v>
      </c>
      <c r="I153" s="959">
        <f t="shared" ca="1" si="23"/>
        <v>13.411106590438049</v>
      </c>
      <c r="J153" s="964">
        <f t="shared" ca="1" si="24"/>
        <v>1823.0277985904379</v>
      </c>
      <c r="K153" s="746">
        <f ca="1">VLOOKUP($A153,Curves_Table,Escalation!$O$291)</f>
        <v>1.4818086105109716</v>
      </c>
      <c r="L153" s="748">
        <f t="shared" ca="1" si="25"/>
        <v>2701.3782891521723</v>
      </c>
      <c r="M153" s="749">
        <f t="shared" ca="1" si="26"/>
        <v>31634.35592757594</v>
      </c>
    </row>
    <row r="154" spans="1:13">
      <c r="A154" s="743">
        <f t="shared" si="18"/>
        <v>41275</v>
      </c>
      <c r="C154" s="744">
        <f t="shared" si="19"/>
        <v>31</v>
      </c>
      <c r="D154" s="747">
        <f ca="1">(IF($A154&gt;Endyr,0,IF($A154&lt;Assm!$F$32,G154,Capacity*C154)))*(1+RAROC!$N$12)</f>
        <v>3192690</v>
      </c>
      <c r="E154" s="745">
        <f t="shared" si="20"/>
        <v>0.56679999999999997</v>
      </c>
      <c r="F154" s="959">
        <f t="shared" ca="1" si="21"/>
        <v>1809.6166919999998</v>
      </c>
      <c r="G154" s="960">
        <f ca="1">[3]MMBTU!U177</f>
        <v>2095485.4047559449</v>
      </c>
      <c r="H154" s="745">
        <f t="shared" si="22"/>
        <v>6.4000000000000003E-3</v>
      </c>
      <c r="I154" s="959">
        <f t="shared" ca="1" si="23"/>
        <v>13.411106590438049</v>
      </c>
      <c r="J154" s="964">
        <f t="shared" ca="1" si="24"/>
        <v>1823.0277985904379</v>
      </c>
      <c r="K154" s="746">
        <f ca="1">VLOOKUP($A154,Curves_Table,Escalation!$O$291)</f>
        <v>1.4818086105109716</v>
      </c>
      <c r="L154" s="748">
        <f t="shared" ca="1" si="25"/>
        <v>2701.3782891521723</v>
      </c>
      <c r="M154" s="749" t="str">
        <f t="shared" ca="1" si="26"/>
        <v xml:space="preserve"> </v>
      </c>
    </row>
    <row r="155" spans="1:13">
      <c r="A155" s="743">
        <f t="shared" si="18"/>
        <v>41306</v>
      </c>
      <c r="C155" s="744">
        <f t="shared" si="19"/>
        <v>28</v>
      </c>
      <c r="D155" s="747">
        <f ca="1">(IF($A155&gt;Endyr,0,IF($A155&lt;Assm!$F$32,G155,Capacity*C155)))*(1+RAROC!$N$12)</f>
        <v>2883720</v>
      </c>
      <c r="E155" s="745">
        <f t="shared" si="20"/>
        <v>0.56679999999999997</v>
      </c>
      <c r="F155" s="959">
        <f t="shared" ca="1" si="21"/>
        <v>1634.4924959999998</v>
      </c>
      <c r="G155" s="960">
        <f ca="1">[3]MMBTU!U178</f>
        <v>1892696.4946182731</v>
      </c>
      <c r="H155" s="745">
        <f t="shared" si="22"/>
        <v>6.4000000000000003E-3</v>
      </c>
      <c r="I155" s="959">
        <f t="shared" ca="1" si="23"/>
        <v>12.11325756555695</v>
      </c>
      <c r="J155" s="964">
        <f t="shared" ca="1" si="24"/>
        <v>1646.6057535655568</v>
      </c>
      <c r="K155" s="746">
        <f ca="1">VLOOKUP($A155,Curves_Table,Escalation!$O$291)</f>
        <v>1.4818086105109716</v>
      </c>
      <c r="L155" s="748">
        <f t="shared" ca="1" si="25"/>
        <v>2439.9545837503492</v>
      </c>
      <c r="M155" s="749" t="str">
        <f t="shared" ca="1" si="26"/>
        <v xml:space="preserve"> </v>
      </c>
    </row>
    <row r="156" spans="1:13">
      <c r="A156" s="743">
        <f t="shared" si="18"/>
        <v>41334</v>
      </c>
      <c r="C156" s="744">
        <f t="shared" si="19"/>
        <v>31</v>
      </c>
      <c r="D156" s="747">
        <f ca="1">(IF($A156&gt;Endyr,0,IF($A156&lt;Assm!$F$32,G156,Capacity*C156)))*(1+RAROC!$N$12)</f>
        <v>3192690</v>
      </c>
      <c r="E156" s="745">
        <f t="shared" si="20"/>
        <v>0.56679999999999997</v>
      </c>
      <c r="F156" s="959">
        <f t="shared" ca="1" si="21"/>
        <v>1809.6166919999998</v>
      </c>
      <c r="G156" s="960">
        <f ca="1">[3]MMBTU!U179</f>
        <v>2095485.4047559449</v>
      </c>
      <c r="H156" s="745">
        <f t="shared" si="22"/>
        <v>6.4000000000000003E-3</v>
      </c>
      <c r="I156" s="959">
        <f t="shared" ca="1" si="23"/>
        <v>13.411106590438049</v>
      </c>
      <c r="J156" s="964">
        <f t="shared" ca="1" si="24"/>
        <v>1823.0277985904379</v>
      </c>
      <c r="K156" s="746">
        <f ca="1">VLOOKUP($A156,Curves_Table,Escalation!$O$291)</f>
        <v>1.4818086105109716</v>
      </c>
      <c r="L156" s="748">
        <f t="shared" ca="1" si="25"/>
        <v>2701.3782891521723</v>
      </c>
      <c r="M156" s="749" t="str">
        <f t="shared" ca="1" si="26"/>
        <v xml:space="preserve"> </v>
      </c>
    </row>
    <row r="157" spans="1:13">
      <c r="A157" s="743">
        <f t="shared" si="18"/>
        <v>41365</v>
      </c>
      <c r="C157" s="744">
        <f t="shared" si="19"/>
        <v>30</v>
      </c>
      <c r="D157" s="747">
        <f ca="1">(IF($A157&gt;Endyr,0,IF($A157&lt;Assm!$F$32,G157,Capacity*C157)))*(1+RAROC!$N$12)</f>
        <v>3089700</v>
      </c>
      <c r="E157" s="745">
        <f t="shared" si="20"/>
        <v>0.56679999999999997</v>
      </c>
      <c r="F157" s="959">
        <f t="shared" ca="1" si="21"/>
        <v>1751.2419600000001</v>
      </c>
      <c r="G157" s="960">
        <f ca="1">[3]MMBTU!U180</f>
        <v>2027889.1013767209</v>
      </c>
      <c r="H157" s="745">
        <f t="shared" si="22"/>
        <v>6.4000000000000003E-3</v>
      </c>
      <c r="I157" s="959">
        <f t="shared" ca="1" si="23"/>
        <v>12.978490248811015</v>
      </c>
      <c r="J157" s="964">
        <f t="shared" ca="1" si="24"/>
        <v>1764.2204502488112</v>
      </c>
      <c r="K157" s="746">
        <f ca="1">VLOOKUP($A157,Curves_Table,Escalation!$O$291)</f>
        <v>1.4818086105109716</v>
      </c>
      <c r="L157" s="748">
        <f t="shared" ca="1" si="25"/>
        <v>2614.2370540182314</v>
      </c>
      <c r="M157" s="749" t="str">
        <f t="shared" ca="1" si="26"/>
        <v xml:space="preserve"> </v>
      </c>
    </row>
    <row r="158" spans="1:13">
      <c r="A158" s="743">
        <f t="shared" si="18"/>
        <v>41395</v>
      </c>
      <c r="C158" s="744">
        <f t="shared" si="19"/>
        <v>31</v>
      </c>
      <c r="D158" s="747">
        <f ca="1">(IF($A158&gt;Endyr,0,IF($A158&lt;Assm!$F$32,G158,Capacity*C158)))*(1+RAROC!$N$12)</f>
        <v>3192690</v>
      </c>
      <c r="E158" s="745">
        <f t="shared" si="20"/>
        <v>0.56679999999999997</v>
      </c>
      <c r="F158" s="959">
        <f t="shared" ca="1" si="21"/>
        <v>1809.6166919999998</v>
      </c>
      <c r="G158" s="960">
        <f ca="1">[3]MMBTU!U181</f>
        <v>2095485.4047559449</v>
      </c>
      <c r="H158" s="745">
        <f t="shared" si="22"/>
        <v>6.4000000000000003E-3</v>
      </c>
      <c r="I158" s="959">
        <f t="shared" ca="1" si="23"/>
        <v>13.411106590438049</v>
      </c>
      <c r="J158" s="964">
        <f t="shared" ca="1" si="24"/>
        <v>1823.0277985904379</v>
      </c>
      <c r="K158" s="746">
        <f ca="1">VLOOKUP($A158,Curves_Table,Escalation!$O$291)</f>
        <v>1.5190107088932228</v>
      </c>
      <c r="L158" s="748">
        <f t="shared" ca="1" si="25"/>
        <v>2769.1987486689122</v>
      </c>
      <c r="M158" s="749" t="str">
        <f t="shared" ca="1" si="26"/>
        <v xml:space="preserve"> </v>
      </c>
    </row>
    <row r="159" spans="1:13">
      <c r="A159" s="743">
        <f t="shared" si="18"/>
        <v>41426</v>
      </c>
      <c r="C159" s="744">
        <f t="shared" si="19"/>
        <v>30</v>
      </c>
      <c r="D159" s="747">
        <f ca="1">(IF($A159&gt;Endyr,0,IF($A159&lt;Assm!$F$32,G159,Capacity*C159)))*(1+RAROC!$N$12)</f>
        <v>3089700</v>
      </c>
      <c r="E159" s="745">
        <f t="shared" si="20"/>
        <v>0.56679999999999997</v>
      </c>
      <c r="F159" s="959">
        <f t="shared" ca="1" si="21"/>
        <v>1751.2419600000001</v>
      </c>
      <c r="G159" s="960">
        <f ca="1">[3]MMBTU!U182</f>
        <v>2027889.1013767209</v>
      </c>
      <c r="H159" s="745">
        <f t="shared" si="22"/>
        <v>6.4000000000000003E-3</v>
      </c>
      <c r="I159" s="959">
        <f t="shared" ca="1" si="23"/>
        <v>12.978490248811015</v>
      </c>
      <c r="J159" s="964">
        <f t="shared" ca="1" si="24"/>
        <v>1764.2204502488112</v>
      </c>
      <c r="K159" s="746">
        <f ca="1">VLOOKUP($A159,Curves_Table,Escalation!$O$291)</f>
        <v>1.5190107088932228</v>
      </c>
      <c r="L159" s="748">
        <f t="shared" ca="1" si="25"/>
        <v>2679.8697567763675</v>
      </c>
      <c r="M159" s="749" t="str">
        <f t="shared" ca="1" si="26"/>
        <v xml:space="preserve"> </v>
      </c>
    </row>
    <row r="160" spans="1:13">
      <c r="A160" s="743">
        <f t="shared" si="18"/>
        <v>41456</v>
      </c>
      <c r="C160" s="744">
        <f t="shared" si="19"/>
        <v>31</v>
      </c>
      <c r="D160" s="747">
        <f ca="1">(IF($A160&gt;Endyr,0,IF($A160&lt;Assm!$F$32,G160,Capacity*C160)))*(1+RAROC!$N$12)</f>
        <v>3192690</v>
      </c>
      <c r="E160" s="745">
        <f t="shared" si="20"/>
        <v>0.56679999999999997</v>
      </c>
      <c r="F160" s="959">
        <f t="shared" ca="1" si="21"/>
        <v>1809.6166919999998</v>
      </c>
      <c r="G160" s="960">
        <f ca="1">[3]MMBTU!U183</f>
        <v>2095485.4047559449</v>
      </c>
      <c r="H160" s="745">
        <f t="shared" si="22"/>
        <v>6.4000000000000003E-3</v>
      </c>
      <c r="I160" s="959">
        <f t="shared" ca="1" si="23"/>
        <v>13.411106590438049</v>
      </c>
      <c r="J160" s="964">
        <f t="shared" ca="1" si="24"/>
        <v>1823.0277985904379</v>
      </c>
      <c r="K160" s="746">
        <f ca="1">VLOOKUP($A160,Curves_Table,Escalation!$O$291)</f>
        <v>1.5190107088932228</v>
      </c>
      <c r="L160" s="748">
        <f t="shared" ca="1" si="25"/>
        <v>2769.1987486689122</v>
      </c>
      <c r="M160" s="749" t="str">
        <f t="shared" ca="1" si="26"/>
        <v xml:space="preserve"> </v>
      </c>
    </row>
    <row r="161" spans="1:13">
      <c r="A161" s="743">
        <f t="shared" si="18"/>
        <v>41487</v>
      </c>
      <c r="C161" s="744">
        <f t="shared" si="19"/>
        <v>31</v>
      </c>
      <c r="D161" s="747">
        <f ca="1">(IF($A161&gt;Endyr,0,IF($A161&lt;Assm!$F$32,G161,Capacity*C161)))*(1+RAROC!$N$12)</f>
        <v>3192690</v>
      </c>
      <c r="E161" s="745">
        <f t="shared" si="20"/>
        <v>0.56679999999999997</v>
      </c>
      <c r="F161" s="959">
        <f t="shared" ca="1" si="21"/>
        <v>1809.6166919999998</v>
      </c>
      <c r="G161" s="960">
        <f ca="1">[3]MMBTU!U184</f>
        <v>2095485.4047559449</v>
      </c>
      <c r="H161" s="745">
        <f t="shared" si="22"/>
        <v>6.4000000000000003E-3</v>
      </c>
      <c r="I161" s="959">
        <f t="shared" ca="1" si="23"/>
        <v>13.411106590438049</v>
      </c>
      <c r="J161" s="964">
        <f t="shared" ca="1" si="24"/>
        <v>1823.0277985904379</v>
      </c>
      <c r="K161" s="746">
        <f ca="1">VLOOKUP($A161,Curves_Table,Escalation!$O$291)</f>
        <v>1.5190107088932228</v>
      </c>
      <c r="L161" s="748">
        <f t="shared" ca="1" si="25"/>
        <v>2769.1987486689122</v>
      </c>
      <c r="M161" s="749" t="str">
        <f t="shared" ca="1" si="26"/>
        <v xml:space="preserve"> </v>
      </c>
    </row>
    <row r="162" spans="1:13">
      <c r="A162" s="743">
        <f t="shared" si="18"/>
        <v>41518</v>
      </c>
      <c r="C162" s="744">
        <f t="shared" si="19"/>
        <v>30</v>
      </c>
      <c r="D162" s="747">
        <f ca="1">(IF($A162&gt;Endyr,0,IF($A162&lt;Assm!$F$32,G162,Capacity*C162)))*(1+RAROC!$N$12)</f>
        <v>3089700</v>
      </c>
      <c r="E162" s="745">
        <f t="shared" si="20"/>
        <v>0.56679999999999997</v>
      </c>
      <c r="F162" s="959">
        <f t="shared" ca="1" si="21"/>
        <v>1751.2419600000001</v>
      </c>
      <c r="G162" s="960">
        <f ca="1">[3]MMBTU!U185</f>
        <v>2027889.1013767209</v>
      </c>
      <c r="H162" s="745">
        <f t="shared" si="22"/>
        <v>6.4000000000000003E-3</v>
      </c>
      <c r="I162" s="959">
        <f t="shared" ca="1" si="23"/>
        <v>12.978490248811015</v>
      </c>
      <c r="J162" s="964">
        <f t="shared" ca="1" si="24"/>
        <v>1764.2204502488112</v>
      </c>
      <c r="K162" s="746">
        <f ca="1">VLOOKUP($A162,Curves_Table,Escalation!$O$291)</f>
        <v>1.5190107088932228</v>
      </c>
      <c r="L162" s="748">
        <f t="shared" ca="1" si="25"/>
        <v>2679.8697567763675</v>
      </c>
      <c r="M162" s="749" t="str">
        <f t="shared" ca="1" si="26"/>
        <v xml:space="preserve"> </v>
      </c>
    </row>
    <row r="163" spans="1:13">
      <c r="A163" s="743">
        <f t="shared" si="18"/>
        <v>41548</v>
      </c>
      <c r="C163" s="744">
        <f t="shared" si="19"/>
        <v>31</v>
      </c>
      <c r="D163" s="747">
        <f ca="1">(IF($A163&gt;Endyr,0,IF($A163&lt;Assm!$F$32,G163,Capacity*C163)))*(1+RAROC!$N$12)</f>
        <v>3192690</v>
      </c>
      <c r="E163" s="745">
        <f t="shared" si="20"/>
        <v>0.56679999999999997</v>
      </c>
      <c r="F163" s="959">
        <f t="shared" ca="1" si="21"/>
        <v>1809.6166919999998</v>
      </c>
      <c r="G163" s="960">
        <f ca="1">[3]MMBTU!U186</f>
        <v>2095485.4047559449</v>
      </c>
      <c r="H163" s="745">
        <f t="shared" si="22"/>
        <v>6.4000000000000003E-3</v>
      </c>
      <c r="I163" s="959">
        <f t="shared" ca="1" si="23"/>
        <v>13.411106590438049</v>
      </c>
      <c r="J163" s="964">
        <f t="shared" ca="1" si="24"/>
        <v>1823.0277985904379</v>
      </c>
      <c r="K163" s="746">
        <f ca="1">VLOOKUP($A163,Curves_Table,Escalation!$O$291)</f>
        <v>1.5190107088932228</v>
      </c>
      <c r="L163" s="748">
        <f t="shared" ca="1" si="25"/>
        <v>2769.1987486689122</v>
      </c>
      <c r="M163" s="749" t="str">
        <f t="shared" ca="1" si="26"/>
        <v xml:space="preserve"> </v>
      </c>
    </row>
    <row r="164" spans="1:13">
      <c r="A164" s="743">
        <f t="shared" si="18"/>
        <v>41579</v>
      </c>
      <c r="C164" s="744">
        <f t="shared" si="19"/>
        <v>30</v>
      </c>
      <c r="D164" s="747">
        <f ca="1">(IF($A164&gt;Endyr,0,IF($A164&lt;Assm!$F$32,G164,Capacity*C164)))*(1+RAROC!$N$12)</f>
        <v>3089700</v>
      </c>
      <c r="E164" s="745">
        <f t="shared" si="20"/>
        <v>0.56679999999999997</v>
      </c>
      <c r="F164" s="959">
        <f t="shared" ca="1" si="21"/>
        <v>1751.2419600000001</v>
      </c>
      <c r="G164" s="960">
        <f ca="1">[3]MMBTU!U187</f>
        <v>2027889.1013767209</v>
      </c>
      <c r="H164" s="745">
        <f t="shared" si="22"/>
        <v>6.4000000000000003E-3</v>
      </c>
      <c r="I164" s="959">
        <f t="shared" ca="1" si="23"/>
        <v>12.978490248811015</v>
      </c>
      <c r="J164" s="964">
        <f t="shared" ca="1" si="24"/>
        <v>1764.2204502488112</v>
      </c>
      <c r="K164" s="746">
        <f ca="1">VLOOKUP($A164,Curves_Table,Escalation!$O$291)</f>
        <v>1.5190107088932228</v>
      </c>
      <c r="L164" s="748">
        <f t="shared" ca="1" si="25"/>
        <v>2679.8697567763675</v>
      </c>
      <c r="M164" s="749" t="str">
        <f t="shared" ca="1" si="26"/>
        <v xml:space="preserve"> </v>
      </c>
    </row>
    <row r="165" spans="1:13">
      <c r="A165" s="743">
        <f t="shared" si="18"/>
        <v>41609</v>
      </c>
      <c r="C165" s="744">
        <f t="shared" si="19"/>
        <v>31</v>
      </c>
      <c r="D165" s="747">
        <f ca="1">(IF($A165&gt;Endyr,0,IF($A165&lt;Assm!$F$32,G165,Capacity*C165)))*(1+RAROC!$N$12)</f>
        <v>3192690</v>
      </c>
      <c r="E165" s="745">
        <f t="shared" si="20"/>
        <v>0.56679999999999997</v>
      </c>
      <c r="F165" s="959">
        <f t="shared" ca="1" si="21"/>
        <v>1809.6166919999998</v>
      </c>
      <c r="G165" s="960">
        <f ca="1">[3]MMBTU!U188</f>
        <v>2095485.4047559449</v>
      </c>
      <c r="H165" s="745">
        <f t="shared" si="22"/>
        <v>6.4000000000000003E-3</v>
      </c>
      <c r="I165" s="959">
        <f t="shared" ca="1" si="23"/>
        <v>13.411106590438049</v>
      </c>
      <c r="J165" s="964">
        <f t="shared" ca="1" si="24"/>
        <v>1823.0277985904379</v>
      </c>
      <c r="K165" s="746">
        <f ca="1">VLOOKUP($A165,Curves_Table,Escalation!$O$291)</f>
        <v>1.5190107088932228</v>
      </c>
      <c r="L165" s="748">
        <f t="shared" ca="1" si="25"/>
        <v>2769.1987486689122</v>
      </c>
      <c r="M165" s="749">
        <f t="shared" ca="1" si="26"/>
        <v>32342.551229746583</v>
      </c>
    </row>
    <row r="166" spans="1:13">
      <c r="A166" s="743">
        <f t="shared" si="18"/>
        <v>41640</v>
      </c>
      <c r="C166" s="744">
        <f t="shared" si="19"/>
        <v>31</v>
      </c>
      <c r="D166" s="747">
        <f ca="1">(IF($A166&gt;Endyr,0,IF($A166&lt;Assm!$F$32,G166,Capacity*C166)))*(1+RAROC!$N$12)</f>
        <v>3192690</v>
      </c>
      <c r="E166" s="745">
        <f t="shared" si="20"/>
        <v>0.56679999999999997</v>
      </c>
      <c r="F166" s="959">
        <f t="shared" ca="1" si="21"/>
        <v>1809.6166919999998</v>
      </c>
      <c r="G166" s="960">
        <f ca="1">[3]MMBTU!U189</f>
        <v>2095485.4047559449</v>
      </c>
      <c r="H166" s="745">
        <f t="shared" si="22"/>
        <v>6.4000000000000003E-3</v>
      </c>
      <c r="I166" s="959">
        <f t="shared" ca="1" si="23"/>
        <v>13.411106590438049</v>
      </c>
      <c r="J166" s="964">
        <f t="shared" ca="1" si="24"/>
        <v>1823.0277985904379</v>
      </c>
      <c r="K166" s="746">
        <f ca="1">VLOOKUP($A166,Curves_Table,Escalation!$O$291)</f>
        <v>1.5190107088932228</v>
      </c>
      <c r="L166" s="748">
        <f t="shared" ca="1" si="25"/>
        <v>2769.1987486689122</v>
      </c>
      <c r="M166" s="749" t="str">
        <f t="shared" ca="1" si="26"/>
        <v xml:space="preserve"> </v>
      </c>
    </row>
    <row r="167" spans="1:13">
      <c r="A167" s="743">
        <f t="shared" si="18"/>
        <v>41671</v>
      </c>
      <c r="C167" s="744">
        <f t="shared" si="19"/>
        <v>28</v>
      </c>
      <c r="D167" s="747">
        <f ca="1">(IF($A167&gt;Endyr,0,IF($A167&lt;Assm!$F$32,G167,Capacity*C167)))*(1+RAROC!$N$12)</f>
        <v>2883720</v>
      </c>
      <c r="E167" s="745">
        <f t="shared" si="20"/>
        <v>0.56679999999999997</v>
      </c>
      <c r="F167" s="959">
        <f t="shared" ca="1" si="21"/>
        <v>1634.4924959999998</v>
      </c>
      <c r="G167" s="960">
        <f ca="1">[3]MMBTU!U190</f>
        <v>1892696.4946182731</v>
      </c>
      <c r="H167" s="745">
        <f t="shared" si="22"/>
        <v>6.4000000000000003E-3</v>
      </c>
      <c r="I167" s="959">
        <f t="shared" ca="1" si="23"/>
        <v>12.11325756555695</v>
      </c>
      <c r="J167" s="964">
        <f t="shared" ca="1" si="24"/>
        <v>1646.6057535655568</v>
      </c>
      <c r="K167" s="746">
        <f ca="1">VLOOKUP($A167,Curves_Table,Escalation!$O$291)</f>
        <v>1.5190107088932228</v>
      </c>
      <c r="L167" s="748">
        <f t="shared" ca="1" si="25"/>
        <v>2501.2117729912757</v>
      </c>
      <c r="M167" s="749" t="str">
        <f t="shared" ca="1" si="26"/>
        <v xml:space="preserve"> </v>
      </c>
    </row>
    <row r="168" spans="1:13">
      <c r="A168" s="743">
        <f t="shared" si="18"/>
        <v>41699</v>
      </c>
      <c r="C168" s="744">
        <f t="shared" si="19"/>
        <v>31</v>
      </c>
      <c r="D168" s="747">
        <f ca="1">(IF($A168&gt;Endyr,0,IF($A168&lt;Assm!$F$32,G168,Capacity*C168)))*(1+RAROC!$N$12)</f>
        <v>3192690</v>
      </c>
      <c r="E168" s="745">
        <f t="shared" si="20"/>
        <v>0.56679999999999997</v>
      </c>
      <c r="F168" s="959">
        <f t="shared" ca="1" si="21"/>
        <v>1809.6166919999998</v>
      </c>
      <c r="G168" s="960">
        <f ca="1">[3]MMBTU!U191</f>
        <v>2095485.4047559449</v>
      </c>
      <c r="H168" s="745">
        <f t="shared" si="22"/>
        <v>6.4000000000000003E-3</v>
      </c>
      <c r="I168" s="959">
        <f t="shared" ca="1" si="23"/>
        <v>13.411106590438049</v>
      </c>
      <c r="J168" s="964">
        <f t="shared" ca="1" si="24"/>
        <v>1823.0277985904379</v>
      </c>
      <c r="K168" s="746">
        <f ca="1">VLOOKUP($A168,Curves_Table,Escalation!$O$291)</f>
        <v>1.5190107088932228</v>
      </c>
      <c r="L168" s="748">
        <f t="shared" ca="1" si="25"/>
        <v>2769.1987486689122</v>
      </c>
      <c r="M168" s="749" t="str">
        <f t="shared" ca="1" si="26"/>
        <v xml:space="preserve"> </v>
      </c>
    </row>
    <row r="169" spans="1:13">
      <c r="A169" s="743">
        <f t="shared" si="18"/>
        <v>41730</v>
      </c>
      <c r="C169" s="744">
        <f t="shared" si="19"/>
        <v>30</v>
      </c>
      <c r="D169" s="747">
        <f ca="1">(IF($A169&gt;Endyr,0,IF($A169&lt;Assm!$F$32,G169,Capacity*C169)))*(1+RAROC!$N$12)</f>
        <v>3089700</v>
      </c>
      <c r="E169" s="745">
        <f t="shared" si="20"/>
        <v>0.56679999999999997</v>
      </c>
      <c r="F169" s="959">
        <f t="shared" ca="1" si="21"/>
        <v>1751.2419600000001</v>
      </c>
      <c r="G169" s="960">
        <f ca="1">[3]MMBTU!U192</f>
        <v>2027889.1013767209</v>
      </c>
      <c r="H169" s="745">
        <f t="shared" si="22"/>
        <v>6.4000000000000003E-3</v>
      </c>
      <c r="I169" s="959">
        <f t="shared" ca="1" si="23"/>
        <v>12.978490248811015</v>
      </c>
      <c r="J169" s="964">
        <f t="shared" ca="1" si="24"/>
        <v>1764.2204502488112</v>
      </c>
      <c r="K169" s="746">
        <f ca="1">VLOOKUP($A169,Curves_Table,Escalation!$O$291)</f>
        <v>1.5190107088932228</v>
      </c>
      <c r="L169" s="748">
        <f t="shared" ca="1" si="25"/>
        <v>2679.8697567763675</v>
      </c>
      <c r="M169" s="749" t="str">
        <f t="shared" ca="1" si="26"/>
        <v xml:space="preserve"> </v>
      </c>
    </row>
    <row r="170" spans="1:13">
      <c r="A170" s="743">
        <f t="shared" si="18"/>
        <v>41760</v>
      </c>
      <c r="C170" s="744">
        <f t="shared" si="19"/>
        <v>31</v>
      </c>
      <c r="D170" s="747">
        <f ca="1">(IF($A170&gt;Endyr,0,IF($A170&lt;Assm!$F$32,G170,Capacity*C170)))*(1+RAROC!$N$12)</f>
        <v>3192690</v>
      </c>
      <c r="E170" s="745">
        <f t="shared" si="20"/>
        <v>0.56679999999999997</v>
      </c>
      <c r="F170" s="959">
        <f t="shared" ca="1" si="21"/>
        <v>1809.6166919999998</v>
      </c>
      <c r="G170" s="960">
        <f ca="1">[3]MMBTU!U193</f>
        <v>2095485.4047559449</v>
      </c>
      <c r="H170" s="745">
        <f t="shared" si="22"/>
        <v>6.4000000000000003E-3</v>
      </c>
      <c r="I170" s="959">
        <f t="shared" ca="1" si="23"/>
        <v>13.411106590438049</v>
      </c>
      <c r="J170" s="964">
        <f t="shared" ca="1" si="24"/>
        <v>1823.0277985904379</v>
      </c>
      <c r="K170" s="746">
        <f ca="1">VLOOKUP($A170,Curves_Table,Escalation!$O$291)</f>
        <v>1.5573978315409176</v>
      </c>
      <c r="L170" s="748">
        <f t="shared" ca="1" si="25"/>
        <v>2839.1795403635606</v>
      </c>
      <c r="M170" s="749" t="str">
        <f t="shared" ca="1" si="26"/>
        <v xml:space="preserve"> </v>
      </c>
    </row>
    <row r="171" spans="1:13">
      <c r="A171" s="743">
        <f t="shared" si="18"/>
        <v>41791</v>
      </c>
      <c r="C171" s="744">
        <f t="shared" si="19"/>
        <v>30</v>
      </c>
      <c r="D171" s="747">
        <f ca="1">(IF($A171&gt;Endyr,0,IF($A171&lt;Assm!$F$32,G171,Capacity*C171)))*(1+RAROC!$N$12)</f>
        <v>3089700</v>
      </c>
      <c r="E171" s="745">
        <f t="shared" si="20"/>
        <v>0.56679999999999997</v>
      </c>
      <c r="F171" s="959">
        <f t="shared" ca="1" si="21"/>
        <v>1751.2419600000001</v>
      </c>
      <c r="G171" s="960">
        <f ca="1">[3]MMBTU!U194</f>
        <v>2027889.1013767209</v>
      </c>
      <c r="H171" s="745">
        <f t="shared" si="22"/>
        <v>6.4000000000000003E-3</v>
      </c>
      <c r="I171" s="959">
        <f t="shared" ca="1" si="23"/>
        <v>12.978490248811015</v>
      </c>
      <c r="J171" s="964">
        <f t="shared" ca="1" si="24"/>
        <v>1764.2204502488112</v>
      </c>
      <c r="K171" s="746">
        <f ca="1">VLOOKUP($A171,Curves_Table,Escalation!$O$291)</f>
        <v>1.5573978315409176</v>
      </c>
      <c r="L171" s="748">
        <f t="shared" ca="1" si="25"/>
        <v>2747.5931035776398</v>
      </c>
      <c r="M171" s="749" t="str">
        <f t="shared" ca="1" si="26"/>
        <v xml:space="preserve"> </v>
      </c>
    </row>
    <row r="172" spans="1:13">
      <c r="A172" s="743">
        <f t="shared" si="18"/>
        <v>41821</v>
      </c>
      <c r="C172" s="744">
        <f t="shared" si="19"/>
        <v>31</v>
      </c>
      <c r="D172" s="747">
        <f ca="1">(IF($A172&gt;Endyr,0,IF($A172&lt;Assm!$F$32,G172,Capacity*C172)))*(1+RAROC!$N$12)</f>
        <v>3192690</v>
      </c>
      <c r="E172" s="745">
        <f t="shared" si="20"/>
        <v>0.56679999999999997</v>
      </c>
      <c r="F172" s="959">
        <f t="shared" ca="1" si="21"/>
        <v>1809.6166919999998</v>
      </c>
      <c r="G172" s="960">
        <f ca="1">[3]MMBTU!U195</f>
        <v>2095485.4047559449</v>
      </c>
      <c r="H172" s="745">
        <f t="shared" si="22"/>
        <v>6.4000000000000003E-3</v>
      </c>
      <c r="I172" s="959">
        <f t="shared" ca="1" si="23"/>
        <v>13.411106590438049</v>
      </c>
      <c r="J172" s="964">
        <f t="shared" ca="1" si="24"/>
        <v>1823.0277985904379</v>
      </c>
      <c r="K172" s="746">
        <f ca="1">VLOOKUP($A172,Curves_Table,Escalation!$O$291)</f>
        <v>1.5573978315409176</v>
      </c>
      <c r="L172" s="748">
        <f t="shared" ca="1" si="25"/>
        <v>2839.1795403635606</v>
      </c>
      <c r="M172" s="749" t="str">
        <f t="shared" ca="1" si="26"/>
        <v xml:space="preserve"> </v>
      </c>
    </row>
    <row r="173" spans="1:13">
      <c r="A173" s="743">
        <f t="shared" si="18"/>
        <v>41852</v>
      </c>
      <c r="C173" s="744">
        <f t="shared" si="19"/>
        <v>31</v>
      </c>
      <c r="D173" s="747">
        <f ca="1">(IF($A173&gt;Endyr,0,IF($A173&lt;Assm!$F$32,G173,Capacity*C173)))*(1+RAROC!$N$12)</f>
        <v>3192690</v>
      </c>
      <c r="E173" s="745">
        <f t="shared" si="20"/>
        <v>0.56679999999999997</v>
      </c>
      <c r="F173" s="959">
        <f t="shared" ca="1" si="21"/>
        <v>1809.6166919999998</v>
      </c>
      <c r="G173" s="960">
        <f ca="1">[3]MMBTU!U196</f>
        <v>2095485.4047559449</v>
      </c>
      <c r="H173" s="745">
        <f t="shared" si="22"/>
        <v>6.4000000000000003E-3</v>
      </c>
      <c r="I173" s="959">
        <f t="shared" ca="1" si="23"/>
        <v>13.411106590438049</v>
      </c>
      <c r="J173" s="964">
        <f t="shared" ca="1" si="24"/>
        <v>1823.0277985904379</v>
      </c>
      <c r="K173" s="746">
        <f ca="1">VLOOKUP($A173,Curves_Table,Escalation!$O$291)</f>
        <v>1.5573978315409176</v>
      </c>
      <c r="L173" s="748">
        <f t="shared" ca="1" si="25"/>
        <v>2839.1795403635606</v>
      </c>
      <c r="M173" s="749" t="str">
        <f t="shared" ca="1" si="26"/>
        <v xml:space="preserve"> </v>
      </c>
    </row>
    <row r="174" spans="1:13">
      <c r="A174" s="743">
        <f t="shared" si="18"/>
        <v>41883</v>
      </c>
      <c r="C174" s="744">
        <f t="shared" si="19"/>
        <v>30</v>
      </c>
      <c r="D174" s="747">
        <f ca="1">(IF($A174&gt;Endyr,0,IF($A174&lt;Assm!$F$32,G174,Capacity*C174)))*(1+RAROC!$N$12)</f>
        <v>3089700</v>
      </c>
      <c r="E174" s="745">
        <f t="shared" si="20"/>
        <v>0.56679999999999997</v>
      </c>
      <c r="F174" s="959">
        <f t="shared" ca="1" si="21"/>
        <v>1751.2419600000001</v>
      </c>
      <c r="G174" s="960">
        <f ca="1">[3]MMBTU!U197</f>
        <v>2027889.1013767209</v>
      </c>
      <c r="H174" s="745">
        <f t="shared" si="22"/>
        <v>6.4000000000000003E-3</v>
      </c>
      <c r="I174" s="959">
        <f t="shared" ca="1" si="23"/>
        <v>12.978490248811015</v>
      </c>
      <c r="J174" s="964">
        <f t="shared" ca="1" si="24"/>
        <v>1764.2204502488112</v>
      </c>
      <c r="K174" s="746">
        <f ca="1">VLOOKUP($A174,Curves_Table,Escalation!$O$291)</f>
        <v>1.5573978315409176</v>
      </c>
      <c r="L174" s="748">
        <f t="shared" ca="1" si="25"/>
        <v>2747.5931035776398</v>
      </c>
      <c r="M174" s="749" t="str">
        <f t="shared" ca="1" si="26"/>
        <v xml:space="preserve"> </v>
      </c>
    </row>
    <row r="175" spans="1:13">
      <c r="A175" s="743">
        <f t="shared" si="18"/>
        <v>41913</v>
      </c>
      <c r="C175" s="744">
        <f t="shared" si="19"/>
        <v>31</v>
      </c>
      <c r="D175" s="747">
        <f ca="1">(IF($A175&gt;Endyr,0,IF($A175&lt;Assm!$F$32,G175,Capacity*C175)))*(1+RAROC!$N$12)</f>
        <v>3192690</v>
      </c>
      <c r="E175" s="745">
        <f t="shared" si="20"/>
        <v>0.56679999999999997</v>
      </c>
      <c r="F175" s="959">
        <f t="shared" ca="1" si="21"/>
        <v>1809.6166919999998</v>
      </c>
      <c r="G175" s="960">
        <f ca="1">[3]MMBTU!U198</f>
        <v>2095485.4047559449</v>
      </c>
      <c r="H175" s="745">
        <f t="shared" si="22"/>
        <v>6.4000000000000003E-3</v>
      </c>
      <c r="I175" s="959">
        <f t="shared" ca="1" si="23"/>
        <v>13.411106590438049</v>
      </c>
      <c r="J175" s="964">
        <f t="shared" ca="1" si="24"/>
        <v>1823.0277985904379</v>
      </c>
      <c r="K175" s="746">
        <f ca="1">VLOOKUP($A175,Curves_Table,Escalation!$O$291)</f>
        <v>1.5573978315409176</v>
      </c>
      <c r="L175" s="748">
        <f t="shared" ca="1" si="25"/>
        <v>2839.1795403635606</v>
      </c>
      <c r="M175" s="749" t="str">
        <f t="shared" ca="1" si="26"/>
        <v xml:space="preserve"> </v>
      </c>
    </row>
    <row r="176" spans="1:13">
      <c r="A176" s="743">
        <f t="shared" si="18"/>
        <v>41944</v>
      </c>
      <c r="C176" s="744">
        <f t="shared" si="19"/>
        <v>30</v>
      </c>
      <c r="D176" s="747">
        <f ca="1">(IF($A176&gt;Endyr,0,IF($A176&lt;Assm!$F$32,G176,Capacity*C176)))*(1+RAROC!$N$12)</f>
        <v>3089700</v>
      </c>
      <c r="E176" s="745">
        <f t="shared" si="20"/>
        <v>0.56679999999999997</v>
      </c>
      <c r="F176" s="959">
        <f t="shared" ca="1" si="21"/>
        <v>1751.2419600000001</v>
      </c>
      <c r="G176" s="960">
        <f ca="1">[3]MMBTU!U199</f>
        <v>2027889.1013767209</v>
      </c>
      <c r="H176" s="745">
        <f t="shared" si="22"/>
        <v>6.4000000000000003E-3</v>
      </c>
      <c r="I176" s="959">
        <f t="shared" ca="1" si="23"/>
        <v>12.978490248811015</v>
      </c>
      <c r="J176" s="964">
        <f t="shared" ca="1" si="24"/>
        <v>1764.2204502488112</v>
      </c>
      <c r="K176" s="746">
        <f ca="1">VLOOKUP($A176,Curves_Table,Escalation!$O$291)</f>
        <v>1.5573978315409176</v>
      </c>
      <c r="L176" s="748">
        <f t="shared" ca="1" si="25"/>
        <v>2747.5931035776398</v>
      </c>
      <c r="M176" s="749" t="str">
        <f t="shared" ca="1" si="26"/>
        <v xml:space="preserve"> </v>
      </c>
    </row>
    <row r="177" spans="1:13">
      <c r="A177" s="743">
        <f t="shared" si="18"/>
        <v>41974</v>
      </c>
      <c r="C177" s="744">
        <f t="shared" si="19"/>
        <v>31</v>
      </c>
      <c r="D177" s="747">
        <f ca="1">(IF($A177&gt;Endyr,0,IF($A177&lt;Assm!$F$32,G177,Capacity*C177)))*(1+RAROC!$N$12)</f>
        <v>3192690</v>
      </c>
      <c r="E177" s="745">
        <f t="shared" si="20"/>
        <v>0.56679999999999997</v>
      </c>
      <c r="F177" s="959">
        <f t="shared" ca="1" si="21"/>
        <v>1809.6166919999998</v>
      </c>
      <c r="G177" s="960">
        <f ca="1">[3]MMBTU!U200</f>
        <v>2095485.4047559449</v>
      </c>
      <c r="H177" s="745">
        <f t="shared" si="22"/>
        <v>6.4000000000000003E-3</v>
      </c>
      <c r="I177" s="959">
        <f t="shared" ca="1" si="23"/>
        <v>13.411106590438049</v>
      </c>
      <c r="J177" s="964">
        <f t="shared" ca="1" si="24"/>
        <v>1823.0277985904379</v>
      </c>
      <c r="K177" s="746">
        <f ca="1">VLOOKUP($A177,Curves_Table,Escalation!$O$291)</f>
        <v>1.5573978315409176</v>
      </c>
      <c r="L177" s="748">
        <f t="shared" ca="1" si="25"/>
        <v>2839.1795403635606</v>
      </c>
      <c r="M177" s="749">
        <f t="shared" ca="1" si="26"/>
        <v>33158.156039656191</v>
      </c>
    </row>
    <row r="178" spans="1:13">
      <c r="A178" s="743">
        <f t="shared" si="18"/>
        <v>42005</v>
      </c>
      <c r="C178" s="744">
        <f t="shared" si="19"/>
        <v>31</v>
      </c>
      <c r="D178" s="747">
        <f ca="1">(IF($A178&gt;Endyr,0,IF($A178&lt;Assm!$F$32,G178,Capacity*C178)))*(1+RAROC!$N$12)</f>
        <v>3192690</v>
      </c>
      <c r="E178" s="745">
        <f t="shared" si="20"/>
        <v>0.56679999999999997</v>
      </c>
      <c r="F178" s="959">
        <f t="shared" ca="1" si="21"/>
        <v>1809.6166919999998</v>
      </c>
      <c r="G178" s="960">
        <f ca="1">[3]MMBTU!U201</f>
        <v>2095485.4047559449</v>
      </c>
      <c r="H178" s="745">
        <f t="shared" si="22"/>
        <v>6.4000000000000003E-3</v>
      </c>
      <c r="I178" s="959">
        <f t="shared" ca="1" si="23"/>
        <v>13.411106590438049</v>
      </c>
      <c r="J178" s="964">
        <f t="shared" ca="1" si="24"/>
        <v>1823.0277985904379</v>
      </c>
      <c r="K178" s="746">
        <f ca="1">VLOOKUP($A178,Curves_Table,Escalation!$O$291)</f>
        <v>1.5573978315409176</v>
      </c>
      <c r="L178" s="748">
        <f t="shared" ca="1" si="25"/>
        <v>2839.1795403635606</v>
      </c>
      <c r="M178" s="749" t="str">
        <f t="shared" ca="1" si="26"/>
        <v xml:space="preserve"> </v>
      </c>
    </row>
    <row r="179" spans="1:13">
      <c r="A179" s="743">
        <f t="shared" si="18"/>
        <v>42036</v>
      </c>
      <c r="C179" s="744">
        <f t="shared" si="19"/>
        <v>28</v>
      </c>
      <c r="D179" s="747">
        <f ca="1">(IF($A179&gt;Endyr,0,IF($A179&lt;Assm!$F$32,G179,Capacity*C179)))*(1+RAROC!$N$12)</f>
        <v>2883720</v>
      </c>
      <c r="E179" s="745">
        <f t="shared" si="20"/>
        <v>0.56679999999999997</v>
      </c>
      <c r="F179" s="959">
        <f t="shared" ca="1" si="21"/>
        <v>1634.4924959999998</v>
      </c>
      <c r="G179" s="960">
        <f ca="1">[3]MMBTU!U202</f>
        <v>1892696.4946182731</v>
      </c>
      <c r="H179" s="745">
        <f t="shared" si="22"/>
        <v>6.4000000000000003E-3</v>
      </c>
      <c r="I179" s="959">
        <f t="shared" ca="1" si="23"/>
        <v>12.11325756555695</v>
      </c>
      <c r="J179" s="964">
        <f t="shared" ca="1" si="24"/>
        <v>1646.6057535655568</v>
      </c>
      <c r="K179" s="746">
        <f ca="1">VLOOKUP($A179,Curves_Table,Escalation!$O$291)</f>
        <v>1.5573978315409176</v>
      </c>
      <c r="L179" s="748">
        <f t="shared" ca="1" si="25"/>
        <v>2564.4202300057968</v>
      </c>
      <c r="M179" s="749" t="str">
        <f t="shared" ca="1" si="26"/>
        <v xml:space="preserve"> </v>
      </c>
    </row>
    <row r="180" spans="1:13">
      <c r="A180" s="743">
        <f t="shared" si="18"/>
        <v>42064</v>
      </c>
      <c r="C180" s="744">
        <f t="shared" si="19"/>
        <v>31</v>
      </c>
      <c r="D180" s="747">
        <f ca="1">(IF($A180&gt;Endyr,0,IF($A180&lt;Assm!$F$32,G180,Capacity*C180)))*(1+RAROC!$N$12)</f>
        <v>3192690</v>
      </c>
      <c r="E180" s="745">
        <f t="shared" si="20"/>
        <v>0.56679999999999997</v>
      </c>
      <c r="F180" s="959">
        <f t="shared" ca="1" si="21"/>
        <v>1809.6166919999998</v>
      </c>
      <c r="G180" s="960">
        <f ca="1">[3]MMBTU!U203</f>
        <v>2095485.4047559449</v>
      </c>
      <c r="H180" s="745">
        <f t="shared" si="22"/>
        <v>6.4000000000000003E-3</v>
      </c>
      <c r="I180" s="959">
        <f t="shared" ca="1" si="23"/>
        <v>13.411106590438049</v>
      </c>
      <c r="J180" s="964">
        <f t="shared" ca="1" si="24"/>
        <v>1823.0277985904379</v>
      </c>
      <c r="K180" s="746">
        <f ca="1">VLOOKUP($A180,Curves_Table,Escalation!$O$291)</f>
        <v>1.5573978315409176</v>
      </c>
      <c r="L180" s="748">
        <f t="shared" ca="1" si="25"/>
        <v>2839.1795403635606</v>
      </c>
      <c r="M180" s="749" t="str">
        <f t="shared" ca="1" si="26"/>
        <v xml:space="preserve"> </v>
      </c>
    </row>
    <row r="181" spans="1:13">
      <c r="A181" s="743">
        <f t="shared" si="18"/>
        <v>42095</v>
      </c>
      <c r="C181" s="744">
        <f t="shared" si="19"/>
        <v>30</v>
      </c>
      <c r="D181" s="747">
        <f ca="1">(IF($A181&gt;Endyr,0,IF($A181&lt;Assm!$F$32,G181,Capacity*C181)))*(1+RAROC!$N$12)</f>
        <v>3089700</v>
      </c>
      <c r="E181" s="745">
        <f t="shared" si="20"/>
        <v>0.56679999999999997</v>
      </c>
      <c r="F181" s="959">
        <f t="shared" ca="1" si="21"/>
        <v>1751.2419600000001</v>
      </c>
      <c r="G181" s="960">
        <f ca="1">[3]MMBTU!U204</f>
        <v>2027889.1013767209</v>
      </c>
      <c r="H181" s="745">
        <f t="shared" si="22"/>
        <v>6.4000000000000003E-3</v>
      </c>
      <c r="I181" s="959">
        <f t="shared" ca="1" si="23"/>
        <v>12.978490248811015</v>
      </c>
      <c r="J181" s="964">
        <f t="shared" ca="1" si="24"/>
        <v>1764.2204502488112</v>
      </c>
      <c r="K181" s="746">
        <f ca="1">VLOOKUP($A181,Curves_Table,Escalation!$O$291)</f>
        <v>1.5573978315409176</v>
      </c>
      <c r="L181" s="748">
        <f t="shared" ca="1" si="25"/>
        <v>2747.5931035776398</v>
      </c>
      <c r="M181" s="749" t="str">
        <f t="shared" ca="1" si="26"/>
        <v xml:space="preserve"> </v>
      </c>
    </row>
    <row r="182" spans="1:13">
      <c r="A182" s="743">
        <f t="shared" si="18"/>
        <v>42125</v>
      </c>
      <c r="C182" s="744">
        <f t="shared" si="19"/>
        <v>31</v>
      </c>
      <c r="D182" s="747">
        <f ca="1">(IF($A182&gt;Endyr,0,IF($A182&lt;Assm!$F$32,G182,Capacity*C182)))*(1+RAROC!$N$12)</f>
        <v>3192690</v>
      </c>
      <c r="E182" s="745">
        <f t="shared" si="20"/>
        <v>0.56679999999999997</v>
      </c>
      <c r="F182" s="959">
        <f t="shared" ca="1" si="21"/>
        <v>1809.6166919999998</v>
      </c>
      <c r="G182" s="960">
        <f ca="1">[3]MMBTU!U205</f>
        <v>2095485.4047559449</v>
      </c>
      <c r="H182" s="745">
        <f t="shared" si="22"/>
        <v>6.4000000000000003E-3</v>
      </c>
      <c r="I182" s="959">
        <f t="shared" ca="1" si="23"/>
        <v>13.411106590438049</v>
      </c>
      <c r="J182" s="964">
        <f t="shared" ca="1" si="24"/>
        <v>1823.0277985904379</v>
      </c>
      <c r="K182" s="746">
        <f ca="1">VLOOKUP($A182,Curves_Table,Escalation!$O$291)</f>
        <v>1.5973303982415077</v>
      </c>
      <c r="L182" s="748">
        <f t="shared" ca="1" si="25"/>
        <v>2911.9777195278034</v>
      </c>
      <c r="M182" s="749" t="str">
        <f t="shared" ca="1" si="26"/>
        <v xml:space="preserve"> </v>
      </c>
    </row>
    <row r="183" spans="1:13">
      <c r="A183" s="743">
        <f t="shared" si="18"/>
        <v>42156</v>
      </c>
      <c r="C183" s="744">
        <f t="shared" si="19"/>
        <v>30</v>
      </c>
      <c r="D183" s="747">
        <f ca="1">(IF($A183&gt;Endyr,0,IF($A183&lt;Assm!$F$32,G183,Capacity*C183)))*(1+RAROC!$N$12)</f>
        <v>3089700</v>
      </c>
      <c r="E183" s="745">
        <f t="shared" si="20"/>
        <v>0.56679999999999997</v>
      </c>
      <c r="F183" s="959">
        <f t="shared" ca="1" si="21"/>
        <v>1751.2419600000001</v>
      </c>
      <c r="G183" s="960">
        <f ca="1">[3]MMBTU!U206</f>
        <v>2027889.1013767209</v>
      </c>
      <c r="H183" s="745">
        <f t="shared" si="22"/>
        <v>6.4000000000000003E-3</v>
      </c>
      <c r="I183" s="959">
        <f t="shared" ca="1" si="23"/>
        <v>12.978490248811015</v>
      </c>
      <c r="J183" s="964">
        <f t="shared" ca="1" si="24"/>
        <v>1764.2204502488112</v>
      </c>
      <c r="K183" s="746">
        <f ca="1">VLOOKUP($A183,Curves_Table,Escalation!$O$291)</f>
        <v>1.5973303982415077</v>
      </c>
      <c r="L183" s="748">
        <f t="shared" ca="1" si="25"/>
        <v>2818.0429543817454</v>
      </c>
      <c r="M183" s="749" t="str">
        <f t="shared" ca="1" si="26"/>
        <v xml:space="preserve"> </v>
      </c>
    </row>
    <row r="184" spans="1:13">
      <c r="A184" s="743">
        <f t="shared" si="18"/>
        <v>42186</v>
      </c>
      <c r="C184" s="744">
        <f t="shared" si="19"/>
        <v>31</v>
      </c>
      <c r="D184" s="747">
        <f ca="1">(IF($A184&gt;Endyr,0,IF($A184&lt;Assm!$F$32,G184,Capacity*C184)))*(1+RAROC!$N$12)</f>
        <v>3192690</v>
      </c>
      <c r="E184" s="745">
        <f t="shared" si="20"/>
        <v>0.56679999999999997</v>
      </c>
      <c r="F184" s="959">
        <f t="shared" ca="1" si="21"/>
        <v>1809.6166919999998</v>
      </c>
      <c r="G184" s="960">
        <f ca="1">[3]MMBTU!U207</f>
        <v>2095485.4047559449</v>
      </c>
      <c r="H184" s="745">
        <f t="shared" si="22"/>
        <v>6.4000000000000003E-3</v>
      </c>
      <c r="I184" s="959">
        <f t="shared" ca="1" si="23"/>
        <v>13.411106590438049</v>
      </c>
      <c r="J184" s="964">
        <f t="shared" ca="1" si="24"/>
        <v>1823.0277985904379</v>
      </c>
      <c r="K184" s="746">
        <f ca="1">VLOOKUP($A184,Curves_Table,Escalation!$O$291)</f>
        <v>1.5973303982415077</v>
      </c>
      <c r="L184" s="748">
        <f t="shared" ca="1" si="25"/>
        <v>2911.9777195278034</v>
      </c>
      <c r="M184" s="749" t="str">
        <f t="shared" ca="1" si="26"/>
        <v xml:space="preserve"> </v>
      </c>
    </row>
    <row r="185" spans="1:13">
      <c r="A185" s="743">
        <f t="shared" si="18"/>
        <v>42217</v>
      </c>
      <c r="C185" s="744">
        <f t="shared" si="19"/>
        <v>31</v>
      </c>
      <c r="D185" s="747">
        <f ca="1">(IF($A185&gt;Endyr,0,IF($A185&lt;Assm!$F$32,G185,Capacity*C185)))*(1+RAROC!$N$12)</f>
        <v>3192690</v>
      </c>
      <c r="E185" s="745">
        <f t="shared" si="20"/>
        <v>0.56679999999999997</v>
      </c>
      <c r="F185" s="959">
        <f t="shared" ca="1" si="21"/>
        <v>1809.6166919999998</v>
      </c>
      <c r="G185" s="960">
        <f ca="1">[3]MMBTU!U208</f>
        <v>2095485.4047559449</v>
      </c>
      <c r="H185" s="745">
        <f t="shared" si="22"/>
        <v>6.4000000000000003E-3</v>
      </c>
      <c r="I185" s="959">
        <f t="shared" ca="1" si="23"/>
        <v>13.411106590438049</v>
      </c>
      <c r="J185" s="964">
        <f t="shared" ca="1" si="24"/>
        <v>1823.0277985904379</v>
      </c>
      <c r="K185" s="746">
        <f ca="1">VLOOKUP($A185,Curves_Table,Escalation!$O$291)</f>
        <v>1.5973303982415077</v>
      </c>
      <c r="L185" s="748">
        <f t="shared" ca="1" si="25"/>
        <v>2911.9777195278034</v>
      </c>
      <c r="M185" s="749" t="str">
        <f t="shared" ca="1" si="26"/>
        <v xml:space="preserve"> </v>
      </c>
    </row>
    <row r="186" spans="1:13">
      <c r="A186" s="743">
        <f t="shared" si="18"/>
        <v>42248</v>
      </c>
      <c r="C186" s="744">
        <f t="shared" si="19"/>
        <v>30</v>
      </c>
      <c r="D186" s="747">
        <f ca="1">(IF($A186&gt;Endyr,0,IF($A186&lt;Assm!$F$32,G186,Capacity*C186)))*(1+RAROC!$N$12)</f>
        <v>3089700</v>
      </c>
      <c r="E186" s="745">
        <f t="shared" si="20"/>
        <v>0.56679999999999997</v>
      </c>
      <c r="F186" s="959">
        <f t="shared" ca="1" si="21"/>
        <v>1751.2419600000001</v>
      </c>
      <c r="G186" s="960">
        <f ca="1">[3]MMBTU!U209</f>
        <v>2027889.1013767209</v>
      </c>
      <c r="H186" s="745">
        <f t="shared" si="22"/>
        <v>6.4000000000000003E-3</v>
      </c>
      <c r="I186" s="959">
        <f t="shared" ca="1" si="23"/>
        <v>12.978490248811015</v>
      </c>
      <c r="J186" s="964">
        <f t="shared" ca="1" si="24"/>
        <v>1764.2204502488112</v>
      </c>
      <c r="K186" s="746">
        <f ca="1">VLOOKUP($A186,Curves_Table,Escalation!$O$291)</f>
        <v>1.5973303982415077</v>
      </c>
      <c r="L186" s="748">
        <f t="shared" ca="1" si="25"/>
        <v>2818.0429543817454</v>
      </c>
      <c r="M186" s="749" t="str">
        <f t="shared" ca="1" si="26"/>
        <v xml:space="preserve"> </v>
      </c>
    </row>
    <row r="187" spans="1:13">
      <c r="A187" s="743">
        <f t="shared" si="18"/>
        <v>42278</v>
      </c>
      <c r="C187" s="744">
        <f t="shared" si="19"/>
        <v>31</v>
      </c>
      <c r="D187" s="747">
        <f ca="1">(IF($A187&gt;Endyr,0,IF($A187&lt;Assm!$F$32,G187,Capacity*C187)))*(1+RAROC!$N$12)</f>
        <v>3192690</v>
      </c>
      <c r="E187" s="745">
        <f t="shared" si="20"/>
        <v>0.56679999999999997</v>
      </c>
      <c r="F187" s="959">
        <f t="shared" ca="1" si="21"/>
        <v>1809.6166919999998</v>
      </c>
      <c r="G187" s="960">
        <f ca="1">[3]MMBTU!U210</f>
        <v>2095485.4047559449</v>
      </c>
      <c r="H187" s="745">
        <f t="shared" si="22"/>
        <v>6.4000000000000003E-3</v>
      </c>
      <c r="I187" s="959">
        <f t="shared" ca="1" si="23"/>
        <v>13.411106590438049</v>
      </c>
      <c r="J187" s="964">
        <f t="shared" ca="1" si="24"/>
        <v>1823.0277985904379</v>
      </c>
      <c r="K187" s="746">
        <f ca="1">VLOOKUP($A187,Curves_Table,Escalation!$O$291)</f>
        <v>1.5973303982415077</v>
      </c>
      <c r="L187" s="748">
        <f t="shared" ca="1" si="25"/>
        <v>2911.9777195278034</v>
      </c>
      <c r="M187" s="749" t="str">
        <f t="shared" ca="1" si="26"/>
        <v xml:space="preserve"> </v>
      </c>
    </row>
    <row r="188" spans="1:13">
      <c r="A188" s="743">
        <f t="shared" si="18"/>
        <v>42309</v>
      </c>
      <c r="C188" s="744">
        <f t="shared" si="19"/>
        <v>30</v>
      </c>
      <c r="D188" s="747">
        <f ca="1">(IF($A188&gt;Endyr,0,IF($A188&lt;Assm!$F$32,G188,Capacity*C188)))*(1+RAROC!$N$12)</f>
        <v>3089700</v>
      </c>
      <c r="E188" s="745">
        <f t="shared" si="20"/>
        <v>0.56679999999999997</v>
      </c>
      <c r="F188" s="959">
        <f t="shared" ca="1" si="21"/>
        <v>1751.2419600000001</v>
      </c>
      <c r="G188" s="960">
        <f ca="1">[3]MMBTU!U211</f>
        <v>2027889.1013767209</v>
      </c>
      <c r="H188" s="745">
        <f t="shared" si="22"/>
        <v>6.4000000000000003E-3</v>
      </c>
      <c r="I188" s="959">
        <f t="shared" ca="1" si="23"/>
        <v>12.978490248811015</v>
      </c>
      <c r="J188" s="964">
        <f t="shared" ca="1" si="24"/>
        <v>1764.2204502488112</v>
      </c>
      <c r="K188" s="746">
        <f ca="1">VLOOKUP($A188,Curves_Table,Escalation!$O$291)</f>
        <v>1.5973303982415077</v>
      </c>
      <c r="L188" s="748">
        <f t="shared" ca="1" si="25"/>
        <v>2818.0429543817454</v>
      </c>
      <c r="M188" s="749" t="str">
        <f t="shared" ca="1" si="26"/>
        <v xml:space="preserve"> </v>
      </c>
    </row>
    <row r="189" spans="1:13">
      <c r="A189" s="743">
        <f t="shared" si="18"/>
        <v>42339</v>
      </c>
      <c r="C189" s="744">
        <f t="shared" si="19"/>
        <v>31</v>
      </c>
      <c r="D189" s="747">
        <f ca="1">(IF($A189&gt;Endyr,0,IF($A189&lt;Assm!$F$32,G189,Capacity*C189)))*(1+RAROC!$N$12)</f>
        <v>3192690</v>
      </c>
      <c r="E189" s="745">
        <f t="shared" si="20"/>
        <v>0.56679999999999997</v>
      </c>
      <c r="F189" s="959">
        <f t="shared" ca="1" si="21"/>
        <v>1809.6166919999998</v>
      </c>
      <c r="G189" s="960">
        <f ca="1">[3]MMBTU!U212</f>
        <v>2095485.4047559449</v>
      </c>
      <c r="H189" s="745">
        <f t="shared" si="22"/>
        <v>6.4000000000000003E-3</v>
      </c>
      <c r="I189" s="959">
        <f t="shared" ca="1" si="23"/>
        <v>13.411106590438049</v>
      </c>
      <c r="J189" s="964">
        <f t="shared" ca="1" si="24"/>
        <v>1823.0277985904379</v>
      </c>
      <c r="K189" s="746">
        <f ca="1">VLOOKUP($A189,Curves_Table,Escalation!$O$291)</f>
        <v>1.5973303982415077</v>
      </c>
      <c r="L189" s="748">
        <f t="shared" ca="1" si="25"/>
        <v>2911.9777195278034</v>
      </c>
      <c r="M189" s="749">
        <f t="shared" ca="1" si="26"/>
        <v>34004.389875094806</v>
      </c>
    </row>
    <row r="190" spans="1:13">
      <c r="A190" s="743">
        <f t="shared" si="18"/>
        <v>42370</v>
      </c>
      <c r="C190" s="744">
        <f t="shared" si="19"/>
        <v>31</v>
      </c>
      <c r="D190" s="747">
        <f ca="1">(IF($A190&gt;Endyr,0,IF($A190&lt;Assm!$F$32,G190,Capacity*C190)))*(1+RAROC!$N$12)</f>
        <v>3192690</v>
      </c>
      <c r="E190" s="745">
        <f t="shared" si="20"/>
        <v>0.56679999999999997</v>
      </c>
      <c r="F190" s="959">
        <f t="shared" ca="1" si="21"/>
        <v>1809.6166919999998</v>
      </c>
      <c r="G190" s="960">
        <f ca="1">[3]MMBTU!U213</f>
        <v>2095485.4047559449</v>
      </c>
      <c r="H190" s="745">
        <f t="shared" si="22"/>
        <v>6.4000000000000003E-3</v>
      </c>
      <c r="I190" s="959">
        <f t="shared" ca="1" si="23"/>
        <v>13.411106590438049</v>
      </c>
      <c r="J190" s="964">
        <f t="shared" ca="1" si="24"/>
        <v>1823.0277985904379</v>
      </c>
      <c r="K190" s="746">
        <f ca="1">VLOOKUP($A190,Curves_Table,Escalation!$O$291)</f>
        <v>1.5973303982415077</v>
      </c>
      <c r="L190" s="748">
        <f t="shared" ca="1" si="25"/>
        <v>2911.9777195278034</v>
      </c>
      <c r="M190" s="749" t="str">
        <f t="shared" ca="1" si="26"/>
        <v xml:space="preserve"> </v>
      </c>
    </row>
    <row r="191" spans="1:13">
      <c r="A191" s="743">
        <f t="shared" si="18"/>
        <v>42401</v>
      </c>
      <c r="C191" s="744">
        <f t="shared" si="19"/>
        <v>29</v>
      </c>
      <c r="D191" s="747">
        <f ca="1">(IF($A191&gt;Endyr,0,IF($A191&lt;Assm!$F$32,G191,Capacity*C191)))*(1+RAROC!$N$12)</f>
        <v>2986710</v>
      </c>
      <c r="E191" s="745">
        <f t="shared" si="20"/>
        <v>0.56679999999999997</v>
      </c>
      <c r="F191" s="959">
        <f t="shared" ca="1" si="21"/>
        <v>1692.8672279999998</v>
      </c>
      <c r="G191" s="960">
        <f ca="1">[3]MMBTU!U214</f>
        <v>1960292.7979974968</v>
      </c>
      <c r="H191" s="745">
        <f t="shared" si="22"/>
        <v>6.4000000000000003E-3</v>
      </c>
      <c r="I191" s="959">
        <f t="shared" ca="1" si="23"/>
        <v>12.545873907183982</v>
      </c>
      <c r="J191" s="964">
        <f t="shared" ca="1" si="24"/>
        <v>1705.4131019071838</v>
      </c>
      <c r="K191" s="746">
        <f ca="1">VLOOKUP($A191,Curves_Table,Escalation!$O$291)</f>
        <v>1.5973303982415077</v>
      </c>
      <c r="L191" s="748">
        <f t="shared" ca="1" si="25"/>
        <v>2724.108189235687</v>
      </c>
      <c r="M191" s="749" t="str">
        <f t="shared" ca="1" si="26"/>
        <v xml:space="preserve"> </v>
      </c>
    </row>
    <row r="192" spans="1:13">
      <c r="A192" s="743">
        <f t="shared" si="18"/>
        <v>42430</v>
      </c>
      <c r="C192" s="744">
        <f t="shared" si="19"/>
        <v>31</v>
      </c>
      <c r="D192" s="747">
        <f ca="1">(IF($A192&gt;Endyr,0,IF($A192&lt;Assm!$F$32,G192,Capacity*C192)))*(1+RAROC!$N$12)</f>
        <v>3192690</v>
      </c>
      <c r="E192" s="745">
        <f t="shared" si="20"/>
        <v>0.56679999999999997</v>
      </c>
      <c r="F192" s="959">
        <f t="shared" ca="1" si="21"/>
        <v>1809.6166919999998</v>
      </c>
      <c r="G192" s="960">
        <f ca="1">[3]MMBTU!U215</f>
        <v>2095485.4047559449</v>
      </c>
      <c r="H192" s="745">
        <f t="shared" si="22"/>
        <v>6.4000000000000003E-3</v>
      </c>
      <c r="I192" s="959">
        <f t="shared" ca="1" si="23"/>
        <v>13.411106590438049</v>
      </c>
      <c r="J192" s="964">
        <f t="shared" ca="1" si="24"/>
        <v>1823.0277985904379</v>
      </c>
      <c r="K192" s="746">
        <f ca="1">VLOOKUP($A192,Curves_Table,Escalation!$O$291)</f>
        <v>1.5973303982415077</v>
      </c>
      <c r="L192" s="748">
        <f t="shared" ca="1" si="25"/>
        <v>2911.9777195278034</v>
      </c>
      <c r="M192" s="749" t="str">
        <f t="shared" ca="1" si="26"/>
        <v xml:space="preserve"> </v>
      </c>
    </row>
    <row r="193" spans="1:13">
      <c r="A193" s="743">
        <f t="shared" si="18"/>
        <v>42461</v>
      </c>
      <c r="C193" s="744">
        <f t="shared" si="19"/>
        <v>30</v>
      </c>
      <c r="D193" s="747">
        <f ca="1">(IF($A193&gt;Endyr,0,IF($A193&lt;Assm!$F$32,G193,Capacity*C193)))*(1+RAROC!$N$12)</f>
        <v>3089700</v>
      </c>
      <c r="E193" s="745">
        <f t="shared" si="20"/>
        <v>0.56679999999999997</v>
      </c>
      <c r="F193" s="959">
        <f t="shared" ca="1" si="21"/>
        <v>1751.2419600000001</v>
      </c>
      <c r="G193" s="960">
        <f ca="1">[3]MMBTU!U216</f>
        <v>2027889.1013767209</v>
      </c>
      <c r="H193" s="745">
        <f t="shared" si="22"/>
        <v>6.4000000000000003E-3</v>
      </c>
      <c r="I193" s="959">
        <f t="shared" ca="1" si="23"/>
        <v>12.978490248811015</v>
      </c>
      <c r="J193" s="964">
        <f t="shared" ca="1" si="24"/>
        <v>1764.2204502488112</v>
      </c>
      <c r="K193" s="746">
        <f ca="1">VLOOKUP($A193,Curves_Table,Escalation!$O$291)</f>
        <v>1.5973303982415077</v>
      </c>
      <c r="L193" s="748">
        <f t="shared" ca="1" si="25"/>
        <v>2818.0429543817454</v>
      </c>
      <c r="M193" s="749" t="str">
        <f t="shared" ca="1" si="26"/>
        <v xml:space="preserve"> </v>
      </c>
    </row>
    <row r="194" spans="1:13">
      <c r="A194" s="743">
        <f t="shared" si="18"/>
        <v>42491</v>
      </c>
      <c r="C194" s="744">
        <f t="shared" si="19"/>
        <v>31</v>
      </c>
      <c r="D194" s="747">
        <f ca="1">(IF($A194&gt;Endyr,0,IF($A194&lt;Assm!$F$32,G194,Capacity*C194)))*(1+RAROC!$N$12)</f>
        <v>3192690</v>
      </c>
      <c r="E194" s="745">
        <f t="shared" si="20"/>
        <v>0.56679999999999997</v>
      </c>
      <c r="F194" s="959">
        <f t="shared" ca="1" si="21"/>
        <v>1809.6166919999998</v>
      </c>
      <c r="G194" s="960">
        <f ca="1">[3]MMBTU!U217</f>
        <v>2095485.4047559449</v>
      </c>
      <c r="H194" s="745">
        <f t="shared" si="22"/>
        <v>6.4000000000000003E-3</v>
      </c>
      <c r="I194" s="959">
        <f t="shared" ca="1" si="23"/>
        <v>13.411106590438049</v>
      </c>
      <c r="J194" s="964">
        <f t="shared" ca="1" si="24"/>
        <v>1823.0277985904379</v>
      </c>
      <c r="K194" s="746">
        <f ca="1">VLOOKUP($A194,Curves_Table,Escalation!$O$291)</f>
        <v>1.6389834445299432</v>
      </c>
      <c r="L194" s="748">
        <f t="shared" ca="1" si="25"/>
        <v>2987.9123808075956</v>
      </c>
      <c r="M194" s="749" t="str">
        <f t="shared" ca="1" si="26"/>
        <v xml:space="preserve"> </v>
      </c>
    </row>
    <row r="195" spans="1:13">
      <c r="A195" s="743">
        <f t="shared" si="18"/>
        <v>42522</v>
      </c>
      <c r="C195" s="744">
        <f t="shared" si="19"/>
        <v>30</v>
      </c>
      <c r="D195" s="747">
        <f ca="1">(IF($A195&gt;Endyr,0,IF($A195&lt;Assm!$F$32,G195,Capacity*C195)))*(1+RAROC!$N$12)</f>
        <v>3089700</v>
      </c>
      <c r="E195" s="745">
        <f t="shared" si="20"/>
        <v>0.56679999999999997</v>
      </c>
      <c r="F195" s="959">
        <f t="shared" ca="1" si="21"/>
        <v>1751.2419600000001</v>
      </c>
      <c r="G195" s="960">
        <f ca="1">[3]MMBTU!U218</f>
        <v>2027889.1013767209</v>
      </c>
      <c r="H195" s="745">
        <f t="shared" si="22"/>
        <v>6.4000000000000003E-3</v>
      </c>
      <c r="I195" s="959">
        <f t="shared" ca="1" si="23"/>
        <v>12.978490248811015</v>
      </c>
      <c r="J195" s="964">
        <f t="shared" ca="1" si="24"/>
        <v>1764.2204502488112</v>
      </c>
      <c r="K195" s="746">
        <f ca="1">VLOOKUP($A195,Curves_Table,Escalation!$O$291)</f>
        <v>1.6389834445299432</v>
      </c>
      <c r="L195" s="748">
        <f t="shared" ca="1" si="25"/>
        <v>2891.528110458964</v>
      </c>
      <c r="M195" s="749" t="str">
        <f t="shared" ca="1" si="26"/>
        <v xml:space="preserve"> </v>
      </c>
    </row>
    <row r="196" spans="1:13">
      <c r="A196" s="743">
        <f t="shared" si="18"/>
        <v>42552</v>
      </c>
      <c r="C196" s="744">
        <f t="shared" si="19"/>
        <v>31</v>
      </c>
      <c r="D196" s="747">
        <f ca="1">(IF($A196&gt;Endyr,0,IF($A196&lt;Assm!$F$32,G196,Capacity*C196)))*(1+RAROC!$N$12)</f>
        <v>3192690</v>
      </c>
      <c r="E196" s="745">
        <f t="shared" si="20"/>
        <v>0.56679999999999997</v>
      </c>
      <c r="F196" s="959">
        <f t="shared" ca="1" si="21"/>
        <v>1809.6166919999998</v>
      </c>
      <c r="G196" s="960">
        <f ca="1">[3]MMBTU!U219</f>
        <v>2095485.4047559449</v>
      </c>
      <c r="H196" s="745">
        <f t="shared" si="22"/>
        <v>6.4000000000000003E-3</v>
      </c>
      <c r="I196" s="959">
        <f t="shared" ca="1" si="23"/>
        <v>13.411106590438049</v>
      </c>
      <c r="J196" s="964">
        <f t="shared" ca="1" si="24"/>
        <v>1823.0277985904379</v>
      </c>
      <c r="K196" s="746">
        <f ca="1">VLOOKUP($A196,Curves_Table,Escalation!$O$291)</f>
        <v>1.6389834445299432</v>
      </c>
      <c r="L196" s="748">
        <f t="shared" ca="1" si="25"/>
        <v>2987.9123808075956</v>
      </c>
      <c r="M196" s="749" t="str">
        <f t="shared" ca="1" si="26"/>
        <v xml:space="preserve"> </v>
      </c>
    </row>
    <row r="197" spans="1:13">
      <c r="A197" s="743">
        <f t="shared" si="18"/>
        <v>42583</v>
      </c>
      <c r="C197" s="744">
        <f t="shared" si="19"/>
        <v>31</v>
      </c>
      <c r="D197" s="747">
        <f ca="1">(IF($A197&gt;Endyr,0,IF($A197&lt;Assm!$F$32,G197,Capacity*C197)))*(1+RAROC!$N$12)</f>
        <v>3192690</v>
      </c>
      <c r="E197" s="745">
        <f t="shared" si="20"/>
        <v>0.56679999999999997</v>
      </c>
      <c r="F197" s="959">
        <f t="shared" ca="1" si="21"/>
        <v>1809.6166919999998</v>
      </c>
      <c r="G197" s="960">
        <f ca="1">[3]MMBTU!U220</f>
        <v>2095485.4047559449</v>
      </c>
      <c r="H197" s="745">
        <f t="shared" si="22"/>
        <v>6.4000000000000003E-3</v>
      </c>
      <c r="I197" s="959">
        <f t="shared" ca="1" si="23"/>
        <v>13.411106590438049</v>
      </c>
      <c r="J197" s="964">
        <f t="shared" ca="1" si="24"/>
        <v>1823.0277985904379</v>
      </c>
      <c r="K197" s="746">
        <f ca="1">VLOOKUP($A197,Curves_Table,Escalation!$O$291)</f>
        <v>1.6389834445299432</v>
      </c>
      <c r="L197" s="748">
        <f t="shared" ca="1" si="25"/>
        <v>2987.9123808075956</v>
      </c>
      <c r="M197" s="749" t="str">
        <f t="shared" ca="1" si="26"/>
        <v xml:space="preserve"> </v>
      </c>
    </row>
    <row r="198" spans="1:13">
      <c r="A198" s="743">
        <f t="shared" si="18"/>
        <v>42614</v>
      </c>
      <c r="C198" s="744">
        <f t="shared" si="19"/>
        <v>30</v>
      </c>
      <c r="D198" s="747">
        <f ca="1">(IF($A198&gt;Endyr,0,IF($A198&lt;Assm!$F$32,G198,Capacity*C198)))*(1+RAROC!$N$12)</f>
        <v>3089700</v>
      </c>
      <c r="E198" s="745">
        <f t="shared" si="20"/>
        <v>0.56679999999999997</v>
      </c>
      <c r="F198" s="959">
        <f t="shared" ca="1" si="21"/>
        <v>1751.2419600000001</v>
      </c>
      <c r="G198" s="960">
        <f ca="1">[3]MMBTU!U221</f>
        <v>2027889.1013767209</v>
      </c>
      <c r="H198" s="745">
        <f t="shared" si="22"/>
        <v>6.4000000000000003E-3</v>
      </c>
      <c r="I198" s="959">
        <f t="shared" ca="1" si="23"/>
        <v>12.978490248811015</v>
      </c>
      <c r="J198" s="964">
        <f t="shared" ca="1" si="24"/>
        <v>1764.2204502488112</v>
      </c>
      <c r="K198" s="746">
        <f ca="1">VLOOKUP($A198,Curves_Table,Escalation!$O$291)</f>
        <v>1.6389834445299432</v>
      </c>
      <c r="L198" s="748">
        <f t="shared" ca="1" si="25"/>
        <v>2891.528110458964</v>
      </c>
      <c r="M198" s="749" t="str">
        <f t="shared" ca="1" si="26"/>
        <v xml:space="preserve"> </v>
      </c>
    </row>
    <row r="199" spans="1:13">
      <c r="A199" s="743">
        <f t="shared" si="18"/>
        <v>42644</v>
      </c>
      <c r="C199" s="744">
        <f t="shared" si="19"/>
        <v>31</v>
      </c>
      <c r="D199" s="747">
        <f ca="1">(IF($A199&gt;Endyr,0,IF($A199&lt;Assm!$F$32,G199,Capacity*C199)))*(1+RAROC!$N$12)</f>
        <v>3192690</v>
      </c>
      <c r="E199" s="745">
        <f t="shared" si="20"/>
        <v>0.56679999999999997</v>
      </c>
      <c r="F199" s="959">
        <f t="shared" ca="1" si="21"/>
        <v>1809.6166919999998</v>
      </c>
      <c r="G199" s="960">
        <f ca="1">[3]MMBTU!U222</f>
        <v>2095485.4047559449</v>
      </c>
      <c r="H199" s="745">
        <f t="shared" si="22"/>
        <v>6.4000000000000003E-3</v>
      </c>
      <c r="I199" s="959">
        <f t="shared" ca="1" si="23"/>
        <v>13.411106590438049</v>
      </c>
      <c r="J199" s="964">
        <f t="shared" ca="1" si="24"/>
        <v>1823.0277985904379</v>
      </c>
      <c r="K199" s="746">
        <f ca="1">VLOOKUP($A199,Curves_Table,Escalation!$O$291)</f>
        <v>1.6389834445299432</v>
      </c>
      <c r="L199" s="748">
        <f t="shared" ca="1" si="25"/>
        <v>2987.9123808075956</v>
      </c>
      <c r="M199" s="749" t="str">
        <f t="shared" ca="1" si="26"/>
        <v xml:space="preserve"> </v>
      </c>
    </row>
    <row r="200" spans="1:13">
      <c r="A200" s="743">
        <f t="shared" si="18"/>
        <v>42675</v>
      </c>
      <c r="C200" s="744">
        <f t="shared" si="19"/>
        <v>30</v>
      </c>
      <c r="D200" s="747">
        <f ca="1">(IF($A200&gt;Endyr,0,IF($A200&lt;Assm!$F$32,G200,Capacity*C200)))*(1+RAROC!$N$12)</f>
        <v>3089700</v>
      </c>
      <c r="E200" s="745">
        <f t="shared" si="20"/>
        <v>0.56679999999999997</v>
      </c>
      <c r="F200" s="959">
        <f t="shared" ca="1" si="21"/>
        <v>1751.2419600000001</v>
      </c>
      <c r="G200" s="960">
        <f ca="1">[3]MMBTU!U223</f>
        <v>2027889.1013767209</v>
      </c>
      <c r="H200" s="745">
        <f t="shared" si="22"/>
        <v>6.4000000000000003E-3</v>
      </c>
      <c r="I200" s="959">
        <f t="shared" ca="1" si="23"/>
        <v>12.978490248811015</v>
      </c>
      <c r="J200" s="964">
        <f t="shared" ca="1" si="24"/>
        <v>1764.2204502488112</v>
      </c>
      <c r="K200" s="746">
        <f ca="1">VLOOKUP($A200,Curves_Table,Escalation!$O$291)</f>
        <v>1.6389834445299432</v>
      </c>
      <c r="L200" s="748">
        <f t="shared" ca="1" si="25"/>
        <v>2891.528110458964</v>
      </c>
      <c r="M200" s="749" t="str">
        <f t="shared" ca="1" si="26"/>
        <v xml:space="preserve"> </v>
      </c>
    </row>
    <row r="201" spans="1:13">
      <c r="A201" s="743">
        <f t="shared" si="18"/>
        <v>42705</v>
      </c>
      <c r="C201" s="744">
        <f t="shared" si="19"/>
        <v>31</v>
      </c>
      <c r="D201" s="747">
        <f ca="1">(IF($A201&gt;Endyr,0,IF($A201&lt;Assm!$F$32,G201,Capacity*C201)))*(1+RAROC!$N$12)</f>
        <v>3192690</v>
      </c>
      <c r="E201" s="745">
        <f t="shared" si="20"/>
        <v>0.56679999999999997</v>
      </c>
      <c r="F201" s="959">
        <f t="shared" ca="1" si="21"/>
        <v>1809.6166919999998</v>
      </c>
      <c r="G201" s="960">
        <f ca="1">[3]MMBTU!U224</f>
        <v>2095485.4047559449</v>
      </c>
      <c r="H201" s="745">
        <f t="shared" si="22"/>
        <v>6.4000000000000003E-3</v>
      </c>
      <c r="I201" s="959">
        <f t="shared" ca="1" si="23"/>
        <v>13.411106590438049</v>
      </c>
      <c r="J201" s="964">
        <f t="shared" ca="1" si="24"/>
        <v>1823.0277985904379</v>
      </c>
      <c r="K201" s="746">
        <f ca="1">VLOOKUP($A201,Curves_Table,Escalation!$O$291)</f>
        <v>1.6389834445299432</v>
      </c>
      <c r="L201" s="748">
        <f t="shared" ca="1" si="25"/>
        <v>2987.9123808075956</v>
      </c>
      <c r="M201" s="749">
        <f t="shared" ca="1" si="26"/>
        <v>34980.252818087909</v>
      </c>
    </row>
    <row r="202" spans="1:13">
      <c r="A202" s="743">
        <f t="shared" si="18"/>
        <v>42736</v>
      </c>
      <c r="C202" s="744">
        <f t="shared" si="19"/>
        <v>31</v>
      </c>
      <c r="D202" s="747">
        <f ca="1">(IF($A202&gt;Endyr,0,IF($A202&lt;Assm!$F$32,G202,Capacity*C202)))*(1+RAROC!$N$12)</f>
        <v>3192690</v>
      </c>
      <c r="E202" s="745">
        <f t="shared" si="20"/>
        <v>0.56679999999999997</v>
      </c>
      <c r="F202" s="959">
        <f t="shared" ca="1" si="21"/>
        <v>1809.6166919999998</v>
      </c>
      <c r="G202" s="960">
        <f ca="1">[3]MMBTU!U225</f>
        <v>2095485.4047559449</v>
      </c>
      <c r="H202" s="745">
        <f t="shared" si="22"/>
        <v>6.4000000000000003E-3</v>
      </c>
      <c r="I202" s="959">
        <f t="shared" ca="1" si="23"/>
        <v>13.411106590438049</v>
      </c>
      <c r="J202" s="964">
        <f t="shared" ca="1" si="24"/>
        <v>1823.0277985904379</v>
      </c>
      <c r="K202" s="746">
        <f ca="1">VLOOKUP($A202,Curves_Table,Escalation!$O$291)</f>
        <v>1.6389834445299432</v>
      </c>
      <c r="L202" s="748">
        <f t="shared" ca="1" si="25"/>
        <v>2987.9123808075956</v>
      </c>
      <c r="M202" s="749" t="str">
        <f t="shared" ca="1" si="26"/>
        <v xml:space="preserve"> </v>
      </c>
    </row>
    <row r="203" spans="1:13">
      <c r="A203" s="743">
        <f t="shared" si="18"/>
        <v>42767</v>
      </c>
      <c r="C203" s="744">
        <f t="shared" si="19"/>
        <v>28</v>
      </c>
      <c r="D203" s="747">
        <f ca="1">(IF($A203&gt;Endyr,0,IF($A203&lt;Assm!$F$32,G203,Capacity*C203)))*(1+RAROC!$N$12)</f>
        <v>2883720</v>
      </c>
      <c r="E203" s="745">
        <f t="shared" si="20"/>
        <v>0.56679999999999997</v>
      </c>
      <c r="F203" s="959">
        <f t="shared" ca="1" si="21"/>
        <v>1634.4924959999998</v>
      </c>
      <c r="G203" s="960">
        <f ca="1">[3]MMBTU!U226</f>
        <v>1892696.4946182731</v>
      </c>
      <c r="H203" s="745">
        <f t="shared" si="22"/>
        <v>6.4000000000000003E-3</v>
      </c>
      <c r="I203" s="959">
        <f t="shared" ca="1" si="23"/>
        <v>12.11325756555695</v>
      </c>
      <c r="J203" s="964">
        <f t="shared" ca="1" si="24"/>
        <v>1646.6057535655568</v>
      </c>
      <c r="K203" s="746">
        <f ca="1">VLOOKUP($A203,Curves_Table,Escalation!$O$291)</f>
        <v>1.6389834445299432</v>
      </c>
      <c r="L203" s="748">
        <f t="shared" ca="1" si="25"/>
        <v>2698.7595697616989</v>
      </c>
      <c r="M203" s="749" t="str">
        <f t="shared" ca="1" si="26"/>
        <v xml:space="preserve"> </v>
      </c>
    </row>
    <row r="204" spans="1:13">
      <c r="A204" s="743">
        <f t="shared" si="18"/>
        <v>42795</v>
      </c>
      <c r="C204" s="744">
        <f t="shared" si="19"/>
        <v>31</v>
      </c>
      <c r="D204" s="747">
        <f ca="1">(IF($A204&gt;Endyr,0,IF($A204&lt;Assm!$F$32,G204,Capacity*C204)))*(1+RAROC!$N$12)</f>
        <v>3192690</v>
      </c>
      <c r="E204" s="745">
        <f t="shared" si="20"/>
        <v>0.56679999999999997</v>
      </c>
      <c r="F204" s="959">
        <f t="shared" ca="1" si="21"/>
        <v>1809.6166919999998</v>
      </c>
      <c r="G204" s="960">
        <f ca="1">[3]MMBTU!U227</f>
        <v>2095485.4047559449</v>
      </c>
      <c r="H204" s="745">
        <f t="shared" si="22"/>
        <v>6.4000000000000003E-3</v>
      </c>
      <c r="I204" s="959">
        <f t="shared" ca="1" si="23"/>
        <v>13.411106590438049</v>
      </c>
      <c r="J204" s="964">
        <f t="shared" ca="1" si="24"/>
        <v>1823.0277985904379</v>
      </c>
      <c r="K204" s="746">
        <f ca="1">VLOOKUP($A204,Curves_Table,Escalation!$O$291)</f>
        <v>1.6389834445299432</v>
      </c>
      <c r="L204" s="748">
        <f t="shared" ca="1" si="25"/>
        <v>2987.9123808075956</v>
      </c>
      <c r="M204" s="749" t="str">
        <f t="shared" ca="1" si="26"/>
        <v xml:space="preserve"> </v>
      </c>
    </row>
    <row r="205" spans="1:13">
      <c r="A205" s="743">
        <f t="shared" ref="A205:A246" si="27">EDATE(A204,1)</f>
        <v>42826</v>
      </c>
      <c r="C205" s="744">
        <f t="shared" ref="C205:C245" si="28">A206-A205</f>
        <v>30</v>
      </c>
      <c r="D205" s="747">
        <f ca="1">(IF($A205&gt;Endyr,0,IF($A205&lt;Assm!$F$32,G205,Capacity*C205)))*(1+RAROC!$N$12)</f>
        <v>3089700</v>
      </c>
      <c r="E205" s="745">
        <f t="shared" ref="E205:E245" si="29">IF($A205&gt;Endyr,0,Tariff_Cap)</f>
        <v>0.56679999999999997</v>
      </c>
      <c r="F205" s="959">
        <f t="shared" ref="F205:F245" ca="1" si="30">D205*E205/1000</f>
        <v>1751.2419600000001</v>
      </c>
      <c r="G205" s="960">
        <f ca="1">[3]MMBTU!U228</f>
        <v>2027889.1013767209</v>
      </c>
      <c r="H205" s="745">
        <f t="shared" ref="H205:H245" si="31">IF($A205&gt;Endyr,0,Tariff_Var)</f>
        <v>6.4000000000000003E-3</v>
      </c>
      <c r="I205" s="959">
        <f t="shared" ref="I205:I245" ca="1" si="32">G205*H205/1000</f>
        <v>12.978490248811015</v>
      </c>
      <c r="J205" s="964">
        <f t="shared" ref="J205:J245" ca="1" si="33">SUM(F205,I205)</f>
        <v>1764.2204502488112</v>
      </c>
      <c r="K205" s="746">
        <f ca="1">VLOOKUP($A205,Curves_Table,Escalation!$O$291)</f>
        <v>1.6389834445299432</v>
      </c>
      <c r="L205" s="748">
        <f t="shared" ref="L205:L245" ca="1" si="34">J205*K205</f>
        <v>2891.528110458964</v>
      </c>
      <c r="M205" s="749" t="str">
        <f t="shared" ref="M205:M245" ca="1" si="35">IF(MONTH($A205)=12,SUM(L194:L205)," ")</f>
        <v xml:space="preserve"> </v>
      </c>
    </row>
    <row r="206" spans="1:13">
      <c r="A206" s="743">
        <f t="shared" si="27"/>
        <v>42856</v>
      </c>
      <c r="C206" s="744">
        <f t="shared" si="28"/>
        <v>31</v>
      </c>
      <c r="D206" s="747">
        <f ca="1">(IF($A206&gt;Endyr,0,IF($A206&lt;Assm!$F$32,G206,Capacity*C206)))*(1+RAROC!$N$12)</f>
        <v>3192690</v>
      </c>
      <c r="E206" s="745">
        <f t="shared" si="29"/>
        <v>0.56679999999999997</v>
      </c>
      <c r="F206" s="959">
        <f t="shared" ca="1" si="30"/>
        <v>1809.6166919999998</v>
      </c>
      <c r="G206" s="960">
        <f ca="1">[3]MMBTU!U229</f>
        <v>2095485.4047559449</v>
      </c>
      <c r="H206" s="745">
        <f t="shared" si="31"/>
        <v>6.4000000000000003E-3</v>
      </c>
      <c r="I206" s="959">
        <f t="shared" ca="1" si="32"/>
        <v>13.411106590438049</v>
      </c>
      <c r="J206" s="964">
        <f t="shared" ca="1" si="33"/>
        <v>1823.0277985904379</v>
      </c>
      <c r="K206" s="746">
        <f ca="1">VLOOKUP($A206,Curves_Table,Escalation!$O$291)</f>
        <v>1.6825466987361488</v>
      </c>
      <c r="L206" s="748">
        <f t="shared" ca="1" si="34"/>
        <v>3067.3294042225702</v>
      </c>
      <c r="M206" s="749" t="str">
        <f t="shared" ca="1" si="35"/>
        <v xml:space="preserve"> </v>
      </c>
    </row>
    <row r="207" spans="1:13">
      <c r="A207" s="743">
        <f t="shared" si="27"/>
        <v>42887</v>
      </c>
      <c r="C207" s="744">
        <f t="shared" si="28"/>
        <v>30</v>
      </c>
      <c r="D207" s="747">
        <f ca="1">(IF($A207&gt;Endyr,0,IF($A207&lt;Assm!$F$32,G207,Capacity*C207)))*(1+RAROC!$N$12)</f>
        <v>3089700</v>
      </c>
      <c r="E207" s="745">
        <f t="shared" si="29"/>
        <v>0.56679999999999997</v>
      </c>
      <c r="F207" s="959">
        <f t="shared" ca="1" si="30"/>
        <v>1751.2419600000001</v>
      </c>
      <c r="G207" s="960">
        <f ca="1">[3]MMBTU!U230</f>
        <v>2027889.1013767209</v>
      </c>
      <c r="H207" s="745">
        <f t="shared" si="31"/>
        <v>6.4000000000000003E-3</v>
      </c>
      <c r="I207" s="959">
        <f t="shared" ca="1" si="32"/>
        <v>12.978490248811015</v>
      </c>
      <c r="J207" s="964">
        <f t="shared" ca="1" si="33"/>
        <v>1764.2204502488112</v>
      </c>
      <c r="K207" s="746">
        <f ca="1">VLOOKUP($A207,Curves_Table,Escalation!$O$291)</f>
        <v>1.6825466987361488</v>
      </c>
      <c r="L207" s="748">
        <f t="shared" ca="1" si="34"/>
        <v>2968.3832944089395</v>
      </c>
      <c r="M207" s="749" t="str">
        <f t="shared" ca="1" si="35"/>
        <v xml:space="preserve"> </v>
      </c>
    </row>
    <row r="208" spans="1:13">
      <c r="A208" s="743">
        <f t="shared" si="27"/>
        <v>42917</v>
      </c>
      <c r="C208" s="744">
        <f t="shared" si="28"/>
        <v>31</v>
      </c>
      <c r="D208" s="747">
        <f ca="1">(IF($A208&gt;Endyr,0,IF($A208&lt;Assm!$F$32,G208,Capacity*C208)))*(1+RAROC!$N$12)</f>
        <v>3192690</v>
      </c>
      <c r="E208" s="745">
        <f t="shared" si="29"/>
        <v>0.56679999999999997</v>
      </c>
      <c r="F208" s="959">
        <f t="shared" ca="1" si="30"/>
        <v>1809.6166919999998</v>
      </c>
      <c r="G208" s="960">
        <f ca="1">[3]MMBTU!U231</f>
        <v>2095485.4047559449</v>
      </c>
      <c r="H208" s="745">
        <f t="shared" si="31"/>
        <v>6.4000000000000003E-3</v>
      </c>
      <c r="I208" s="959">
        <f t="shared" ca="1" si="32"/>
        <v>13.411106590438049</v>
      </c>
      <c r="J208" s="964">
        <f t="shared" ca="1" si="33"/>
        <v>1823.0277985904379</v>
      </c>
      <c r="K208" s="746">
        <f ca="1">VLOOKUP($A208,Curves_Table,Escalation!$O$291)</f>
        <v>1.6825466987361488</v>
      </c>
      <c r="L208" s="748">
        <f t="shared" ca="1" si="34"/>
        <v>3067.3294042225702</v>
      </c>
      <c r="M208" s="749" t="str">
        <f t="shared" ca="1" si="35"/>
        <v xml:space="preserve"> </v>
      </c>
    </row>
    <row r="209" spans="1:13">
      <c r="A209" s="743">
        <f t="shared" si="27"/>
        <v>42948</v>
      </c>
      <c r="C209" s="744">
        <f t="shared" si="28"/>
        <v>31</v>
      </c>
      <c r="D209" s="747">
        <f ca="1">(IF($A209&gt;Endyr,0,IF($A209&lt;Assm!$F$32,G209,Capacity*C209)))*(1+RAROC!$N$12)</f>
        <v>3192690</v>
      </c>
      <c r="E209" s="745">
        <f t="shared" si="29"/>
        <v>0.56679999999999997</v>
      </c>
      <c r="F209" s="959">
        <f t="shared" ca="1" si="30"/>
        <v>1809.6166919999998</v>
      </c>
      <c r="G209" s="960">
        <f ca="1">[3]MMBTU!U232</f>
        <v>2095485.4047559449</v>
      </c>
      <c r="H209" s="745">
        <f t="shared" si="31"/>
        <v>6.4000000000000003E-3</v>
      </c>
      <c r="I209" s="959">
        <f t="shared" ca="1" si="32"/>
        <v>13.411106590438049</v>
      </c>
      <c r="J209" s="964">
        <f t="shared" ca="1" si="33"/>
        <v>1823.0277985904379</v>
      </c>
      <c r="K209" s="746">
        <f ca="1">VLOOKUP($A209,Curves_Table,Escalation!$O$291)</f>
        <v>1.6825466987361488</v>
      </c>
      <c r="L209" s="748">
        <f t="shared" ca="1" si="34"/>
        <v>3067.3294042225702</v>
      </c>
      <c r="M209" s="749" t="str">
        <f t="shared" ca="1" si="35"/>
        <v xml:space="preserve"> </v>
      </c>
    </row>
    <row r="210" spans="1:13">
      <c r="A210" s="743">
        <f t="shared" si="27"/>
        <v>42979</v>
      </c>
      <c r="C210" s="744">
        <f t="shared" si="28"/>
        <v>30</v>
      </c>
      <c r="D210" s="747">
        <f ca="1">(IF($A210&gt;Endyr,0,IF($A210&lt;Assm!$F$32,G210,Capacity*C210)))*(1+RAROC!$N$12)</f>
        <v>3089700</v>
      </c>
      <c r="E210" s="745">
        <f t="shared" si="29"/>
        <v>0.56679999999999997</v>
      </c>
      <c r="F210" s="959">
        <f t="shared" ca="1" si="30"/>
        <v>1751.2419600000001</v>
      </c>
      <c r="G210" s="960">
        <f ca="1">[3]MMBTU!U233</f>
        <v>2027889.1013767209</v>
      </c>
      <c r="H210" s="745">
        <f t="shared" si="31"/>
        <v>6.4000000000000003E-3</v>
      </c>
      <c r="I210" s="959">
        <f t="shared" ca="1" si="32"/>
        <v>12.978490248811015</v>
      </c>
      <c r="J210" s="964">
        <f t="shared" ca="1" si="33"/>
        <v>1764.2204502488112</v>
      </c>
      <c r="K210" s="746">
        <f ca="1">VLOOKUP($A210,Curves_Table,Escalation!$O$291)</f>
        <v>1.6825466987361488</v>
      </c>
      <c r="L210" s="748">
        <f t="shared" ca="1" si="34"/>
        <v>2968.3832944089395</v>
      </c>
      <c r="M210" s="749" t="str">
        <f t="shared" ca="1" si="35"/>
        <v xml:space="preserve"> </v>
      </c>
    </row>
    <row r="211" spans="1:13">
      <c r="A211" s="743">
        <f t="shared" si="27"/>
        <v>43009</v>
      </c>
      <c r="C211" s="744">
        <f t="shared" si="28"/>
        <v>31</v>
      </c>
      <c r="D211" s="747">
        <f ca="1">(IF($A211&gt;Endyr,0,IF($A211&lt;Assm!$F$32,G211,Capacity*C211)))*(1+RAROC!$N$12)</f>
        <v>3192690</v>
      </c>
      <c r="E211" s="745">
        <f t="shared" si="29"/>
        <v>0.56679999999999997</v>
      </c>
      <c r="F211" s="959">
        <f t="shared" ca="1" si="30"/>
        <v>1809.6166919999998</v>
      </c>
      <c r="G211" s="960">
        <f ca="1">[3]MMBTU!U234</f>
        <v>2095485.4047559449</v>
      </c>
      <c r="H211" s="745">
        <f t="shared" si="31"/>
        <v>6.4000000000000003E-3</v>
      </c>
      <c r="I211" s="959">
        <f t="shared" ca="1" si="32"/>
        <v>13.411106590438049</v>
      </c>
      <c r="J211" s="964">
        <f t="shared" ca="1" si="33"/>
        <v>1823.0277985904379</v>
      </c>
      <c r="K211" s="746">
        <f ca="1">VLOOKUP($A211,Curves_Table,Escalation!$O$291)</f>
        <v>1.6825466987361488</v>
      </c>
      <c r="L211" s="748">
        <f t="shared" ca="1" si="34"/>
        <v>3067.3294042225702</v>
      </c>
      <c r="M211" s="749" t="str">
        <f t="shared" ca="1" si="35"/>
        <v xml:space="preserve"> </v>
      </c>
    </row>
    <row r="212" spans="1:13">
      <c r="A212" s="743">
        <f t="shared" si="27"/>
        <v>43040</v>
      </c>
      <c r="C212" s="744">
        <f t="shared" si="28"/>
        <v>30</v>
      </c>
      <c r="D212" s="747">
        <f ca="1">(IF($A212&gt;Endyr,0,IF($A212&lt;Assm!$F$32,G212,Capacity*C212)))*(1+RAROC!$N$12)</f>
        <v>3089700</v>
      </c>
      <c r="E212" s="745">
        <f t="shared" si="29"/>
        <v>0.56679999999999997</v>
      </c>
      <c r="F212" s="959">
        <f t="shared" ca="1" si="30"/>
        <v>1751.2419600000001</v>
      </c>
      <c r="G212" s="960">
        <f ca="1">[3]MMBTU!U235</f>
        <v>2027889.1013767209</v>
      </c>
      <c r="H212" s="745">
        <f t="shared" si="31"/>
        <v>6.4000000000000003E-3</v>
      </c>
      <c r="I212" s="959">
        <f t="shared" ca="1" si="32"/>
        <v>12.978490248811015</v>
      </c>
      <c r="J212" s="964">
        <f t="shared" ca="1" si="33"/>
        <v>1764.2204502488112</v>
      </c>
      <c r="K212" s="746">
        <f ca="1">VLOOKUP($A212,Curves_Table,Escalation!$O$291)</f>
        <v>1.6825466987361488</v>
      </c>
      <c r="L212" s="748">
        <f t="shared" ca="1" si="34"/>
        <v>2968.3832944089395</v>
      </c>
      <c r="M212" s="749" t="str">
        <f t="shared" ca="1" si="35"/>
        <v xml:space="preserve"> </v>
      </c>
    </row>
    <row r="213" spans="1:13">
      <c r="A213" s="743">
        <f t="shared" si="27"/>
        <v>43070</v>
      </c>
      <c r="C213" s="744">
        <f t="shared" si="28"/>
        <v>31</v>
      </c>
      <c r="D213" s="747">
        <f ca="1">(IF($A213&gt;Endyr,0,IF($A213&lt;Assm!$F$32,G213,Capacity*C213)))*(1+RAROC!$N$12)</f>
        <v>3192690</v>
      </c>
      <c r="E213" s="745">
        <f t="shared" si="29"/>
        <v>0.56679999999999997</v>
      </c>
      <c r="F213" s="959">
        <f t="shared" ca="1" si="30"/>
        <v>1809.6166919999998</v>
      </c>
      <c r="G213" s="960">
        <f ca="1">[3]MMBTU!U236</f>
        <v>2095485.4047559449</v>
      </c>
      <c r="H213" s="745">
        <f t="shared" si="31"/>
        <v>6.4000000000000003E-3</v>
      </c>
      <c r="I213" s="959">
        <f t="shared" ca="1" si="32"/>
        <v>13.411106590438049</v>
      </c>
      <c r="J213" s="964">
        <f t="shared" ca="1" si="33"/>
        <v>1823.0277985904379</v>
      </c>
      <c r="K213" s="746">
        <f ca="1">VLOOKUP($A213,Curves_Table,Escalation!$O$291)</f>
        <v>1.6825466987361488</v>
      </c>
      <c r="L213" s="748">
        <f t="shared" ca="1" si="34"/>
        <v>3067.3294042225702</v>
      </c>
      <c r="M213" s="749">
        <f t="shared" ca="1" si="35"/>
        <v>35807.909346175526</v>
      </c>
    </row>
    <row r="214" spans="1:13">
      <c r="A214" s="743">
        <f t="shared" si="27"/>
        <v>43101</v>
      </c>
      <c r="C214" s="744">
        <f t="shared" si="28"/>
        <v>31</v>
      </c>
      <c r="D214" s="747">
        <f ca="1">(IF($A214&gt;Endyr,0,IF($A214&lt;Assm!$F$32,G214,Capacity*C214)))*(1+RAROC!$N$12)</f>
        <v>3192690</v>
      </c>
      <c r="E214" s="745">
        <f t="shared" si="29"/>
        <v>0.56679999999999997</v>
      </c>
      <c r="F214" s="959">
        <f t="shared" ca="1" si="30"/>
        <v>1809.6166919999998</v>
      </c>
      <c r="G214" s="960">
        <f ca="1">[3]MMBTU!U237</f>
        <v>2095485.4047559449</v>
      </c>
      <c r="H214" s="745">
        <f t="shared" si="31"/>
        <v>6.4000000000000003E-3</v>
      </c>
      <c r="I214" s="959">
        <f t="shared" ca="1" si="32"/>
        <v>13.411106590438049</v>
      </c>
      <c r="J214" s="964">
        <f t="shared" ca="1" si="33"/>
        <v>1823.0277985904379</v>
      </c>
      <c r="K214" s="746">
        <f ca="1">VLOOKUP($A214,Curves_Table,Escalation!$O$291)</f>
        <v>1.6825466987361488</v>
      </c>
      <c r="L214" s="748">
        <f t="shared" ca="1" si="34"/>
        <v>3067.3294042225702</v>
      </c>
      <c r="M214" s="749" t="str">
        <f t="shared" ca="1" si="35"/>
        <v xml:space="preserve"> </v>
      </c>
    </row>
    <row r="215" spans="1:13">
      <c r="A215" s="743">
        <f t="shared" si="27"/>
        <v>43132</v>
      </c>
      <c r="C215" s="744">
        <f t="shared" si="28"/>
        <v>28</v>
      </c>
      <c r="D215" s="747">
        <f ca="1">(IF($A215&gt;Endyr,0,IF($A215&lt;Assm!$F$32,G215,Capacity*C215)))*(1+RAROC!$N$12)</f>
        <v>2883720</v>
      </c>
      <c r="E215" s="745">
        <f t="shared" si="29"/>
        <v>0.56679999999999997</v>
      </c>
      <c r="F215" s="959">
        <f t="shared" ca="1" si="30"/>
        <v>1634.4924959999998</v>
      </c>
      <c r="G215" s="960">
        <f ca="1">[3]MMBTU!U238</f>
        <v>1892696.4946182731</v>
      </c>
      <c r="H215" s="745">
        <f t="shared" si="31"/>
        <v>6.4000000000000003E-3</v>
      </c>
      <c r="I215" s="959">
        <f t="shared" ca="1" si="32"/>
        <v>12.11325756555695</v>
      </c>
      <c r="J215" s="964">
        <f t="shared" ca="1" si="33"/>
        <v>1646.6057535655568</v>
      </c>
      <c r="K215" s="746">
        <f ca="1">VLOOKUP($A215,Curves_Table,Escalation!$O$291)</f>
        <v>1.6825466987361488</v>
      </c>
      <c r="L215" s="748">
        <f t="shared" ca="1" si="34"/>
        <v>2770.4910747816762</v>
      </c>
      <c r="M215" s="749" t="str">
        <f t="shared" ca="1" si="35"/>
        <v xml:space="preserve"> </v>
      </c>
    </row>
    <row r="216" spans="1:13">
      <c r="A216" s="743">
        <f t="shared" si="27"/>
        <v>43160</v>
      </c>
      <c r="C216" s="744">
        <f t="shared" si="28"/>
        <v>31</v>
      </c>
      <c r="D216" s="747">
        <f ca="1">(IF($A216&gt;Endyr,0,IF($A216&lt;Assm!$F$32,G216,Capacity*C216)))*(1+RAROC!$N$12)</f>
        <v>3192690</v>
      </c>
      <c r="E216" s="745">
        <f t="shared" si="29"/>
        <v>0.56679999999999997</v>
      </c>
      <c r="F216" s="959">
        <f t="shared" ca="1" si="30"/>
        <v>1809.6166919999998</v>
      </c>
      <c r="G216" s="960">
        <f ca="1">[3]MMBTU!U239</f>
        <v>2095485.4047559449</v>
      </c>
      <c r="H216" s="745">
        <f t="shared" si="31"/>
        <v>6.4000000000000003E-3</v>
      </c>
      <c r="I216" s="959">
        <f t="shared" ca="1" si="32"/>
        <v>13.411106590438049</v>
      </c>
      <c r="J216" s="964">
        <f t="shared" ca="1" si="33"/>
        <v>1823.0277985904379</v>
      </c>
      <c r="K216" s="746">
        <f ca="1">VLOOKUP($A216,Curves_Table,Escalation!$O$291)</f>
        <v>1.6825466987361488</v>
      </c>
      <c r="L216" s="748">
        <f t="shared" ca="1" si="34"/>
        <v>3067.3294042225702</v>
      </c>
      <c r="M216" s="749" t="str">
        <f t="shared" ca="1" si="35"/>
        <v xml:space="preserve"> </v>
      </c>
    </row>
    <row r="217" spans="1:13">
      <c r="A217" s="743">
        <f t="shared" si="27"/>
        <v>43191</v>
      </c>
      <c r="C217" s="744">
        <f t="shared" si="28"/>
        <v>30</v>
      </c>
      <c r="D217" s="747">
        <f ca="1">(IF($A217&gt;Endyr,0,IF($A217&lt;Assm!$F$32,G217,Capacity*C217)))*(1+RAROC!$N$12)</f>
        <v>3089700</v>
      </c>
      <c r="E217" s="745">
        <f t="shared" si="29"/>
        <v>0.56679999999999997</v>
      </c>
      <c r="F217" s="959">
        <f t="shared" ca="1" si="30"/>
        <v>1751.2419600000001</v>
      </c>
      <c r="G217" s="960">
        <f ca="1">[3]MMBTU!U240</f>
        <v>2027889.1013767209</v>
      </c>
      <c r="H217" s="745">
        <f t="shared" si="31"/>
        <v>6.4000000000000003E-3</v>
      </c>
      <c r="I217" s="959">
        <f t="shared" ca="1" si="32"/>
        <v>12.978490248811015</v>
      </c>
      <c r="J217" s="964">
        <f t="shared" ca="1" si="33"/>
        <v>1764.2204502488112</v>
      </c>
      <c r="K217" s="746">
        <f ca="1">VLOOKUP($A217,Curves_Table,Escalation!$O$291)</f>
        <v>1.6825466987361488</v>
      </c>
      <c r="L217" s="748">
        <f t="shared" ca="1" si="34"/>
        <v>2968.3832944089395</v>
      </c>
      <c r="M217" s="749" t="str">
        <f t="shared" ca="1" si="35"/>
        <v xml:space="preserve"> </v>
      </c>
    </row>
    <row r="218" spans="1:13">
      <c r="A218" s="743">
        <f t="shared" si="27"/>
        <v>43221</v>
      </c>
      <c r="C218" s="744">
        <f t="shared" si="28"/>
        <v>31</v>
      </c>
      <c r="D218" s="747">
        <f ca="1">(IF($A218&gt;Endyr,0,IF($A218&lt;Assm!$F$32,G218,Capacity*C218)))*(1+RAROC!$N$12)</f>
        <v>3192690</v>
      </c>
      <c r="E218" s="745">
        <f t="shared" si="29"/>
        <v>0.56679999999999997</v>
      </c>
      <c r="F218" s="959">
        <f t="shared" ca="1" si="30"/>
        <v>1809.6166919999998</v>
      </c>
      <c r="G218" s="960">
        <f ca="1">[3]MMBTU!U241</f>
        <v>2095485.4047559449</v>
      </c>
      <c r="H218" s="745">
        <f t="shared" si="31"/>
        <v>6.4000000000000003E-3</v>
      </c>
      <c r="I218" s="959">
        <f t="shared" ca="1" si="32"/>
        <v>13.411106590438049</v>
      </c>
      <c r="J218" s="964">
        <f t="shared" ca="1" si="33"/>
        <v>1823.0277985904379</v>
      </c>
      <c r="K218" s="746">
        <f ca="1">VLOOKUP($A218,Curves_Table,Escalation!$O$291)</f>
        <v>1.7280133273368676</v>
      </c>
      <c r="L218" s="748">
        <f t="shared" ca="1" si="34"/>
        <v>3150.2163320698673</v>
      </c>
      <c r="M218" s="749" t="str">
        <f t="shared" ca="1" si="35"/>
        <v xml:space="preserve"> </v>
      </c>
    </row>
    <row r="219" spans="1:13">
      <c r="A219" s="743">
        <f t="shared" si="27"/>
        <v>43252</v>
      </c>
      <c r="C219" s="744">
        <f t="shared" si="28"/>
        <v>30</v>
      </c>
      <c r="D219" s="747">
        <f ca="1">(IF($A219&gt;Endyr,0,IF($A219&lt;Assm!$F$32,G219,Capacity*C219)))*(1+RAROC!$N$12)</f>
        <v>3089700</v>
      </c>
      <c r="E219" s="745">
        <f t="shared" si="29"/>
        <v>0.56679999999999997</v>
      </c>
      <c r="F219" s="959">
        <f t="shared" ca="1" si="30"/>
        <v>1751.2419600000001</v>
      </c>
      <c r="G219" s="960">
        <f ca="1">[3]MMBTU!U242</f>
        <v>2027889.1013767209</v>
      </c>
      <c r="H219" s="745">
        <f t="shared" si="31"/>
        <v>6.4000000000000003E-3</v>
      </c>
      <c r="I219" s="959">
        <f t="shared" ca="1" si="32"/>
        <v>12.978490248811015</v>
      </c>
      <c r="J219" s="964">
        <f t="shared" ca="1" si="33"/>
        <v>1764.2204502488112</v>
      </c>
      <c r="K219" s="746">
        <f ca="1">VLOOKUP($A219,Curves_Table,Escalation!$O$291)</f>
        <v>1.7280133273368676</v>
      </c>
      <c r="L219" s="748">
        <f t="shared" ca="1" si="34"/>
        <v>3048.5964503901951</v>
      </c>
      <c r="M219" s="749" t="str">
        <f t="shared" ca="1" si="35"/>
        <v xml:space="preserve"> </v>
      </c>
    </row>
    <row r="220" spans="1:13">
      <c r="A220" s="743">
        <f t="shared" si="27"/>
        <v>43282</v>
      </c>
      <c r="C220" s="744">
        <f t="shared" si="28"/>
        <v>31</v>
      </c>
      <c r="D220" s="747">
        <f ca="1">(IF($A220&gt;Endyr,0,IF($A220&lt;Assm!$F$32,G220,Capacity*C220)))*(1+RAROC!$N$12)</f>
        <v>3192690</v>
      </c>
      <c r="E220" s="745">
        <f t="shared" si="29"/>
        <v>0.56679999999999997</v>
      </c>
      <c r="F220" s="959">
        <f t="shared" ca="1" si="30"/>
        <v>1809.6166919999998</v>
      </c>
      <c r="G220" s="960">
        <f ca="1">[3]MMBTU!U243</f>
        <v>2095485.4047559449</v>
      </c>
      <c r="H220" s="745">
        <f t="shared" si="31"/>
        <v>6.4000000000000003E-3</v>
      </c>
      <c r="I220" s="959">
        <f t="shared" ca="1" si="32"/>
        <v>13.411106590438049</v>
      </c>
      <c r="J220" s="964">
        <f t="shared" ca="1" si="33"/>
        <v>1823.0277985904379</v>
      </c>
      <c r="K220" s="746">
        <f ca="1">VLOOKUP($A220,Curves_Table,Escalation!$O$291)</f>
        <v>1.7280133273368676</v>
      </c>
      <c r="L220" s="748">
        <f t="shared" ca="1" si="34"/>
        <v>3150.2163320698673</v>
      </c>
      <c r="M220" s="749" t="str">
        <f t="shared" ca="1" si="35"/>
        <v xml:space="preserve"> </v>
      </c>
    </row>
    <row r="221" spans="1:13">
      <c r="A221" s="743">
        <f t="shared" si="27"/>
        <v>43313</v>
      </c>
      <c r="C221" s="744">
        <f t="shared" si="28"/>
        <v>31</v>
      </c>
      <c r="D221" s="747">
        <f ca="1">(IF($A221&gt;Endyr,0,IF($A221&lt;Assm!$F$32,G221,Capacity*C221)))*(1+RAROC!$N$12)</f>
        <v>3192690</v>
      </c>
      <c r="E221" s="745">
        <f t="shared" si="29"/>
        <v>0.56679999999999997</v>
      </c>
      <c r="F221" s="959">
        <f t="shared" ca="1" si="30"/>
        <v>1809.6166919999998</v>
      </c>
      <c r="G221" s="960">
        <f ca="1">[3]MMBTU!U244</f>
        <v>2095485.4047559449</v>
      </c>
      <c r="H221" s="745">
        <f t="shared" si="31"/>
        <v>6.4000000000000003E-3</v>
      </c>
      <c r="I221" s="959">
        <f t="shared" ca="1" si="32"/>
        <v>13.411106590438049</v>
      </c>
      <c r="J221" s="964">
        <f t="shared" ca="1" si="33"/>
        <v>1823.0277985904379</v>
      </c>
      <c r="K221" s="746">
        <f ca="1">VLOOKUP($A221,Curves_Table,Escalation!$O$291)</f>
        <v>1.7280133273368676</v>
      </c>
      <c r="L221" s="748">
        <f t="shared" ca="1" si="34"/>
        <v>3150.2163320698673</v>
      </c>
      <c r="M221" s="749" t="str">
        <f t="shared" ca="1" si="35"/>
        <v xml:space="preserve"> </v>
      </c>
    </row>
    <row r="222" spans="1:13">
      <c r="A222" s="743">
        <f t="shared" si="27"/>
        <v>43344</v>
      </c>
      <c r="C222" s="744">
        <f t="shared" si="28"/>
        <v>30</v>
      </c>
      <c r="D222" s="747">
        <f ca="1">(IF($A222&gt;Endyr,0,IF($A222&lt;Assm!$F$32,G222,Capacity*C222)))*(1+RAROC!$N$12)</f>
        <v>3089700</v>
      </c>
      <c r="E222" s="745">
        <f t="shared" si="29"/>
        <v>0.56679999999999997</v>
      </c>
      <c r="F222" s="959">
        <f t="shared" ca="1" si="30"/>
        <v>1751.2419600000001</v>
      </c>
      <c r="G222" s="960">
        <f ca="1">[3]MMBTU!U245</f>
        <v>2027889.1013767209</v>
      </c>
      <c r="H222" s="745">
        <f t="shared" si="31"/>
        <v>6.4000000000000003E-3</v>
      </c>
      <c r="I222" s="959">
        <f t="shared" ca="1" si="32"/>
        <v>12.978490248811015</v>
      </c>
      <c r="J222" s="964">
        <f t="shared" ca="1" si="33"/>
        <v>1764.2204502488112</v>
      </c>
      <c r="K222" s="746">
        <f ca="1">VLOOKUP($A222,Curves_Table,Escalation!$O$291)</f>
        <v>1.7280133273368676</v>
      </c>
      <c r="L222" s="748">
        <f t="shared" ca="1" si="34"/>
        <v>3048.5964503901951</v>
      </c>
      <c r="M222" s="749" t="str">
        <f t="shared" ca="1" si="35"/>
        <v xml:space="preserve"> </v>
      </c>
    </row>
    <row r="223" spans="1:13">
      <c r="A223" s="743">
        <f t="shared" si="27"/>
        <v>43374</v>
      </c>
      <c r="C223" s="744">
        <f t="shared" si="28"/>
        <v>31</v>
      </c>
      <c r="D223" s="747">
        <f ca="1">(IF($A223&gt;Endyr,0,IF($A223&lt;Assm!$F$32,G223,Capacity*C223)))*(1+RAROC!$N$12)</f>
        <v>3192690</v>
      </c>
      <c r="E223" s="745">
        <f t="shared" si="29"/>
        <v>0.56679999999999997</v>
      </c>
      <c r="F223" s="959">
        <f t="shared" ca="1" si="30"/>
        <v>1809.6166919999998</v>
      </c>
      <c r="G223" s="960">
        <f ca="1">[3]MMBTU!U246</f>
        <v>2095485.4047559449</v>
      </c>
      <c r="H223" s="745">
        <f t="shared" si="31"/>
        <v>6.4000000000000003E-3</v>
      </c>
      <c r="I223" s="959">
        <f t="shared" ca="1" si="32"/>
        <v>13.411106590438049</v>
      </c>
      <c r="J223" s="964">
        <f t="shared" ca="1" si="33"/>
        <v>1823.0277985904379</v>
      </c>
      <c r="K223" s="746">
        <f ca="1">VLOOKUP($A223,Curves_Table,Escalation!$O$291)</f>
        <v>1.7280133273368676</v>
      </c>
      <c r="L223" s="748">
        <f t="shared" ca="1" si="34"/>
        <v>3150.2163320698673</v>
      </c>
      <c r="M223" s="749" t="str">
        <f t="shared" ca="1" si="35"/>
        <v xml:space="preserve"> </v>
      </c>
    </row>
    <row r="224" spans="1:13">
      <c r="A224" s="743">
        <f t="shared" si="27"/>
        <v>43405</v>
      </c>
      <c r="C224" s="744">
        <f t="shared" si="28"/>
        <v>30</v>
      </c>
      <c r="D224" s="747">
        <f ca="1">(IF($A224&gt;Endyr,0,IF($A224&lt;Assm!$F$32,G224,Capacity*C224)))*(1+RAROC!$N$12)</f>
        <v>3089700</v>
      </c>
      <c r="E224" s="745">
        <f t="shared" si="29"/>
        <v>0.56679999999999997</v>
      </c>
      <c r="F224" s="959">
        <f t="shared" ca="1" si="30"/>
        <v>1751.2419600000001</v>
      </c>
      <c r="G224" s="960">
        <f ca="1">[3]MMBTU!U247</f>
        <v>2027889.1013767209</v>
      </c>
      <c r="H224" s="745">
        <f t="shared" si="31"/>
        <v>6.4000000000000003E-3</v>
      </c>
      <c r="I224" s="959">
        <f t="shared" ca="1" si="32"/>
        <v>12.978490248811015</v>
      </c>
      <c r="J224" s="964">
        <f t="shared" ca="1" si="33"/>
        <v>1764.2204502488112</v>
      </c>
      <c r="K224" s="746">
        <f ca="1">VLOOKUP($A224,Curves_Table,Escalation!$O$291)</f>
        <v>1.7280133273368676</v>
      </c>
      <c r="L224" s="748">
        <f t="shared" ca="1" si="34"/>
        <v>3048.5964503901951</v>
      </c>
      <c r="M224" s="749" t="str">
        <f t="shared" ca="1" si="35"/>
        <v xml:space="preserve"> </v>
      </c>
    </row>
    <row r="225" spans="1:13">
      <c r="A225" s="743">
        <f t="shared" si="27"/>
        <v>43435</v>
      </c>
      <c r="C225" s="744">
        <f t="shared" si="28"/>
        <v>31</v>
      </c>
      <c r="D225" s="747">
        <f ca="1">(IF($A225&gt;Endyr,0,IF($A225&lt;Assm!$F$32,G225,Capacity*C225)))*(1+RAROC!$N$12)</f>
        <v>3192690</v>
      </c>
      <c r="E225" s="745">
        <f t="shared" si="29"/>
        <v>0.56679999999999997</v>
      </c>
      <c r="F225" s="959">
        <f t="shared" ca="1" si="30"/>
        <v>1809.6166919999998</v>
      </c>
      <c r="G225" s="960">
        <f ca="1">[3]MMBTU!U248</f>
        <v>2095485.4047559449</v>
      </c>
      <c r="H225" s="745">
        <f t="shared" si="31"/>
        <v>6.4000000000000003E-3</v>
      </c>
      <c r="I225" s="959">
        <f t="shared" ca="1" si="32"/>
        <v>13.411106590438049</v>
      </c>
      <c r="J225" s="964">
        <f t="shared" ca="1" si="33"/>
        <v>1823.0277985904379</v>
      </c>
      <c r="K225" s="746">
        <f ca="1">VLOOKUP($A225,Curves_Table,Escalation!$O$291)</f>
        <v>1.7280133273368676</v>
      </c>
      <c r="L225" s="748">
        <f t="shared" ca="1" si="34"/>
        <v>3150.2163320698673</v>
      </c>
      <c r="M225" s="749">
        <f t="shared" ca="1" si="35"/>
        <v>36770.404189155677</v>
      </c>
    </row>
    <row r="226" spans="1:13">
      <c r="A226" s="743">
        <f t="shared" si="27"/>
        <v>43466</v>
      </c>
      <c r="C226" s="744">
        <f t="shared" si="28"/>
        <v>31</v>
      </c>
      <c r="D226" s="747">
        <f ca="1">(IF($A226&gt;Endyr,0,IF($A226&lt;Assm!$F$32,G226,Capacity*C226)))*(1+RAROC!$N$12)</f>
        <v>3192690</v>
      </c>
      <c r="E226" s="745">
        <f t="shared" si="29"/>
        <v>0.56679999999999997</v>
      </c>
      <c r="F226" s="959">
        <f t="shared" ca="1" si="30"/>
        <v>1809.6166919999998</v>
      </c>
      <c r="G226" s="960">
        <f ca="1">[3]MMBTU!U249</f>
        <v>2095485.4047559449</v>
      </c>
      <c r="H226" s="745">
        <f t="shared" si="31"/>
        <v>6.4000000000000003E-3</v>
      </c>
      <c r="I226" s="959">
        <f t="shared" ca="1" si="32"/>
        <v>13.411106590438049</v>
      </c>
      <c r="J226" s="964">
        <f t="shared" ca="1" si="33"/>
        <v>1823.0277985904379</v>
      </c>
      <c r="K226" s="746">
        <f ca="1">VLOOKUP($A226,Curves_Table,Escalation!$O$291)</f>
        <v>1.7280133273368676</v>
      </c>
      <c r="L226" s="748">
        <f t="shared" ca="1" si="34"/>
        <v>3150.2163320698673</v>
      </c>
      <c r="M226" s="749" t="str">
        <f t="shared" ca="1" si="35"/>
        <v xml:space="preserve"> </v>
      </c>
    </row>
    <row r="227" spans="1:13">
      <c r="A227" s="743">
        <f t="shared" si="27"/>
        <v>43497</v>
      </c>
      <c r="C227" s="744">
        <f t="shared" si="28"/>
        <v>28</v>
      </c>
      <c r="D227" s="747">
        <f ca="1">(IF($A227&gt;Endyr,0,IF($A227&lt;Assm!$F$32,G227,Capacity*C227)))*(1+RAROC!$N$12)</f>
        <v>2883720</v>
      </c>
      <c r="E227" s="745">
        <f t="shared" si="29"/>
        <v>0.56679999999999997</v>
      </c>
      <c r="F227" s="959">
        <f t="shared" ca="1" si="30"/>
        <v>1634.4924959999998</v>
      </c>
      <c r="G227" s="960">
        <f ca="1">[3]MMBTU!U250</f>
        <v>1892696.4946182731</v>
      </c>
      <c r="H227" s="745">
        <f t="shared" si="31"/>
        <v>6.4000000000000003E-3</v>
      </c>
      <c r="I227" s="959">
        <f t="shared" ca="1" si="32"/>
        <v>12.11325756555695</v>
      </c>
      <c r="J227" s="964">
        <f t="shared" ca="1" si="33"/>
        <v>1646.6057535655568</v>
      </c>
      <c r="K227" s="746">
        <f ca="1">VLOOKUP($A227,Curves_Table,Escalation!$O$291)</f>
        <v>1.7280133273368676</v>
      </c>
      <c r="L227" s="748">
        <f t="shared" ca="1" si="34"/>
        <v>2845.3566870308482</v>
      </c>
      <c r="M227" s="749" t="str">
        <f t="shared" ca="1" si="35"/>
        <v xml:space="preserve"> </v>
      </c>
    </row>
    <row r="228" spans="1:13">
      <c r="A228" s="743">
        <f t="shared" si="27"/>
        <v>43525</v>
      </c>
      <c r="C228" s="744">
        <f t="shared" si="28"/>
        <v>31</v>
      </c>
      <c r="D228" s="747">
        <f ca="1">(IF($A228&gt;Endyr,0,IF($A228&lt;Assm!$F$32,G228,Capacity*C228)))*(1+RAROC!$N$12)</f>
        <v>3192690</v>
      </c>
      <c r="E228" s="745">
        <f t="shared" si="29"/>
        <v>0.56679999999999997</v>
      </c>
      <c r="F228" s="959">
        <f t="shared" ca="1" si="30"/>
        <v>1809.6166919999998</v>
      </c>
      <c r="G228" s="960">
        <f ca="1">[3]MMBTU!U251</f>
        <v>2095485.4047559449</v>
      </c>
      <c r="H228" s="745">
        <f t="shared" si="31"/>
        <v>6.4000000000000003E-3</v>
      </c>
      <c r="I228" s="959">
        <f t="shared" ca="1" si="32"/>
        <v>13.411106590438049</v>
      </c>
      <c r="J228" s="964">
        <f t="shared" ca="1" si="33"/>
        <v>1823.0277985904379</v>
      </c>
      <c r="K228" s="746">
        <f ca="1">VLOOKUP($A228,Curves_Table,Escalation!$O$291)</f>
        <v>1.7280133273368676</v>
      </c>
      <c r="L228" s="748">
        <f t="shared" ca="1" si="34"/>
        <v>3150.2163320698673</v>
      </c>
      <c r="M228" s="749" t="str">
        <f t="shared" ca="1" si="35"/>
        <v xml:space="preserve"> </v>
      </c>
    </row>
    <row r="229" spans="1:13">
      <c r="A229" s="743">
        <f t="shared" si="27"/>
        <v>43556</v>
      </c>
      <c r="C229" s="744">
        <f t="shared" si="28"/>
        <v>30</v>
      </c>
      <c r="D229" s="747">
        <f ca="1">(IF($A229&gt;Endyr,0,IF($A229&lt;Assm!$F$32,G229,Capacity*C229)))*(1+RAROC!$N$12)</f>
        <v>3089700</v>
      </c>
      <c r="E229" s="745">
        <f t="shared" si="29"/>
        <v>0.56679999999999997</v>
      </c>
      <c r="F229" s="959">
        <f t="shared" ca="1" si="30"/>
        <v>1751.2419600000001</v>
      </c>
      <c r="G229" s="960">
        <f ca="1">[3]MMBTU!U252</f>
        <v>2027889.1013767209</v>
      </c>
      <c r="H229" s="745">
        <f t="shared" si="31"/>
        <v>6.4000000000000003E-3</v>
      </c>
      <c r="I229" s="959">
        <f t="shared" ca="1" si="32"/>
        <v>12.978490248811015</v>
      </c>
      <c r="J229" s="964">
        <f t="shared" ca="1" si="33"/>
        <v>1764.2204502488112</v>
      </c>
      <c r="K229" s="746">
        <f ca="1">VLOOKUP($A229,Curves_Table,Escalation!$O$291)</f>
        <v>1.7280133273368676</v>
      </c>
      <c r="L229" s="748">
        <f t="shared" ca="1" si="34"/>
        <v>3048.5964503901951</v>
      </c>
      <c r="M229" s="749" t="str">
        <f t="shared" ca="1" si="35"/>
        <v xml:space="preserve"> </v>
      </c>
    </row>
    <row r="230" spans="1:13">
      <c r="A230" s="743">
        <f t="shared" si="27"/>
        <v>43586</v>
      </c>
      <c r="C230" s="744">
        <f t="shared" si="28"/>
        <v>31</v>
      </c>
      <c r="D230" s="747">
        <f ca="1">(IF($A230&gt;Endyr,0,IF($A230&lt;Assm!$F$32,G230,Capacity*C230)))*(1+RAROC!$N$12)</f>
        <v>0</v>
      </c>
      <c r="E230" s="745">
        <f t="shared" si="29"/>
        <v>0</v>
      </c>
      <c r="F230" s="959">
        <f t="shared" ca="1" si="30"/>
        <v>0</v>
      </c>
      <c r="G230" s="960">
        <f ca="1">[3]MMBTU!U253</f>
        <v>0</v>
      </c>
      <c r="H230" s="745">
        <f t="shared" si="31"/>
        <v>0</v>
      </c>
      <c r="I230" s="959">
        <f t="shared" ca="1" si="32"/>
        <v>0</v>
      </c>
      <c r="J230" s="964">
        <f t="shared" ca="1" si="33"/>
        <v>0</v>
      </c>
      <c r="K230" s="746">
        <f ca="1">VLOOKUP($A230,Curves_Table,Escalation!$O$291)</f>
        <v>1.7754357291063123</v>
      </c>
      <c r="L230" s="748">
        <f t="shared" ca="1" si="34"/>
        <v>0</v>
      </c>
      <c r="M230" s="749" t="str">
        <f t="shared" ca="1" si="35"/>
        <v xml:space="preserve"> </v>
      </c>
    </row>
    <row r="231" spans="1:13">
      <c r="A231" s="743">
        <f t="shared" si="27"/>
        <v>43617</v>
      </c>
      <c r="C231" s="744">
        <f t="shared" si="28"/>
        <v>30</v>
      </c>
      <c r="D231" s="747">
        <f ca="1">(IF($A231&gt;Endyr,0,IF($A231&lt;Assm!$F$32,G231,Capacity*C231)))*(1+RAROC!$N$12)</f>
        <v>0</v>
      </c>
      <c r="E231" s="745">
        <f t="shared" si="29"/>
        <v>0</v>
      </c>
      <c r="F231" s="959">
        <f t="shared" ca="1" si="30"/>
        <v>0</v>
      </c>
      <c r="G231" s="960">
        <f ca="1">[3]MMBTU!U254</f>
        <v>0</v>
      </c>
      <c r="H231" s="745">
        <f t="shared" si="31"/>
        <v>0</v>
      </c>
      <c r="I231" s="959">
        <f t="shared" ca="1" si="32"/>
        <v>0</v>
      </c>
      <c r="J231" s="964">
        <f t="shared" ca="1" si="33"/>
        <v>0</v>
      </c>
      <c r="K231" s="746">
        <f ca="1">VLOOKUP($A231,Curves_Table,Escalation!$O$291)</f>
        <v>1.7754357291063123</v>
      </c>
      <c r="L231" s="748">
        <f t="shared" ca="1" si="34"/>
        <v>0</v>
      </c>
      <c r="M231" s="749" t="str">
        <f t="shared" ca="1" si="35"/>
        <v xml:space="preserve"> </v>
      </c>
    </row>
    <row r="232" spans="1:13">
      <c r="A232" s="743">
        <f t="shared" si="27"/>
        <v>43647</v>
      </c>
      <c r="C232" s="744">
        <f t="shared" si="28"/>
        <v>31</v>
      </c>
      <c r="D232" s="747">
        <f ca="1">(IF($A232&gt;Endyr,0,IF($A232&lt;Assm!$F$32,G232,Capacity*C232)))*(1+RAROC!$N$12)</f>
        <v>0</v>
      </c>
      <c r="E232" s="745">
        <f t="shared" si="29"/>
        <v>0</v>
      </c>
      <c r="F232" s="959">
        <f t="shared" ca="1" si="30"/>
        <v>0</v>
      </c>
      <c r="G232" s="960">
        <f ca="1">[3]MMBTU!U255</f>
        <v>0</v>
      </c>
      <c r="H232" s="745">
        <f t="shared" si="31"/>
        <v>0</v>
      </c>
      <c r="I232" s="959">
        <f t="shared" ca="1" si="32"/>
        <v>0</v>
      </c>
      <c r="J232" s="964">
        <f t="shared" ca="1" si="33"/>
        <v>0</v>
      </c>
      <c r="K232" s="746">
        <f ca="1">VLOOKUP($A232,Curves_Table,Escalation!$O$291)</f>
        <v>1.7754357291063123</v>
      </c>
      <c r="L232" s="748">
        <f t="shared" ca="1" si="34"/>
        <v>0</v>
      </c>
      <c r="M232" s="749" t="str">
        <f t="shared" ca="1" si="35"/>
        <v xml:space="preserve"> </v>
      </c>
    </row>
    <row r="233" spans="1:13">
      <c r="A233" s="743">
        <f t="shared" si="27"/>
        <v>43678</v>
      </c>
      <c r="C233" s="744">
        <f t="shared" si="28"/>
        <v>31</v>
      </c>
      <c r="D233" s="747">
        <f ca="1">(IF($A233&gt;Endyr,0,IF($A233&lt;Assm!$F$32,G233,Capacity*C233)))*(1+RAROC!$N$12)</f>
        <v>0</v>
      </c>
      <c r="E233" s="745">
        <f t="shared" si="29"/>
        <v>0</v>
      </c>
      <c r="F233" s="959">
        <f t="shared" ca="1" si="30"/>
        <v>0</v>
      </c>
      <c r="G233" s="960">
        <f ca="1">[3]MMBTU!U256</f>
        <v>0</v>
      </c>
      <c r="H233" s="745">
        <f t="shared" si="31"/>
        <v>0</v>
      </c>
      <c r="I233" s="959">
        <f t="shared" ca="1" si="32"/>
        <v>0</v>
      </c>
      <c r="J233" s="964">
        <f t="shared" ca="1" si="33"/>
        <v>0</v>
      </c>
      <c r="K233" s="746">
        <f ca="1">VLOOKUP($A233,Curves_Table,Escalation!$O$291)</f>
        <v>1.7754357291063123</v>
      </c>
      <c r="L233" s="748">
        <f t="shared" ca="1" si="34"/>
        <v>0</v>
      </c>
      <c r="M233" s="749" t="str">
        <f t="shared" ca="1" si="35"/>
        <v xml:space="preserve"> </v>
      </c>
    </row>
    <row r="234" spans="1:13">
      <c r="A234" s="743">
        <f t="shared" si="27"/>
        <v>43709</v>
      </c>
      <c r="C234" s="744">
        <f t="shared" si="28"/>
        <v>30</v>
      </c>
      <c r="D234" s="747">
        <f ca="1">(IF($A234&gt;Endyr,0,IF($A234&lt;Assm!$F$32,G234,Capacity*C234)))*(1+RAROC!$N$12)</f>
        <v>0</v>
      </c>
      <c r="E234" s="745">
        <f t="shared" si="29"/>
        <v>0</v>
      </c>
      <c r="F234" s="959">
        <f t="shared" ca="1" si="30"/>
        <v>0</v>
      </c>
      <c r="G234" s="960">
        <f ca="1">[3]MMBTU!U257</f>
        <v>0</v>
      </c>
      <c r="H234" s="745">
        <f t="shared" si="31"/>
        <v>0</v>
      </c>
      <c r="I234" s="959">
        <f t="shared" ca="1" si="32"/>
        <v>0</v>
      </c>
      <c r="J234" s="964">
        <f t="shared" ca="1" si="33"/>
        <v>0</v>
      </c>
      <c r="K234" s="746">
        <f ca="1">VLOOKUP($A234,Curves_Table,Escalation!$O$291)</f>
        <v>1.7754357291063123</v>
      </c>
      <c r="L234" s="748">
        <f t="shared" ca="1" si="34"/>
        <v>0</v>
      </c>
      <c r="M234" s="749" t="str">
        <f t="shared" ca="1" si="35"/>
        <v xml:space="preserve"> </v>
      </c>
    </row>
    <row r="235" spans="1:13">
      <c r="A235" s="743">
        <f t="shared" si="27"/>
        <v>43739</v>
      </c>
      <c r="C235" s="744">
        <f t="shared" si="28"/>
        <v>31</v>
      </c>
      <c r="D235" s="747">
        <f ca="1">(IF($A235&gt;Endyr,0,IF($A235&lt;Assm!$F$32,G235,Capacity*C235)))*(1+RAROC!$N$12)</f>
        <v>0</v>
      </c>
      <c r="E235" s="745">
        <f t="shared" si="29"/>
        <v>0</v>
      </c>
      <c r="F235" s="959">
        <f t="shared" ca="1" si="30"/>
        <v>0</v>
      </c>
      <c r="G235" s="960">
        <f ca="1">[3]MMBTU!U258</f>
        <v>0</v>
      </c>
      <c r="H235" s="745">
        <f t="shared" si="31"/>
        <v>0</v>
      </c>
      <c r="I235" s="959">
        <f t="shared" ca="1" si="32"/>
        <v>0</v>
      </c>
      <c r="J235" s="964">
        <f t="shared" ca="1" si="33"/>
        <v>0</v>
      </c>
      <c r="K235" s="746">
        <f ca="1">VLOOKUP($A235,Curves_Table,Escalation!$O$291)</f>
        <v>1.7754357291063123</v>
      </c>
      <c r="L235" s="748">
        <f t="shared" ca="1" si="34"/>
        <v>0</v>
      </c>
      <c r="M235" s="749" t="str">
        <f t="shared" ca="1" si="35"/>
        <v xml:space="preserve"> </v>
      </c>
    </row>
    <row r="236" spans="1:13">
      <c r="A236" s="743">
        <f t="shared" si="27"/>
        <v>43770</v>
      </c>
      <c r="C236" s="744">
        <f t="shared" si="28"/>
        <v>30</v>
      </c>
      <c r="D236" s="747">
        <f ca="1">(IF($A236&gt;Endyr,0,IF($A236&lt;Assm!$F$32,G236,Capacity*C236)))*(1+RAROC!$N$12)</f>
        <v>0</v>
      </c>
      <c r="E236" s="745">
        <f t="shared" si="29"/>
        <v>0</v>
      </c>
      <c r="F236" s="959">
        <f t="shared" ca="1" si="30"/>
        <v>0</v>
      </c>
      <c r="G236" s="960">
        <f ca="1">[3]MMBTU!U259</f>
        <v>0</v>
      </c>
      <c r="H236" s="745">
        <f t="shared" si="31"/>
        <v>0</v>
      </c>
      <c r="I236" s="959">
        <f t="shared" ca="1" si="32"/>
        <v>0</v>
      </c>
      <c r="J236" s="964">
        <f t="shared" ca="1" si="33"/>
        <v>0</v>
      </c>
      <c r="K236" s="746">
        <f ca="1">VLOOKUP($A236,Curves_Table,Escalation!$O$291)</f>
        <v>1.7754357291063123</v>
      </c>
      <c r="L236" s="748">
        <f t="shared" ca="1" si="34"/>
        <v>0</v>
      </c>
      <c r="M236" s="749" t="str">
        <f t="shared" ca="1" si="35"/>
        <v xml:space="preserve"> </v>
      </c>
    </row>
    <row r="237" spans="1:13">
      <c r="A237" s="743">
        <f t="shared" si="27"/>
        <v>43800</v>
      </c>
      <c r="C237" s="744">
        <f t="shared" si="28"/>
        <v>31</v>
      </c>
      <c r="D237" s="747">
        <f ca="1">(IF($A237&gt;Endyr,0,IF($A237&lt;Assm!$F$32,G237,Capacity*C237)))*(1+RAROC!$N$12)</f>
        <v>0</v>
      </c>
      <c r="E237" s="745">
        <f t="shared" si="29"/>
        <v>0</v>
      </c>
      <c r="F237" s="959">
        <f t="shared" ca="1" si="30"/>
        <v>0</v>
      </c>
      <c r="G237" s="960">
        <f ca="1">[3]MMBTU!U260</f>
        <v>0</v>
      </c>
      <c r="H237" s="745">
        <f t="shared" si="31"/>
        <v>0</v>
      </c>
      <c r="I237" s="959">
        <f t="shared" ca="1" si="32"/>
        <v>0</v>
      </c>
      <c r="J237" s="964">
        <f t="shared" ca="1" si="33"/>
        <v>0</v>
      </c>
      <c r="K237" s="746">
        <f ca="1">VLOOKUP($A237,Curves_Table,Escalation!$O$291)</f>
        <v>1.7754357291063123</v>
      </c>
      <c r="L237" s="748">
        <f t="shared" ca="1" si="34"/>
        <v>0</v>
      </c>
      <c r="M237" s="749">
        <f t="shared" ca="1" si="35"/>
        <v>12194.385801560777</v>
      </c>
    </row>
    <row r="238" spans="1:13">
      <c r="A238" s="743">
        <f t="shared" si="27"/>
        <v>43831</v>
      </c>
      <c r="C238" s="744">
        <f t="shared" si="28"/>
        <v>31</v>
      </c>
      <c r="D238" s="747">
        <f ca="1">(IF($A238&gt;Endyr,0,IF($A238&lt;Assm!$F$32,G238,Capacity*C238)))*(1+RAROC!$N$12)</f>
        <v>0</v>
      </c>
      <c r="E238" s="745">
        <f t="shared" si="29"/>
        <v>0</v>
      </c>
      <c r="F238" s="959">
        <f t="shared" ca="1" si="30"/>
        <v>0</v>
      </c>
      <c r="G238" s="960">
        <f ca="1">[3]MMBTU!U261</f>
        <v>0</v>
      </c>
      <c r="H238" s="745">
        <f t="shared" si="31"/>
        <v>0</v>
      </c>
      <c r="I238" s="959">
        <f t="shared" ca="1" si="32"/>
        <v>0</v>
      </c>
      <c r="J238" s="964">
        <f t="shared" ca="1" si="33"/>
        <v>0</v>
      </c>
      <c r="K238" s="746">
        <f ca="1">VLOOKUP($A238,Curves_Table,Escalation!$O$291)</f>
        <v>1.7754357291063123</v>
      </c>
      <c r="L238" s="748">
        <f t="shared" ca="1" si="34"/>
        <v>0</v>
      </c>
      <c r="M238" s="749" t="str">
        <f t="shared" ca="1" si="35"/>
        <v xml:space="preserve"> </v>
      </c>
    </row>
    <row r="239" spans="1:13">
      <c r="A239" s="743">
        <f t="shared" si="27"/>
        <v>43862</v>
      </c>
      <c r="C239" s="744">
        <f t="shared" si="28"/>
        <v>29</v>
      </c>
      <c r="D239" s="747">
        <f ca="1">(IF($A239&gt;Endyr,0,IF($A239&lt;Assm!$F$32,G239,Capacity*C239)))*(1+RAROC!$N$12)</f>
        <v>0</v>
      </c>
      <c r="E239" s="745">
        <f t="shared" si="29"/>
        <v>0</v>
      </c>
      <c r="F239" s="959">
        <f t="shared" ca="1" si="30"/>
        <v>0</v>
      </c>
      <c r="G239" s="960">
        <f ca="1">[3]MMBTU!U262</f>
        <v>0</v>
      </c>
      <c r="H239" s="745">
        <f t="shared" si="31"/>
        <v>0</v>
      </c>
      <c r="I239" s="959">
        <f t="shared" ca="1" si="32"/>
        <v>0</v>
      </c>
      <c r="J239" s="964">
        <f t="shared" ca="1" si="33"/>
        <v>0</v>
      </c>
      <c r="K239" s="746">
        <f ca="1">VLOOKUP($A239,Curves_Table,Escalation!$O$291)</f>
        <v>1.7754357291063123</v>
      </c>
      <c r="L239" s="748">
        <f t="shared" ca="1" si="34"/>
        <v>0</v>
      </c>
      <c r="M239" s="749" t="str">
        <f t="shared" ca="1" si="35"/>
        <v xml:space="preserve"> </v>
      </c>
    </row>
    <row r="240" spans="1:13">
      <c r="A240" s="743">
        <f t="shared" si="27"/>
        <v>43891</v>
      </c>
      <c r="C240" s="744">
        <f t="shared" si="28"/>
        <v>31</v>
      </c>
      <c r="D240" s="747">
        <f ca="1">(IF($A240&gt;Endyr,0,IF($A240&lt;Assm!$F$32,G240,Capacity*C240)))*(1+RAROC!$N$12)</f>
        <v>0</v>
      </c>
      <c r="E240" s="745">
        <f t="shared" si="29"/>
        <v>0</v>
      </c>
      <c r="F240" s="959">
        <f t="shared" ca="1" si="30"/>
        <v>0</v>
      </c>
      <c r="G240" s="960">
        <f ca="1">[3]MMBTU!U263</f>
        <v>0</v>
      </c>
      <c r="H240" s="745">
        <f t="shared" si="31"/>
        <v>0</v>
      </c>
      <c r="I240" s="959">
        <f t="shared" ca="1" si="32"/>
        <v>0</v>
      </c>
      <c r="J240" s="964">
        <f t="shared" ca="1" si="33"/>
        <v>0</v>
      </c>
      <c r="K240" s="746">
        <f ca="1">VLOOKUP($A240,Curves_Table,Escalation!$O$291)</f>
        <v>1.7754357291063123</v>
      </c>
      <c r="L240" s="748">
        <f t="shared" ca="1" si="34"/>
        <v>0</v>
      </c>
      <c r="M240" s="749" t="str">
        <f t="shared" ca="1" si="35"/>
        <v xml:space="preserve"> </v>
      </c>
    </row>
    <row r="241" spans="1:13">
      <c r="A241" s="743">
        <f t="shared" si="27"/>
        <v>43922</v>
      </c>
      <c r="C241" s="744">
        <f t="shared" si="28"/>
        <v>30</v>
      </c>
      <c r="D241" s="747">
        <f ca="1">(IF($A241&gt;Endyr,0,IF($A241&lt;Assm!$F$32,G241,Capacity*C241)))*(1+RAROC!$N$12)</f>
        <v>0</v>
      </c>
      <c r="E241" s="745">
        <f t="shared" si="29"/>
        <v>0</v>
      </c>
      <c r="F241" s="959">
        <f t="shared" ca="1" si="30"/>
        <v>0</v>
      </c>
      <c r="G241" s="960">
        <f ca="1">[3]MMBTU!U264</f>
        <v>0</v>
      </c>
      <c r="H241" s="745">
        <f t="shared" si="31"/>
        <v>0</v>
      </c>
      <c r="I241" s="959">
        <f t="shared" ca="1" si="32"/>
        <v>0</v>
      </c>
      <c r="J241" s="964">
        <f t="shared" ca="1" si="33"/>
        <v>0</v>
      </c>
      <c r="K241" s="746">
        <f ca="1">VLOOKUP($A241,Curves_Table,Escalation!$O$291)</f>
        <v>1.7754357291063123</v>
      </c>
      <c r="L241" s="748">
        <f t="shared" ca="1" si="34"/>
        <v>0</v>
      </c>
      <c r="M241" s="749" t="str">
        <f t="shared" ca="1" si="35"/>
        <v xml:space="preserve"> </v>
      </c>
    </row>
    <row r="242" spans="1:13">
      <c r="A242" s="743">
        <f t="shared" si="27"/>
        <v>43952</v>
      </c>
      <c r="C242" s="744">
        <f t="shared" si="28"/>
        <v>31</v>
      </c>
      <c r="D242" s="747">
        <f ca="1">(IF($A242&gt;Endyr,0,IF($A242&lt;Assm!$F$32,G242,Capacity*C242)))*(1+RAROC!$N$12)</f>
        <v>0</v>
      </c>
      <c r="E242" s="745">
        <f t="shared" si="29"/>
        <v>0</v>
      </c>
      <c r="F242" s="959">
        <f t="shared" ca="1" si="30"/>
        <v>0</v>
      </c>
      <c r="G242" s="960">
        <f ca="1">[3]MMBTU!U265</f>
        <v>0</v>
      </c>
      <c r="H242" s="745">
        <f t="shared" si="31"/>
        <v>0</v>
      </c>
      <c r="I242" s="959">
        <f t="shared" ca="1" si="32"/>
        <v>0</v>
      </c>
      <c r="J242" s="964">
        <f t="shared" ca="1" si="33"/>
        <v>0</v>
      </c>
      <c r="K242" s="746">
        <f ca="1">VLOOKUP($A242,Curves_Table,Escalation!$O$291)</f>
        <v>1.7754357291063123</v>
      </c>
      <c r="L242" s="748">
        <f t="shared" ca="1" si="34"/>
        <v>0</v>
      </c>
      <c r="M242" s="749" t="str">
        <f t="shared" ca="1" si="35"/>
        <v xml:space="preserve"> </v>
      </c>
    </row>
    <row r="243" spans="1:13">
      <c r="A243" s="743">
        <f t="shared" si="27"/>
        <v>43983</v>
      </c>
      <c r="C243" s="744">
        <f t="shared" si="28"/>
        <v>30</v>
      </c>
      <c r="D243" s="747">
        <f ca="1">(IF($A243&gt;Endyr,0,IF($A243&lt;Assm!$F$32,G243,Capacity*C243)))*(1+RAROC!$N$12)</f>
        <v>0</v>
      </c>
      <c r="E243" s="745">
        <f t="shared" si="29"/>
        <v>0</v>
      </c>
      <c r="F243" s="959">
        <f t="shared" ca="1" si="30"/>
        <v>0</v>
      </c>
      <c r="G243" s="960">
        <f ca="1">[3]MMBTU!U266</f>
        <v>0</v>
      </c>
      <c r="H243" s="745">
        <f t="shared" si="31"/>
        <v>0</v>
      </c>
      <c r="I243" s="959">
        <f t="shared" ca="1" si="32"/>
        <v>0</v>
      </c>
      <c r="J243" s="964">
        <f t="shared" ca="1" si="33"/>
        <v>0</v>
      </c>
      <c r="K243" s="746">
        <f ca="1">VLOOKUP($A243,Curves_Table,Escalation!$O$291)</f>
        <v>1.7754357291063123</v>
      </c>
      <c r="L243" s="748">
        <f t="shared" ca="1" si="34"/>
        <v>0</v>
      </c>
      <c r="M243" s="749" t="str">
        <f t="shared" ca="1" si="35"/>
        <v xml:space="preserve"> </v>
      </c>
    </row>
    <row r="244" spans="1:13">
      <c r="A244" s="743">
        <f t="shared" si="27"/>
        <v>44013</v>
      </c>
      <c r="C244" s="744">
        <f t="shared" si="28"/>
        <v>31</v>
      </c>
      <c r="D244" s="747">
        <f>(IF($A244&gt;Endyr,0,IF($A244&lt;Assm!$F$32,G244,Capacity*C244)))*(1+RAROC!$N$12)</f>
        <v>0</v>
      </c>
      <c r="E244" s="745">
        <f t="shared" si="29"/>
        <v>0</v>
      </c>
      <c r="F244" s="959">
        <f t="shared" si="30"/>
        <v>0</v>
      </c>
      <c r="G244" s="960">
        <f>[3]MMBTU!U267</f>
        <v>0</v>
      </c>
      <c r="H244" s="745">
        <f t="shared" si="31"/>
        <v>0</v>
      </c>
      <c r="I244" s="959">
        <f t="shared" si="32"/>
        <v>0</v>
      </c>
      <c r="J244" s="964">
        <f t="shared" si="33"/>
        <v>0</v>
      </c>
      <c r="K244" s="746">
        <f ca="1">VLOOKUP($A244,Curves_Table,Escalation!$O$291)</f>
        <v>1.7754357291063123</v>
      </c>
      <c r="L244" s="748">
        <f t="shared" ca="1" si="34"/>
        <v>0</v>
      </c>
      <c r="M244" s="749" t="str">
        <f t="shared" ca="1" si="35"/>
        <v xml:space="preserve"> </v>
      </c>
    </row>
    <row r="245" spans="1:13">
      <c r="A245" s="743">
        <f t="shared" si="27"/>
        <v>44044</v>
      </c>
      <c r="C245" s="744">
        <f t="shared" si="28"/>
        <v>31</v>
      </c>
      <c r="D245" s="747">
        <f ca="1">(IF($A245&gt;Endyr,0,IF($A245&lt;Assm!$F$32,G245,Capacity*C245)))*(1+RAROC!$N$12)</f>
        <v>0</v>
      </c>
      <c r="E245" s="745">
        <f t="shared" si="29"/>
        <v>0</v>
      </c>
      <c r="F245" s="959">
        <f t="shared" ca="1" si="30"/>
        <v>0</v>
      </c>
      <c r="G245" s="960">
        <f ca="1">[3]MMBTU!U268</f>
        <v>445199841.05732185</v>
      </c>
      <c r="H245" s="745">
        <f t="shared" si="31"/>
        <v>0</v>
      </c>
      <c r="I245" s="959">
        <f t="shared" ca="1" si="32"/>
        <v>0</v>
      </c>
      <c r="J245" s="964">
        <f t="shared" ca="1" si="33"/>
        <v>0</v>
      </c>
      <c r="K245" s="746">
        <f ca="1">VLOOKUP($A245,Curves_Table,Escalation!$O$291)</f>
        <v>1.7754357291063123</v>
      </c>
      <c r="L245" s="748">
        <f t="shared" ca="1" si="34"/>
        <v>0</v>
      </c>
      <c r="M245" s="749" t="str">
        <f t="shared" ca="1" si="35"/>
        <v xml:space="preserve"> </v>
      </c>
    </row>
    <row r="246" spans="1:13" ht="13.5" thickBot="1">
      <c r="A246" s="917">
        <f t="shared" si="27"/>
        <v>44075</v>
      </c>
      <c r="C246" s="139"/>
      <c r="D246" s="8"/>
      <c r="E246" s="726"/>
      <c r="F246" s="957"/>
      <c r="G246" s="958"/>
      <c r="H246" s="726"/>
      <c r="I246" s="957"/>
      <c r="J246" s="963"/>
      <c r="L246" s="726"/>
      <c r="M246" s="742"/>
    </row>
    <row r="247" spans="1:13" ht="13.5" thickBot="1">
      <c r="A247" s="750"/>
      <c r="C247" s="965"/>
      <c r="D247" s="751"/>
      <c r="E247" s="751"/>
      <c r="F247" s="966"/>
      <c r="G247" s="967"/>
      <c r="H247" s="751"/>
      <c r="I247" s="966"/>
      <c r="J247" s="967"/>
      <c r="K247" s="751"/>
      <c r="L247" s="752" t="s">
        <v>705</v>
      </c>
      <c r="M247" s="753">
        <f ca="1">SUM(M11:M246)</f>
        <v>539201.67641926638</v>
      </c>
    </row>
    <row r="248" spans="1:13">
      <c r="D248" s="728"/>
      <c r="G248" s="728"/>
      <c r="K248" s="728"/>
    </row>
    <row r="249" spans="1:13">
      <c r="A249" s="754">
        <v>1</v>
      </c>
      <c r="B249" s="754">
        <f>A249+1</f>
        <v>2</v>
      </c>
      <c r="C249" s="754">
        <f t="shared" ref="C249:M249" si="36">B249+1</f>
        <v>3</v>
      </c>
      <c r="D249" s="754">
        <f t="shared" si="36"/>
        <v>4</v>
      </c>
      <c r="E249" s="754">
        <f t="shared" si="36"/>
        <v>5</v>
      </c>
      <c r="F249" s="754">
        <f t="shared" si="36"/>
        <v>6</v>
      </c>
      <c r="G249" s="754">
        <f t="shared" si="36"/>
        <v>7</v>
      </c>
      <c r="H249" s="754">
        <f t="shared" si="36"/>
        <v>8</v>
      </c>
      <c r="I249" s="754">
        <f t="shared" si="36"/>
        <v>9</v>
      </c>
      <c r="J249" s="754">
        <f t="shared" si="36"/>
        <v>10</v>
      </c>
      <c r="K249" s="754">
        <f t="shared" si="36"/>
        <v>11</v>
      </c>
      <c r="L249" s="754">
        <f t="shared" si="36"/>
        <v>12</v>
      </c>
      <c r="M249" s="1356">
        <f t="shared" si="36"/>
        <v>13</v>
      </c>
    </row>
    <row r="250" spans="1:13">
      <c r="D250" s="728"/>
      <c r="G250" s="728"/>
      <c r="K250" s="728"/>
    </row>
    <row r="251" spans="1:13">
      <c r="D251" s="728"/>
      <c r="G251" s="728"/>
      <c r="K251" s="728"/>
    </row>
    <row r="252" spans="1:13">
      <c r="D252" s="728"/>
      <c r="G252" s="728"/>
      <c r="K252" s="728"/>
    </row>
    <row r="253" spans="1:13">
      <c r="D253" s="728"/>
      <c r="G253" s="728"/>
      <c r="K253" s="728"/>
    </row>
    <row r="254" spans="1:13">
      <c r="D254" s="728"/>
      <c r="G254" s="728"/>
      <c r="K254" s="728"/>
    </row>
    <row r="255" spans="1:13">
      <c r="D255" s="728"/>
      <c r="G255" s="728"/>
      <c r="K255" s="728"/>
    </row>
    <row r="256" spans="1:13">
      <c r="D256" s="728"/>
      <c r="G256" s="728"/>
      <c r="K256" s="728"/>
    </row>
    <row r="257" spans="4:11">
      <c r="D257" s="728"/>
      <c r="G257" s="728"/>
      <c r="K257" s="728"/>
    </row>
    <row r="258" spans="4:11">
      <c r="D258" s="728"/>
      <c r="G258" s="728"/>
      <c r="K258" s="728"/>
    </row>
    <row r="259" spans="4:11">
      <c r="D259" s="728"/>
      <c r="G259" s="728"/>
      <c r="K259" s="728"/>
    </row>
    <row r="260" spans="4:11">
      <c r="D260" s="728"/>
      <c r="G260" s="728"/>
      <c r="K260" s="728"/>
    </row>
    <row r="261" spans="4:11">
      <c r="D261" s="728"/>
      <c r="G261" s="728"/>
      <c r="K261" s="728"/>
    </row>
    <row r="262" spans="4:11">
      <c r="D262" s="728"/>
      <c r="G262" s="728"/>
      <c r="K262" s="728"/>
    </row>
    <row r="263" spans="4:11">
      <c r="D263" s="728"/>
      <c r="G263" s="728"/>
      <c r="K263" s="728"/>
    </row>
    <row r="264" spans="4:11">
      <c r="D264" s="728"/>
      <c r="G264" s="728"/>
      <c r="K264" s="728"/>
    </row>
    <row r="265" spans="4:11">
      <c r="D265" s="728"/>
      <c r="G265" s="728"/>
      <c r="K265" s="728"/>
    </row>
    <row r="266" spans="4:11">
      <c r="D266" s="728"/>
      <c r="G266" s="728"/>
      <c r="K266" s="728"/>
    </row>
    <row r="267" spans="4:11">
      <c r="D267" s="728"/>
      <c r="G267" s="728"/>
      <c r="K267" s="728"/>
    </row>
    <row r="268" spans="4:11">
      <c r="D268" s="728"/>
      <c r="G268" s="728"/>
      <c r="K268" s="728"/>
    </row>
    <row r="269" spans="4:11">
      <c r="D269" s="728"/>
      <c r="G269" s="728"/>
      <c r="K269" s="728"/>
    </row>
    <row r="270" spans="4:11">
      <c r="D270" s="728"/>
      <c r="G270" s="728"/>
      <c r="K270" s="728"/>
    </row>
    <row r="271" spans="4:11">
      <c r="D271" s="728"/>
      <c r="G271" s="728"/>
      <c r="K271" s="728"/>
    </row>
    <row r="272" spans="4:11">
      <c r="D272" s="728"/>
      <c r="G272" s="728"/>
      <c r="K272" s="728"/>
    </row>
    <row r="273" spans="4:11">
      <c r="D273" s="728"/>
      <c r="G273" s="728"/>
      <c r="K273" s="728"/>
    </row>
    <row r="274" spans="4:11">
      <c r="D274" s="728"/>
      <c r="G274" s="728"/>
      <c r="K274" s="728"/>
    </row>
    <row r="275" spans="4:11">
      <c r="D275" s="728"/>
      <c r="G275" s="728"/>
      <c r="K275" s="728"/>
    </row>
    <row r="276" spans="4:11">
      <c r="D276" s="728"/>
      <c r="G276" s="728"/>
      <c r="K276" s="728"/>
    </row>
    <row r="277" spans="4:11">
      <c r="D277" s="728"/>
      <c r="G277" s="728"/>
      <c r="K277" s="728"/>
    </row>
    <row r="278" spans="4:11">
      <c r="D278" s="728"/>
      <c r="G278" s="728"/>
      <c r="K278" s="728"/>
    </row>
    <row r="279" spans="4:11">
      <c r="D279" s="728"/>
      <c r="G279" s="728"/>
      <c r="K279" s="728"/>
    </row>
    <row r="280" spans="4:11">
      <c r="D280" s="728"/>
      <c r="G280" s="728"/>
      <c r="K280" s="728"/>
    </row>
    <row r="281" spans="4:11">
      <c r="D281" s="728"/>
      <c r="G281" s="728"/>
      <c r="K281" s="728"/>
    </row>
    <row r="282" spans="4:11">
      <c r="D282" s="728"/>
      <c r="G282" s="728"/>
      <c r="K282" s="728"/>
    </row>
    <row r="283" spans="4:11">
      <c r="D283" s="728"/>
      <c r="G283" s="728"/>
      <c r="K283" s="728"/>
    </row>
    <row r="284" spans="4:11">
      <c r="D284" s="728"/>
      <c r="G284" s="728"/>
      <c r="K284" s="728"/>
    </row>
    <row r="285" spans="4:11">
      <c r="D285" s="728"/>
      <c r="G285" s="728"/>
      <c r="K285" s="728"/>
    </row>
    <row r="286" spans="4:11">
      <c r="D286" s="728"/>
      <c r="G286" s="728"/>
      <c r="K286" s="728"/>
    </row>
    <row r="287" spans="4:11">
      <c r="D287" s="728"/>
      <c r="G287" s="728"/>
      <c r="K287" s="728"/>
    </row>
    <row r="288" spans="4:11">
      <c r="D288" s="728"/>
      <c r="G288" s="728"/>
      <c r="K288" s="728"/>
    </row>
    <row r="289" spans="4:11">
      <c r="D289" s="728"/>
      <c r="G289" s="728"/>
      <c r="K289" s="728"/>
    </row>
  </sheetData>
  <printOptions horizontalCentered="1"/>
  <pageMargins left="0.25" right="0.25" top="0.5" bottom="0.5" header="0.25" footer="0.25"/>
  <pageSetup scale="40" fitToHeight="3" orientation="landscape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291"/>
  <sheetViews>
    <sheetView showGridLines="0" zoomScale="90" workbookViewId="0">
      <selection activeCell="O84" sqref="O84"/>
    </sheetView>
  </sheetViews>
  <sheetFormatPr defaultRowHeight="12.75"/>
  <cols>
    <col min="1" max="11" width="9.140625" style="765"/>
    <col min="12" max="12" width="4.7109375" style="765" customWidth="1"/>
    <col min="13" max="15" width="9.140625" style="765"/>
    <col min="16" max="16" width="3" style="765" customWidth="1"/>
    <col min="17" max="16384" width="9.140625" style="765"/>
  </cols>
  <sheetData>
    <row r="1" spans="1:21" ht="15.75">
      <c r="A1" s="987" t="str">
        <f>Assm!A1</f>
        <v>GAS ORIENTE BOLIVIANO S.A. (GASBOL) *** DRAFT COPY ***</v>
      </c>
    </row>
    <row r="2" spans="1:21" ht="15.75">
      <c r="A2" s="987" t="str">
        <f>Assm!A2</f>
        <v>369 KM PIPELINE SPUR FOR CUIABA POWER PLANT (BOLIVIA)</v>
      </c>
    </row>
    <row r="3" spans="1:21" ht="15">
      <c r="A3" s="244" t="str">
        <f>Assm!A3</f>
        <v>ENRON INTERNATIONAL</v>
      </c>
    </row>
    <row r="4" spans="1:21" ht="15">
      <c r="A4" s="918" t="s">
        <v>522</v>
      </c>
      <c r="B4" s="919"/>
      <c r="C4" s="919"/>
    </row>
    <row r="11" spans="1:21" ht="13.5" thickBot="1">
      <c r="U11" s="765" t="s">
        <v>877</v>
      </c>
    </row>
    <row r="12" spans="1:21">
      <c r="A12" s="766"/>
      <c r="B12" s="767"/>
      <c r="C12" s="768"/>
      <c r="D12" s="768"/>
      <c r="E12" s="768"/>
      <c r="F12" s="768"/>
      <c r="G12" s="767"/>
      <c r="H12" s="768"/>
      <c r="I12" s="768"/>
      <c r="J12" s="768"/>
      <c r="K12" s="769"/>
      <c r="M12" s="770" t="s">
        <v>736</v>
      </c>
      <c r="N12" s="771"/>
      <c r="O12" s="772"/>
      <c r="Q12" s="770" t="s">
        <v>876</v>
      </c>
      <c r="R12" s="771"/>
      <c r="S12" s="772"/>
    </row>
    <row r="13" spans="1:21">
      <c r="A13" s="773"/>
      <c r="B13" s="774">
        <v>1</v>
      </c>
      <c r="C13" s="775">
        <f>B13+1</f>
        <v>2</v>
      </c>
      <c r="D13" s="775">
        <f>C13+1</f>
        <v>3</v>
      </c>
      <c r="E13" s="775">
        <f>D13+1</f>
        <v>4</v>
      </c>
      <c r="F13" s="775">
        <f>E13+1</f>
        <v>5</v>
      </c>
      <c r="G13" s="774">
        <v>1</v>
      </c>
      <c r="H13" s="775">
        <f>G13+1</f>
        <v>2</v>
      </c>
      <c r="I13" s="775">
        <f>H13+1</f>
        <v>3</v>
      </c>
      <c r="J13" s="775">
        <f>I13+1</f>
        <v>4</v>
      </c>
      <c r="K13" s="776">
        <f>J13+1</f>
        <v>5</v>
      </c>
      <c r="L13" s="921">
        <v>1</v>
      </c>
      <c r="M13" s="777" t="s">
        <v>737</v>
      </c>
      <c r="N13" s="778"/>
      <c r="O13" s="779"/>
      <c r="Q13" s="777" t="s">
        <v>737</v>
      </c>
      <c r="R13" s="778"/>
      <c r="S13" s="779"/>
    </row>
    <row r="14" spans="1:21">
      <c r="A14" s="773"/>
      <c r="B14" s="781"/>
      <c r="C14" s="778"/>
      <c r="D14" s="778"/>
      <c r="E14" s="778"/>
      <c r="F14" s="778"/>
      <c r="G14" s="782" t="s">
        <v>738</v>
      </c>
      <c r="H14" s="783"/>
      <c r="I14" s="783"/>
      <c r="J14" s="783"/>
      <c r="K14" s="784"/>
      <c r="L14" s="921">
        <f t="shared" ref="L14:L76" si="0">L13+1</f>
        <v>2</v>
      </c>
      <c r="M14" s="785">
        <v>2</v>
      </c>
      <c r="N14" s="786" t="str">
        <f ca="1">M17</f>
        <v>US</v>
      </c>
      <c r="O14" s="787" t="str">
        <f ca="1">M18</f>
        <v>CPI</v>
      </c>
      <c r="Q14" s="785">
        <v>2</v>
      </c>
      <c r="R14" s="786" t="str">
        <f ca="1">Q17</f>
        <v>US</v>
      </c>
      <c r="S14" s="787" t="str">
        <f ca="1">Q18</f>
        <v>CPI</v>
      </c>
    </row>
    <row r="15" spans="1:21">
      <c r="A15" s="773"/>
      <c r="B15" s="1101" t="str">
        <f ca="1">IF(Assm!$L$55=1,"9/98 BANK CURVES","ALTERNATIVE CURVES")</f>
        <v>ALTERNATIVE CURVES</v>
      </c>
      <c r="F15" s="778"/>
      <c r="G15" s="781"/>
      <c r="K15" s="779"/>
      <c r="L15" s="921">
        <f t="shared" si="0"/>
        <v>3</v>
      </c>
      <c r="M15" s="780"/>
      <c r="N15" s="775" t="s">
        <v>739</v>
      </c>
      <c r="O15" s="788">
        <v>1.0049999999999999</v>
      </c>
      <c r="Q15" s="780"/>
      <c r="R15" s="775" t="s">
        <v>739</v>
      </c>
      <c r="S15" s="788">
        <v>0</v>
      </c>
    </row>
    <row r="16" spans="1:21">
      <c r="A16" s="773"/>
      <c r="B16" s="781"/>
      <c r="C16" s="778"/>
      <c r="D16" s="778"/>
      <c r="E16" s="778"/>
      <c r="F16" s="778"/>
      <c r="G16" s="790">
        <v>35551</v>
      </c>
      <c r="H16" s="791">
        <v>35551</v>
      </c>
      <c r="I16" s="791">
        <v>35551</v>
      </c>
      <c r="J16" s="791">
        <v>35796</v>
      </c>
      <c r="K16" s="792">
        <v>35796</v>
      </c>
      <c r="L16" s="921">
        <f t="shared" si="0"/>
        <v>4</v>
      </c>
      <c r="M16" s="793" t="s">
        <v>740</v>
      </c>
      <c r="N16" s="794"/>
      <c r="O16" s="795">
        <v>35916</v>
      </c>
      <c r="Q16" s="793" t="s">
        <v>740</v>
      </c>
      <c r="R16" s="794"/>
      <c r="S16" s="795">
        <v>37043</v>
      </c>
    </row>
    <row r="17" spans="1:19">
      <c r="A17" s="773"/>
      <c r="B17" s="796" t="s">
        <v>741</v>
      </c>
      <c r="C17" s="797" t="s">
        <v>742</v>
      </c>
      <c r="D17" s="797" t="s">
        <v>742</v>
      </c>
      <c r="E17" s="797" t="s">
        <v>743</v>
      </c>
      <c r="F17" s="798" t="s">
        <v>744</v>
      </c>
      <c r="G17" s="796" t="s">
        <v>741</v>
      </c>
      <c r="H17" s="797" t="s">
        <v>742</v>
      </c>
      <c r="I17" s="797" t="s">
        <v>745</v>
      </c>
      <c r="J17" s="797" t="s">
        <v>742</v>
      </c>
      <c r="K17" s="799" t="s">
        <v>469</v>
      </c>
      <c r="L17" s="921">
        <f t="shared" si="0"/>
        <v>5</v>
      </c>
      <c r="M17" s="800" t="str">
        <f t="shared" ref="M17:M80" ca="1" si="1">HLOOKUP(M$14,Dec_Change,$L17)</f>
        <v>US</v>
      </c>
      <c r="N17" s="783"/>
      <c r="O17" s="799" t="s">
        <v>911</v>
      </c>
      <c r="Q17" s="800" t="str">
        <f t="shared" ref="Q17:Q80" ca="1" si="2">HLOOKUP(Q$14,Dec_Change,$L17)</f>
        <v>US</v>
      </c>
      <c r="R17" s="783"/>
      <c r="S17" s="799" t="s">
        <v>911</v>
      </c>
    </row>
    <row r="18" spans="1:19">
      <c r="A18" s="801" t="s">
        <v>703</v>
      </c>
      <c r="B18" s="802" t="s">
        <v>798</v>
      </c>
      <c r="C18" s="803" t="s">
        <v>473</v>
      </c>
      <c r="D18" s="803" t="s">
        <v>746</v>
      </c>
      <c r="E18" s="803" t="s">
        <v>747</v>
      </c>
      <c r="F18" s="803" t="s">
        <v>748</v>
      </c>
      <c r="G18" s="802" t="s">
        <v>798</v>
      </c>
      <c r="H18" s="803" t="s">
        <v>473</v>
      </c>
      <c r="I18" s="920">
        <v>2.5000000000000001E-3</v>
      </c>
      <c r="J18" s="803" t="s">
        <v>746</v>
      </c>
      <c r="K18" s="804" t="s">
        <v>747</v>
      </c>
      <c r="L18" s="921">
        <f t="shared" si="0"/>
        <v>6</v>
      </c>
      <c r="M18" s="805" t="str">
        <f t="shared" ca="1" si="1"/>
        <v>CPI</v>
      </c>
      <c r="N18" s="1043">
        <f>O15</f>
        <v>1.0049999999999999</v>
      </c>
      <c r="O18" s="804" t="s">
        <v>912</v>
      </c>
      <c r="Q18" s="805" t="str">
        <f t="shared" ca="1" si="2"/>
        <v>CPI</v>
      </c>
      <c r="R18" s="1043">
        <f>S15</f>
        <v>0</v>
      </c>
      <c r="S18" s="804" t="s">
        <v>912</v>
      </c>
    </row>
    <row r="19" spans="1:19">
      <c r="A19" s="806">
        <v>35400</v>
      </c>
      <c r="B19" s="1102">
        <f ca="1">'[2]Monthly Curve Calc.'!B22</f>
        <v>134.68899999999999</v>
      </c>
      <c r="C19" s="1103">
        <f ca="1">'[2]Monthly Curve Calc.'!C22</f>
        <v>159.1</v>
      </c>
      <c r="D19" s="1103">
        <f ca="1">'[2]Monthly Curve Calc.'!D22</f>
        <v>133</v>
      </c>
      <c r="E19" s="1103">
        <f ca="1">'[2]Monthly Curve Calc.'!E22</f>
        <v>25.92</v>
      </c>
      <c r="F19" s="1104">
        <f ca="1">'[2]Monthly Curve Calc.'!F22</f>
        <v>1.0385</v>
      </c>
      <c r="G19" s="807">
        <v>1</v>
      </c>
      <c r="H19" s="789">
        <v>1</v>
      </c>
      <c r="I19" s="789">
        <v>1</v>
      </c>
      <c r="J19" s="789">
        <v>1</v>
      </c>
      <c r="K19" s="808">
        <f ca="1">E19</f>
        <v>25.92</v>
      </c>
      <c r="L19" s="921">
        <f t="shared" si="0"/>
        <v>7</v>
      </c>
      <c r="M19" s="809">
        <f t="shared" ca="1" si="1"/>
        <v>1</v>
      </c>
      <c r="N19" s="810">
        <f>N18</f>
        <v>1.0049999999999999</v>
      </c>
      <c r="O19" s="788">
        <v>1</v>
      </c>
      <c r="Q19" s="809">
        <f t="shared" ca="1" si="2"/>
        <v>1</v>
      </c>
      <c r="R19" s="810">
        <f>R18</f>
        <v>0</v>
      </c>
      <c r="S19" s="788">
        <v>1</v>
      </c>
    </row>
    <row r="20" spans="1:19">
      <c r="A20" s="811">
        <f t="shared" ref="A20:A83" si="3">EDATE(A19,1)</f>
        <v>35431</v>
      </c>
      <c r="B20" s="1102">
        <f ca="1">'[2]Monthly Curve Calc.'!B23</f>
        <v>136.81399999999999</v>
      </c>
      <c r="C20" s="1103">
        <f ca="1">'[2]Monthly Curve Calc.'!C23</f>
        <v>159.1</v>
      </c>
      <c r="D20" s="1103">
        <f ca="1">'[2]Monthly Curve Calc.'!D23</f>
        <v>133</v>
      </c>
      <c r="E20" s="1103">
        <f ca="1">'[2]Monthly Curve Calc.'!E23</f>
        <v>24.15</v>
      </c>
      <c r="F20" s="1104">
        <f ca="1">'[2]Monthly Curve Calc.'!F23</f>
        <v>1.0456000000000001</v>
      </c>
      <c r="G20" s="812">
        <f ca="1">IF(AND($A20&gt;G$16,MONTH($A20)=MONTH(G$16)),B19/B7,G19)</f>
        <v>1</v>
      </c>
      <c r="H20" s="810">
        <f ca="1">IF(AND($A20&gt;H$16,MONTH($A20)=MONTH(H$16)),C19/C7,H19)</f>
        <v>1</v>
      </c>
      <c r="I20" s="810">
        <f ca="1">IF(AND($A20&gt;I$16,MONTH($A20)=MONTH(I$16)),C19/C7-I$18,I19)</f>
        <v>1</v>
      </c>
      <c r="J20" s="810">
        <f ca="1">IF(AND($A20&gt;J$16,MONTH($A20)=MONTH(J$16)),D19/D7,J19)</f>
        <v>1</v>
      </c>
      <c r="K20" s="813">
        <f ca="1">IF($A20&gt;=K$16,IF(MONTH($A20)=MONTH(K$16),AVERAGE(E8:E19),K19),K19)</f>
        <v>25.92</v>
      </c>
      <c r="L20" s="921">
        <f t="shared" si="0"/>
        <v>8</v>
      </c>
      <c r="M20" s="809">
        <f t="shared" ca="1" si="1"/>
        <v>1</v>
      </c>
      <c r="N20" s="810">
        <f>N19</f>
        <v>1.0049999999999999</v>
      </c>
      <c r="O20" s="813">
        <f ca="1">IF(AND($A20&gt;=O$16,MONTH($A20)=MONTH(O$16)),MAX(M20,N20)*O19,O19)</f>
        <v>1</v>
      </c>
      <c r="Q20" s="809">
        <f t="shared" ca="1" si="2"/>
        <v>1</v>
      </c>
      <c r="R20" s="810">
        <f>R19</f>
        <v>0</v>
      </c>
      <c r="S20" s="813">
        <f ca="1">IF(AND($A20&gt;=S$16,MONTH($A20)=MONTH(S$16)),MAX(Q20,R20)*S19,S19)</f>
        <v>1</v>
      </c>
    </row>
    <row r="21" spans="1:19">
      <c r="A21" s="811">
        <f t="shared" si="3"/>
        <v>35462</v>
      </c>
      <c r="B21" s="1102">
        <f ca="1">'[2]Monthly Curve Calc.'!B24</f>
        <v>137.38999999999999</v>
      </c>
      <c r="C21" s="1103">
        <f ca="1">'[2]Monthly Curve Calc.'!C24</f>
        <v>159.6</v>
      </c>
      <c r="D21" s="1103">
        <f ca="1">'[2]Monthly Curve Calc.'!D24</f>
        <v>132.69999999999999</v>
      </c>
      <c r="E21" s="1103">
        <f ca="1">'[2]Monthly Curve Calc.'!E24</f>
        <v>20.3</v>
      </c>
      <c r="F21" s="1104">
        <f ca="1">'[2]Monthly Curve Calc.'!F24</f>
        <v>1.0509999999999999</v>
      </c>
      <c r="G21" s="812">
        <f t="shared" ref="G21:G84" ca="1" si="4">IF(AND($A21&gt;G$16,MONTH($A21)=MONTH(G$16)),B20/B8,G20)</f>
        <v>1</v>
      </c>
      <c r="H21" s="810">
        <f t="shared" ref="H21:H84" ca="1" si="5">IF(AND($A21&gt;H$16,MONTH($A21)=MONTH(H$16)),C20/C8,H20)</f>
        <v>1</v>
      </c>
      <c r="I21" s="810">
        <f t="shared" ref="I21:I84" ca="1" si="6">IF(AND($A21&gt;I$16,MONTH($A21)=MONTH(I$16)),C20/C8-I$18,I20)</f>
        <v>1</v>
      </c>
      <c r="J21" s="810">
        <f t="shared" ref="J21:J84" ca="1" si="7">IF(AND($A21&gt;J$16,MONTH($A21)=MONTH(J$16)),D20/D8,J20)</f>
        <v>1</v>
      </c>
      <c r="K21" s="813">
        <f t="shared" ref="K21:K84" ca="1" si="8">IF($A21&gt;=K$16,IF(MONTH($A21)=MONTH(K$16),AVERAGE(E9:E20),K20),K20)</f>
        <v>25.92</v>
      </c>
      <c r="L21" s="921">
        <f t="shared" si="0"/>
        <v>9</v>
      </c>
      <c r="M21" s="809">
        <f t="shared" ca="1" si="1"/>
        <v>1</v>
      </c>
      <c r="N21" s="810">
        <f t="shared" ref="N21:N84" si="9">N20</f>
        <v>1.0049999999999999</v>
      </c>
      <c r="O21" s="813">
        <f t="shared" ref="O21:O84" ca="1" si="10">IF(AND($A21&gt;=O$16,MONTH($A21)=MONTH(O$16)),MAX(M21,N21)*O20,O20)</f>
        <v>1</v>
      </c>
      <c r="Q21" s="809">
        <f t="shared" ca="1" si="2"/>
        <v>1</v>
      </c>
      <c r="R21" s="810">
        <f t="shared" ref="R21:R84" si="11">R20</f>
        <v>0</v>
      </c>
      <c r="S21" s="813">
        <f t="shared" ref="S21:S84" ca="1" si="12">IF(AND($A21&gt;=S$16,MONTH($A21)=MONTH(S$16)),MAX(Q21,R21)*S20,S20)</f>
        <v>1</v>
      </c>
    </row>
    <row r="22" spans="1:19">
      <c r="A22" s="811">
        <f t="shared" si="3"/>
        <v>35490</v>
      </c>
      <c r="B22" s="1102">
        <f ca="1">'[2]Monthly Curve Calc.'!B25</f>
        <v>138.99</v>
      </c>
      <c r="C22" s="1103">
        <f ca="1">'[2]Monthly Curve Calc.'!C25</f>
        <v>160</v>
      </c>
      <c r="D22" s="1103">
        <f ca="1">'[2]Monthly Curve Calc.'!D25</f>
        <v>132.5</v>
      </c>
      <c r="E22" s="1103">
        <f ca="1">'[2]Monthly Curve Calc.'!E25</f>
        <v>20.41</v>
      </c>
      <c r="F22" s="1104">
        <f ca="1">'[2]Monthly Curve Calc.'!F25</f>
        <v>1.0593999999999999</v>
      </c>
      <c r="G22" s="812">
        <f t="shared" ca="1" si="4"/>
        <v>1</v>
      </c>
      <c r="H22" s="810">
        <f t="shared" ca="1" si="5"/>
        <v>1</v>
      </c>
      <c r="I22" s="810">
        <f t="shared" ca="1" si="6"/>
        <v>1</v>
      </c>
      <c r="J22" s="810">
        <f t="shared" ca="1" si="7"/>
        <v>1</v>
      </c>
      <c r="K22" s="813">
        <f t="shared" ca="1" si="8"/>
        <v>25.92</v>
      </c>
      <c r="L22" s="921">
        <f t="shared" si="0"/>
        <v>10</v>
      </c>
      <c r="M22" s="809">
        <f t="shared" ca="1" si="1"/>
        <v>1</v>
      </c>
      <c r="N22" s="810">
        <f t="shared" si="9"/>
        <v>1.0049999999999999</v>
      </c>
      <c r="O22" s="813">
        <f t="shared" ca="1" si="10"/>
        <v>1</v>
      </c>
      <c r="Q22" s="809">
        <f t="shared" ca="1" si="2"/>
        <v>1</v>
      </c>
      <c r="R22" s="810">
        <f t="shared" si="11"/>
        <v>0</v>
      </c>
      <c r="S22" s="813">
        <f t="shared" ca="1" si="12"/>
        <v>1</v>
      </c>
    </row>
    <row r="23" spans="1:19">
      <c r="A23" s="811">
        <f t="shared" si="3"/>
        <v>35521</v>
      </c>
      <c r="B23" s="1102">
        <f ca="1">'[2]Monthly Curve Calc.'!B26</f>
        <v>139.80699999999999</v>
      </c>
      <c r="C23" s="1103">
        <f ca="1">'[2]Monthly Curve Calc.'!C26</f>
        <v>160.19999999999999</v>
      </c>
      <c r="D23" s="1103">
        <f ca="1">'[2]Monthly Curve Calc.'!D26</f>
        <v>131.9</v>
      </c>
      <c r="E23" s="1103">
        <f ca="1">'[2]Monthly Curve Calc.'!E26</f>
        <v>19.747730000000001</v>
      </c>
      <c r="F23" s="1104">
        <f ca="1">'[2]Monthly Curve Calc.'!F26</f>
        <v>1.0634999999999999</v>
      </c>
      <c r="G23" s="812">
        <f t="shared" ca="1" si="4"/>
        <v>1</v>
      </c>
      <c r="H23" s="810">
        <f t="shared" ca="1" si="5"/>
        <v>1</v>
      </c>
      <c r="I23" s="810">
        <f t="shared" ca="1" si="6"/>
        <v>1</v>
      </c>
      <c r="J23" s="810">
        <f t="shared" ca="1" si="7"/>
        <v>1</v>
      </c>
      <c r="K23" s="813">
        <f t="shared" ca="1" si="8"/>
        <v>25.92</v>
      </c>
      <c r="L23" s="921">
        <f t="shared" si="0"/>
        <v>11</v>
      </c>
      <c r="M23" s="809">
        <f t="shared" ca="1" si="1"/>
        <v>1</v>
      </c>
      <c r="N23" s="810">
        <f t="shared" si="9"/>
        <v>1.0049999999999999</v>
      </c>
      <c r="O23" s="813">
        <f t="shared" ca="1" si="10"/>
        <v>1</v>
      </c>
      <c r="Q23" s="809">
        <f t="shared" ca="1" si="2"/>
        <v>1</v>
      </c>
      <c r="R23" s="810">
        <f t="shared" si="11"/>
        <v>0</v>
      </c>
      <c r="S23" s="813">
        <f t="shared" ca="1" si="12"/>
        <v>1</v>
      </c>
    </row>
    <row r="24" spans="1:19">
      <c r="A24" s="811">
        <f t="shared" si="3"/>
        <v>35551</v>
      </c>
      <c r="B24" s="1102">
        <f ca="1">'[2]Monthly Curve Calc.'!B27</f>
        <v>140.22</v>
      </c>
      <c r="C24" s="1103">
        <f ca="1">'[2]Monthly Curve Calc.'!C27</f>
        <v>160.1</v>
      </c>
      <c r="D24" s="1103">
        <f ca="1">'[2]Monthly Curve Calc.'!D27</f>
        <v>131.6</v>
      </c>
      <c r="E24" s="1103">
        <f ca="1">'[2]Monthly Curve Calc.'!E27</f>
        <v>20.91</v>
      </c>
      <c r="F24" s="1104">
        <f ca="1">'[2]Monthly Curve Calc.'!F27</f>
        <v>1.0703</v>
      </c>
      <c r="G24" s="812">
        <f t="shared" ca="1" si="4"/>
        <v>1</v>
      </c>
      <c r="H24" s="810">
        <f t="shared" ca="1" si="5"/>
        <v>1</v>
      </c>
      <c r="I24" s="810">
        <f t="shared" ca="1" si="6"/>
        <v>1</v>
      </c>
      <c r="J24" s="810">
        <f t="shared" ca="1" si="7"/>
        <v>1</v>
      </c>
      <c r="K24" s="813">
        <f t="shared" ca="1" si="8"/>
        <v>25.92</v>
      </c>
      <c r="L24" s="921">
        <f t="shared" si="0"/>
        <v>12</v>
      </c>
      <c r="M24" s="809">
        <f t="shared" ca="1" si="1"/>
        <v>1</v>
      </c>
      <c r="N24" s="810">
        <f t="shared" si="9"/>
        <v>1.0049999999999999</v>
      </c>
      <c r="O24" s="813">
        <f t="shared" ca="1" si="10"/>
        <v>1</v>
      </c>
      <c r="Q24" s="809">
        <f t="shared" ca="1" si="2"/>
        <v>1</v>
      </c>
      <c r="R24" s="810">
        <f t="shared" si="11"/>
        <v>0</v>
      </c>
      <c r="S24" s="813">
        <f t="shared" ca="1" si="12"/>
        <v>1</v>
      </c>
    </row>
    <row r="25" spans="1:19">
      <c r="A25" s="811">
        <f t="shared" si="3"/>
        <v>35582</v>
      </c>
      <c r="B25" s="1102">
        <f ca="1">'[2]Monthly Curve Calc.'!B28</f>
        <v>141.20699999999999</v>
      </c>
      <c r="C25" s="1103">
        <f ca="1">'[2]Monthly Curve Calc.'!C28</f>
        <v>160.30000000000001</v>
      </c>
      <c r="D25" s="1103">
        <f ca="1">'[2]Monthly Curve Calc.'!D28</f>
        <v>131.30000000000001</v>
      </c>
      <c r="E25" s="1103">
        <f ca="1">'[2]Monthly Curve Calc.'!E28</f>
        <v>19.277380000000001</v>
      </c>
      <c r="F25" s="1104">
        <f ca="1">'[2]Monthly Curve Calc.'!F28</f>
        <v>1.0766</v>
      </c>
      <c r="G25" s="812">
        <f t="shared" ca="1" si="4"/>
        <v>1</v>
      </c>
      <c r="H25" s="810">
        <f t="shared" ca="1" si="5"/>
        <v>1</v>
      </c>
      <c r="I25" s="810">
        <f t="shared" ca="1" si="6"/>
        <v>1</v>
      </c>
      <c r="J25" s="810">
        <f t="shared" ca="1" si="7"/>
        <v>1</v>
      </c>
      <c r="K25" s="813">
        <f t="shared" ca="1" si="8"/>
        <v>25.92</v>
      </c>
      <c r="L25" s="921">
        <f t="shared" si="0"/>
        <v>13</v>
      </c>
      <c r="M25" s="809">
        <f t="shared" ca="1" si="1"/>
        <v>1</v>
      </c>
      <c r="N25" s="810">
        <f t="shared" si="9"/>
        <v>1.0049999999999999</v>
      </c>
      <c r="O25" s="813">
        <f t="shared" ca="1" si="10"/>
        <v>1</v>
      </c>
      <c r="Q25" s="809">
        <f t="shared" ca="1" si="2"/>
        <v>1</v>
      </c>
      <c r="R25" s="810">
        <f t="shared" si="11"/>
        <v>0</v>
      </c>
      <c r="S25" s="813">
        <f t="shared" ca="1" si="12"/>
        <v>1</v>
      </c>
    </row>
    <row r="26" spans="1:19">
      <c r="A26" s="811">
        <f t="shared" si="3"/>
        <v>35612</v>
      </c>
      <c r="B26" s="1102">
        <f ca="1">'[2]Monthly Curve Calc.'!B29</f>
        <v>141.33000000000001</v>
      </c>
      <c r="C26" s="1103">
        <f ca="1">'[2]Monthly Curve Calc.'!C29</f>
        <v>160.5</v>
      </c>
      <c r="D26" s="1103">
        <f ca="1">'[2]Monthly Curve Calc.'!D29</f>
        <v>131</v>
      </c>
      <c r="E26" s="1103">
        <f ca="1">'[2]Monthly Curve Calc.'!E29</f>
        <v>19.63409</v>
      </c>
      <c r="F26" s="1104">
        <f ca="1">'[2]Monthly Curve Calc.'!F29</f>
        <v>1.0829</v>
      </c>
      <c r="G26" s="812">
        <f t="shared" ca="1" si="4"/>
        <v>1</v>
      </c>
      <c r="H26" s="810">
        <f t="shared" ca="1" si="5"/>
        <v>1</v>
      </c>
      <c r="I26" s="810">
        <f t="shared" ca="1" si="6"/>
        <v>1</v>
      </c>
      <c r="J26" s="810">
        <f t="shared" ca="1" si="7"/>
        <v>1</v>
      </c>
      <c r="K26" s="813">
        <f t="shared" ca="1" si="8"/>
        <v>25.92</v>
      </c>
      <c r="L26" s="921">
        <f t="shared" si="0"/>
        <v>14</v>
      </c>
      <c r="M26" s="809">
        <f t="shared" ca="1" si="1"/>
        <v>1</v>
      </c>
      <c r="N26" s="810">
        <f t="shared" si="9"/>
        <v>1.0049999999999999</v>
      </c>
      <c r="O26" s="813">
        <f t="shared" ca="1" si="10"/>
        <v>1</v>
      </c>
      <c r="Q26" s="809">
        <f t="shared" ca="1" si="2"/>
        <v>1</v>
      </c>
      <c r="R26" s="810">
        <f t="shared" si="11"/>
        <v>0</v>
      </c>
      <c r="S26" s="813">
        <f t="shared" ca="1" si="12"/>
        <v>1</v>
      </c>
    </row>
    <row r="27" spans="1:19">
      <c r="A27" s="811">
        <f t="shared" si="3"/>
        <v>35643</v>
      </c>
      <c r="B27" s="1102">
        <f ca="1">'[2]Monthly Curve Calc.'!B30</f>
        <v>141.26</v>
      </c>
      <c r="C27" s="1103">
        <f ca="1">'[2]Monthly Curve Calc.'!C30</f>
        <v>160.80000000000001</v>
      </c>
      <c r="D27" s="1103">
        <f ca="1">'[2]Monthly Curve Calc.'!D30</f>
        <v>131.30000000000001</v>
      </c>
      <c r="E27" s="1103">
        <f ca="1">'[2]Monthly Curve Calc.'!E30</f>
        <v>19.932859999999998</v>
      </c>
      <c r="F27" s="1104">
        <f ca="1">'[2]Monthly Curve Calc.'!F30</f>
        <v>1.0912999999999999</v>
      </c>
      <c r="G27" s="812">
        <f t="shared" ca="1" si="4"/>
        <v>1</v>
      </c>
      <c r="H27" s="810">
        <f t="shared" ca="1" si="5"/>
        <v>1</v>
      </c>
      <c r="I27" s="810">
        <f t="shared" ca="1" si="6"/>
        <v>1</v>
      </c>
      <c r="J27" s="810">
        <f t="shared" ca="1" si="7"/>
        <v>1</v>
      </c>
      <c r="K27" s="813">
        <f t="shared" ca="1" si="8"/>
        <v>25.92</v>
      </c>
      <c r="L27" s="921">
        <f t="shared" si="0"/>
        <v>15</v>
      </c>
      <c r="M27" s="809">
        <f t="shared" ca="1" si="1"/>
        <v>1</v>
      </c>
      <c r="N27" s="810">
        <f t="shared" si="9"/>
        <v>1.0049999999999999</v>
      </c>
      <c r="O27" s="813">
        <f t="shared" ca="1" si="10"/>
        <v>1</v>
      </c>
      <c r="Q27" s="809">
        <f t="shared" ca="1" si="2"/>
        <v>1</v>
      </c>
      <c r="R27" s="810">
        <f t="shared" si="11"/>
        <v>0</v>
      </c>
      <c r="S27" s="813">
        <f t="shared" ca="1" si="12"/>
        <v>1</v>
      </c>
    </row>
    <row r="28" spans="1:19">
      <c r="A28" s="811">
        <f t="shared" si="3"/>
        <v>35674</v>
      </c>
      <c r="B28" s="1102">
        <f ca="1">'[2]Monthly Curve Calc.'!B31</f>
        <v>142.101</v>
      </c>
      <c r="C28" s="1103">
        <f ca="1">'[2]Monthly Curve Calc.'!C31</f>
        <v>161.19999999999999</v>
      </c>
      <c r="D28" s="1103">
        <f ca="1">'[2]Monthly Curve Calc.'!D31</f>
        <v>131.69999999999999</v>
      </c>
      <c r="E28" s="1103">
        <f ca="1">'[2]Monthly Curve Calc.'!E31</f>
        <v>19.775955000000003</v>
      </c>
      <c r="F28" s="1104">
        <f ca="1">'[2]Monthly Curve Calc.'!F31</f>
        <v>1.0960000000000001</v>
      </c>
      <c r="G28" s="812">
        <f t="shared" ca="1" si="4"/>
        <v>1</v>
      </c>
      <c r="H28" s="810">
        <f t="shared" ca="1" si="5"/>
        <v>1</v>
      </c>
      <c r="I28" s="810">
        <f t="shared" ca="1" si="6"/>
        <v>1</v>
      </c>
      <c r="J28" s="810">
        <f t="shared" ca="1" si="7"/>
        <v>1</v>
      </c>
      <c r="K28" s="813">
        <f t="shared" ca="1" si="8"/>
        <v>25.92</v>
      </c>
      <c r="L28" s="921">
        <f t="shared" si="0"/>
        <v>16</v>
      </c>
      <c r="M28" s="809">
        <f t="shared" ca="1" si="1"/>
        <v>1</v>
      </c>
      <c r="N28" s="810">
        <f t="shared" si="9"/>
        <v>1.0049999999999999</v>
      </c>
      <c r="O28" s="813">
        <f t="shared" ca="1" si="10"/>
        <v>1</v>
      </c>
      <c r="Q28" s="809">
        <f t="shared" ca="1" si="2"/>
        <v>1</v>
      </c>
      <c r="R28" s="810">
        <f t="shared" si="11"/>
        <v>0</v>
      </c>
      <c r="S28" s="813">
        <f t="shared" ca="1" si="12"/>
        <v>1</v>
      </c>
    </row>
    <row r="29" spans="1:19">
      <c r="A29" s="811">
        <f t="shared" si="3"/>
        <v>35704</v>
      </c>
      <c r="B29" s="1102">
        <f ca="1">'[2]Monthly Curve Calc.'!B32</f>
        <v>142.58699999999999</v>
      </c>
      <c r="C29" s="1103">
        <f ca="1">'[2]Monthly Curve Calc.'!C32</f>
        <v>161.6</v>
      </c>
      <c r="D29" s="1103">
        <f ca="1">'[2]Monthly Curve Calc.'!D32</f>
        <v>131.80000000000001</v>
      </c>
      <c r="E29" s="1103">
        <f ca="1">'[2]Monthly Curve Calc.'!E32</f>
        <v>21.271304999999998</v>
      </c>
      <c r="F29" s="1104">
        <f ca="1">'[2]Monthly Curve Calc.'!F32</f>
        <v>1.1027</v>
      </c>
      <c r="G29" s="812">
        <f t="shared" ca="1" si="4"/>
        <v>1</v>
      </c>
      <c r="H29" s="810">
        <f t="shared" ca="1" si="5"/>
        <v>1</v>
      </c>
      <c r="I29" s="810">
        <f t="shared" ca="1" si="6"/>
        <v>1</v>
      </c>
      <c r="J29" s="810">
        <f t="shared" ca="1" si="7"/>
        <v>1</v>
      </c>
      <c r="K29" s="813">
        <f t="shared" ca="1" si="8"/>
        <v>25.92</v>
      </c>
      <c r="L29" s="921">
        <f t="shared" si="0"/>
        <v>17</v>
      </c>
      <c r="M29" s="809">
        <f t="shared" ca="1" si="1"/>
        <v>1</v>
      </c>
      <c r="N29" s="810">
        <f t="shared" si="9"/>
        <v>1.0049999999999999</v>
      </c>
      <c r="O29" s="813">
        <f t="shared" ca="1" si="10"/>
        <v>1</v>
      </c>
      <c r="Q29" s="809">
        <f t="shared" ca="1" si="2"/>
        <v>1</v>
      </c>
      <c r="R29" s="810">
        <f t="shared" si="11"/>
        <v>0</v>
      </c>
      <c r="S29" s="813">
        <f t="shared" ca="1" si="12"/>
        <v>1</v>
      </c>
    </row>
    <row r="30" spans="1:19">
      <c r="A30" s="811">
        <f t="shared" si="3"/>
        <v>35735</v>
      </c>
      <c r="B30" s="1102">
        <f ca="1">'[2]Monthly Curve Calc.'!B33</f>
        <v>143.77099999999999</v>
      </c>
      <c r="C30" s="1103">
        <f ca="1">'[2]Monthly Curve Calc.'!C33</f>
        <v>161.5</v>
      </c>
      <c r="D30" s="1103">
        <f ca="1">'[2]Monthly Curve Calc.'!D33</f>
        <v>131.5</v>
      </c>
      <c r="E30" s="1103">
        <f ca="1">'[2]Monthly Curve Calc.'!E33</f>
        <v>20.176945</v>
      </c>
      <c r="F30" s="1104">
        <f ca="1">'[2]Monthly Curve Calc.'!F33</f>
        <v>1.1094999999999999</v>
      </c>
      <c r="G30" s="812">
        <f t="shared" ca="1" si="4"/>
        <v>1</v>
      </c>
      <c r="H30" s="810">
        <f t="shared" ca="1" si="5"/>
        <v>1</v>
      </c>
      <c r="I30" s="810">
        <f t="shared" ca="1" si="6"/>
        <v>1</v>
      </c>
      <c r="J30" s="810">
        <f t="shared" ca="1" si="7"/>
        <v>1</v>
      </c>
      <c r="K30" s="813">
        <f t="shared" ca="1" si="8"/>
        <v>25.92</v>
      </c>
      <c r="L30" s="921">
        <f t="shared" si="0"/>
        <v>18</v>
      </c>
      <c r="M30" s="809">
        <f t="shared" ca="1" si="1"/>
        <v>1</v>
      </c>
      <c r="N30" s="810">
        <f t="shared" si="9"/>
        <v>1.0049999999999999</v>
      </c>
      <c r="O30" s="813">
        <f t="shared" ca="1" si="10"/>
        <v>1</v>
      </c>
      <c r="Q30" s="809">
        <f t="shared" ca="1" si="2"/>
        <v>1</v>
      </c>
      <c r="R30" s="810">
        <f t="shared" si="11"/>
        <v>0</v>
      </c>
      <c r="S30" s="813">
        <f t="shared" ca="1" si="12"/>
        <v>1</v>
      </c>
    </row>
    <row r="31" spans="1:19">
      <c r="A31" s="811">
        <f t="shared" si="3"/>
        <v>35765</v>
      </c>
      <c r="B31" s="1102">
        <f ca="1">'[2]Monthly Curve Calc.'!B34</f>
        <v>144.76499999999999</v>
      </c>
      <c r="C31" s="1103">
        <f ca="1">'[2]Monthly Curve Calc.'!C34</f>
        <v>161.30000000000001</v>
      </c>
      <c r="D31" s="1103">
        <f ca="1">'[2]Monthly Curve Calc.'!D34</f>
        <v>131.4</v>
      </c>
      <c r="E31" s="1103">
        <f ca="1">'[2]Monthly Curve Calc.'!E34</f>
        <v>18.299775</v>
      </c>
      <c r="F31" s="1104">
        <f ca="1">'[2]Monthly Curve Calc.'!F34</f>
        <v>1.1160000000000001</v>
      </c>
      <c r="G31" s="812">
        <f t="shared" ca="1" si="4"/>
        <v>1</v>
      </c>
      <c r="H31" s="810">
        <f t="shared" ca="1" si="5"/>
        <v>1</v>
      </c>
      <c r="I31" s="810">
        <f t="shared" ca="1" si="6"/>
        <v>1</v>
      </c>
      <c r="J31" s="810">
        <f t="shared" ca="1" si="7"/>
        <v>1</v>
      </c>
      <c r="K31" s="813">
        <f t="shared" ca="1" si="8"/>
        <v>25.92</v>
      </c>
      <c r="L31" s="921">
        <f t="shared" si="0"/>
        <v>19</v>
      </c>
      <c r="M31" s="809">
        <f t="shared" ca="1" si="1"/>
        <v>1</v>
      </c>
      <c r="N31" s="810">
        <f t="shared" si="9"/>
        <v>1.0049999999999999</v>
      </c>
      <c r="O31" s="813">
        <f t="shared" ca="1" si="10"/>
        <v>1</v>
      </c>
      <c r="Q31" s="809">
        <f t="shared" ca="1" si="2"/>
        <v>1</v>
      </c>
      <c r="R31" s="810">
        <f t="shared" si="11"/>
        <v>0</v>
      </c>
      <c r="S31" s="813">
        <f t="shared" ca="1" si="12"/>
        <v>1</v>
      </c>
    </row>
    <row r="32" spans="1:19">
      <c r="A32" s="811">
        <f t="shared" si="3"/>
        <v>35796</v>
      </c>
      <c r="B32" s="1102">
        <f ca="1">'[2]Monthly Curve Calc.'!B35</f>
        <v>146.03800000000001</v>
      </c>
      <c r="C32" s="1103">
        <f ca="1">'[2]Monthly Curve Calc.'!C35</f>
        <v>161.6</v>
      </c>
      <c r="D32" s="1103">
        <f ca="1">'[2]Monthly Curve Calc.'!D35</f>
        <v>130.6</v>
      </c>
      <c r="E32" s="1103">
        <f ca="1">'[2]Monthly Curve Calc.'!E35</f>
        <v>16.688499999999998</v>
      </c>
      <c r="F32" s="1104">
        <f ca="1">'[2]Monthly Curve Calc.'!F35</f>
        <v>1.1234</v>
      </c>
      <c r="G32" s="812">
        <f t="shared" ca="1" si="4"/>
        <v>1</v>
      </c>
      <c r="H32" s="810">
        <f t="shared" ca="1" si="5"/>
        <v>1</v>
      </c>
      <c r="I32" s="810">
        <f t="shared" ca="1" si="6"/>
        <v>1</v>
      </c>
      <c r="J32" s="810">
        <f t="shared" ca="1" si="7"/>
        <v>1</v>
      </c>
      <c r="K32" s="813">
        <f t="shared" ca="1" si="8"/>
        <v>20.323836666666665</v>
      </c>
      <c r="L32" s="921">
        <f t="shared" si="0"/>
        <v>20</v>
      </c>
      <c r="M32" s="809">
        <f t="shared" ca="1" si="1"/>
        <v>1</v>
      </c>
      <c r="N32" s="810">
        <f t="shared" si="9"/>
        <v>1.0049999999999999</v>
      </c>
      <c r="O32" s="813">
        <f t="shared" ca="1" si="10"/>
        <v>1</v>
      </c>
      <c r="Q32" s="809">
        <f t="shared" ca="1" si="2"/>
        <v>1</v>
      </c>
      <c r="R32" s="810">
        <f t="shared" si="11"/>
        <v>0</v>
      </c>
      <c r="S32" s="813">
        <f t="shared" ca="1" si="12"/>
        <v>1</v>
      </c>
    </row>
    <row r="33" spans="1:19">
      <c r="A33" s="811">
        <f t="shared" si="3"/>
        <v>35827</v>
      </c>
      <c r="B33" s="1102">
        <f ca="1">'[2]Monthly Curve Calc.'!B36</f>
        <v>146.06700000000001</v>
      </c>
      <c r="C33" s="1103">
        <f ca="1">'[2]Monthly Curve Calc.'!C36</f>
        <v>161.9</v>
      </c>
      <c r="D33" s="1103">
        <f ca="1">'[2]Monthly Curve Calc.'!D36</f>
        <v>130.5</v>
      </c>
      <c r="E33" s="1103">
        <f ca="1">'[2]Monthly Curve Calc.'!E36</f>
        <v>16.072895000000003</v>
      </c>
      <c r="F33" s="1104">
        <f ca="1">'[2]Monthly Curve Calc.'!F36</f>
        <v>1.1299999999999999</v>
      </c>
      <c r="G33" s="812">
        <f t="shared" ca="1" si="4"/>
        <v>1</v>
      </c>
      <c r="H33" s="810">
        <f t="shared" ca="1" si="5"/>
        <v>1</v>
      </c>
      <c r="I33" s="810">
        <f t="shared" ca="1" si="6"/>
        <v>1</v>
      </c>
      <c r="J33" s="810">
        <f t="shared" ca="1" si="7"/>
        <v>1</v>
      </c>
      <c r="K33" s="813">
        <f t="shared" ca="1" si="8"/>
        <v>20.323836666666665</v>
      </c>
      <c r="L33" s="921">
        <f t="shared" si="0"/>
        <v>21</v>
      </c>
      <c r="M33" s="809">
        <f t="shared" ca="1" si="1"/>
        <v>1</v>
      </c>
      <c r="N33" s="810">
        <f t="shared" si="9"/>
        <v>1.0049999999999999</v>
      </c>
      <c r="O33" s="813">
        <f t="shared" ca="1" si="10"/>
        <v>1</v>
      </c>
      <c r="Q33" s="809">
        <f t="shared" ca="1" si="2"/>
        <v>1</v>
      </c>
      <c r="R33" s="810">
        <f t="shared" si="11"/>
        <v>0</v>
      </c>
      <c r="S33" s="813">
        <f t="shared" ca="1" si="12"/>
        <v>1</v>
      </c>
    </row>
    <row r="34" spans="1:19">
      <c r="A34" s="811">
        <f t="shared" si="3"/>
        <v>35855</v>
      </c>
      <c r="B34" s="1102">
        <f ca="1">'[2]Monthly Curve Calc.'!B37</f>
        <v>146.40600000000001</v>
      </c>
      <c r="C34" s="1103">
        <f ca="1">'[2]Monthly Curve Calc.'!C37</f>
        <v>162.19999999999999</v>
      </c>
      <c r="D34" s="1103">
        <f ca="1">'[2]Monthly Curve Calc.'!D37</f>
        <v>130.5</v>
      </c>
      <c r="E34" s="1103">
        <f ca="1">'[2]Monthly Curve Calc.'!E37</f>
        <v>15.098635000000002</v>
      </c>
      <c r="F34" s="1104">
        <f ca="1">'[2]Monthly Curve Calc.'!F37</f>
        <v>1.137</v>
      </c>
      <c r="G34" s="812">
        <f t="shared" ca="1" si="4"/>
        <v>1</v>
      </c>
      <c r="H34" s="810">
        <f t="shared" ca="1" si="5"/>
        <v>1</v>
      </c>
      <c r="I34" s="810">
        <f t="shared" ca="1" si="6"/>
        <v>1</v>
      </c>
      <c r="J34" s="810">
        <f t="shared" ca="1" si="7"/>
        <v>1</v>
      </c>
      <c r="K34" s="813">
        <f t="shared" ca="1" si="8"/>
        <v>20.323836666666665</v>
      </c>
      <c r="L34" s="921">
        <f t="shared" si="0"/>
        <v>22</v>
      </c>
      <c r="M34" s="809">
        <f t="shared" ca="1" si="1"/>
        <v>1</v>
      </c>
      <c r="N34" s="810">
        <f t="shared" si="9"/>
        <v>1.0049999999999999</v>
      </c>
      <c r="O34" s="813">
        <f t="shared" ca="1" si="10"/>
        <v>1</v>
      </c>
      <c r="Q34" s="809">
        <f t="shared" ca="1" si="2"/>
        <v>1</v>
      </c>
      <c r="R34" s="810">
        <f t="shared" si="11"/>
        <v>0</v>
      </c>
      <c r="S34" s="813">
        <f t="shared" ca="1" si="12"/>
        <v>1</v>
      </c>
    </row>
    <row r="35" spans="1:19">
      <c r="A35" s="811">
        <f t="shared" si="3"/>
        <v>35886</v>
      </c>
      <c r="B35" s="1102">
        <f ca="1">'[2]Monthly Curve Calc.'!B38</f>
        <v>146.21100000000001</v>
      </c>
      <c r="C35" s="1103">
        <f ca="1">'[2]Monthly Curve Calc.'!C38</f>
        <v>162.5</v>
      </c>
      <c r="D35" s="1103">
        <f ca="1">'[2]Monthly Curve Calc.'!D38</f>
        <v>130.69999999999999</v>
      </c>
      <c r="E35" s="1103">
        <f ca="1">'[2]Monthly Curve Calc.'!E38</f>
        <v>15.31643</v>
      </c>
      <c r="F35" s="1104">
        <f ca="1">'[2]Monthly Curve Calc.'!F38</f>
        <v>1.1443000000000001</v>
      </c>
      <c r="G35" s="812">
        <f t="shared" ca="1" si="4"/>
        <v>1</v>
      </c>
      <c r="H35" s="810">
        <f t="shared" ca="1" si="5"/>
        <v>1</v>
      </c>
      <c r="I35" s="810">
        <f t="shared" ca="1" si="6"/>
        <v>1</v>
      </c>
      <c r="J35" s="810">
        <f t="shared" ca="1" si="7"/>
        <v>1</v>
      </c>
      <c r="K35" s="813">
        <f t="shared" ca="1" si="8"/>
        <v>20.323836666666665</v>
      </c>
      <c r="L35" s="921">
        <f t="shared" si="0"/>
        <v>23</v>
      </c>
      <c r="M35" s="809">
        <f t="shared" ca="1" si="1"/>
        <v>1</v>
      </c>
      <c r="N35" s="810">
        <f t="shared" si="9"/>
        <v>1.0049999999999999</v>
      </c>
      <c r="O35" s="813">
        <f t="shared" ca="1" si="10"/>
        <v>1</v>
      </c>
      <c r="Q35" s="809">
        <f t="shared" ca="1" si="2"/>
        <v>1</v>
      </c>
      <c r="R35" s="810">
        <f t="shared" si="11"/>
        <v>0</v>
      </c>
      <c r="S35" s="813">
        <f t="shared" ca="1" si="12"/>
        <v>1</v>
      </c>
    </row>
    <row r="36" spans="1:19">
      <c r="A36" s="811">
        <f t="shared" si="3"/>
        <v>35916</v>
      </c>
      <c r="B36" s="1102">
        <f ca="1">'[2]Monthly Curve Calc.'!B39</f>
        <v>146.54400000000001</v>
      </c>
      <c r="C36" s="1103">
        <f ca="1">'[2]Monthly Curve Calc.'!C39</f>
        <v>162.80000000000001</v>
      </c>
      <c r="D36" s="1103">
        <f ca="1">'[2]Monthly Curve Calc.'!D39</f>
        <v>130.6</v>
      </c>
      <c r="E36" s="1103">
        <f ca="1">'[2]Monthly Curve Calc.'!E39</f>
        <v>14.92775</v>
      </c>
      <c r="F36" s="1104">
        <f ca="1">'[2]Monthly Curve Calc.'!F39</f>
        <v>1.1500999999999999</v>
      </c>
      <c r="G36" s="812">
        <f t="shared" ca="1" si="4"/>
        <v>1.0458060039912167</v>
      </c>
      <c r="H36" s="810">
        <f t="shared" ca="1" si="5"/>
        <v>1.0143570536828965</v>
      </c>
      <c r="I36" s="810">
        <f t="shared" ca="1" si="6"/>
        <v>1.0118570536828966</v>
      </c>
      <c r="J36" s="810">
        <f t="shared" ca="1" si="7"/>
        <v>1</v>
      </c>
      <c r="K36" s="813">
        <f t="shared" ca="1" si="8"/>
        <v>20.323836666666665</v>
      </c>
      <c r="L36" s="921">
        <f t="shared" si="0"/>
        <v>24</v>
      </c>
      <c r="M36" s="809">
        <f t="shared" ca="1" si="1"/>
        <v>1.0143570536828965</v>
      </c>
      <c r="N36" s="810">
        <f t="shared" si="9"/>
        <v>1.0049999999999999</v>
      </c>
      <c r="O36" s="813">
        <f t="shared" ca="1" si="10"/>
        <v>1.0143570536828965</v>
      </c>
      <c r="Q36" s="809">
        <f t="shared" ca="1" si="2"/>
        <v>1.0143570536828965</v>
      </c>
      <c r="R36" s="810">
        <f t="shared" si="11"/>
        <v>0</v>
      </c>
      <c r="S36" s="813">
        <f t="shared" ca="1" si="12"/>
        <v>1</v>
      </c>
    </row>
    <row r="37" spans="1:19">
      <c r="A37" s="811">
        <f t="shared" si="3"/>
        <v>35947</v>
      </c>
      <c r="B37" s="1102">
        <f ca="1">'[2]Monthly Curve Calc.'!B40</f>
        <v>146.95099999999999</v>
      </c>
      <c r="C37" s="1103">
        <f ca="1">'[2]Monthly Curve Calc.'!C40</f>
        <v>163</v>
      </c>
      <c r="D37" s="1103">
        <f ca="1">'[2]Monthly Curve Calc.'!D40</f>
        <v>130.4</v>
      </c>
      <c r="E37" s="1103">
        <f ca="1">'[2]Monthly Curve Calc.'!E40</f>
        <v>13.686139999999998</v>
      </c>
      <c r="F37" s="1104">
        <f ca="1">'[2]Monthly Curve Calc.'!F40</f>
        <v>1.1565000000000001</v>
      </c>
      <c r="G37" s="812">
        <f t="shared" ca="1" si="4"/>
        <v>1.0458060039912167</v>
      </c>
      <c r="H37" s="810">
        <f t="shared" ca="1" si="5"/>
        <v>1.0143570536828965</v>
      </c>
      <c r="I37" s="810">
        <f t="shared" ca="1" si="6"/>
        <v>1.0118570536828966</v>
      </c>
      <c r="J37" s="810">
        <f t="shared" ca="1" si="7"/>
        <v>1</v>
      </c>
      <c r="K37" s="813">
        <f t="shared" ca="1" si="8"/>
        <v>20.323836666666665</v>
      </c>
      <c r="L37" s="921">
        <f t="shared" si="0"/>
        <v>25</v>
      </c>
      <c r="M37" s="809">
        <f t="shared" ca="1" si="1"/>
        <v>1.0143570536828965</v>
      </c>
      <c r="N37" s="810">
        <f t="shared" si="9"/>
        <v>1.0049999999999999</v>
      </c>
      <c r="O37" s="813">
        <f t="shared" ca="1" si="10"/>
        <v>1.0143570536828965</v>
      </c>
      <c r="Q37" s="809">
        <f t="shared" ca="1" si="2"/>
        <v>1.0143570536828965</v>
      </c>
      <c r="R37" s="810">
        <f t="shared" si="11"/>
        <v>0</v>
      </c>
      <c r="S37" s="813">
        <f t="shared" ca="1" si="12"/>
        <v>1</v>
      </c>
    </row>
    <row r="38" spans="1:19">
      <c r="A38" s="811">
        <f t="shared" si="3"/>
        <v>35977</v>
      </c>
      <c r="B38" s="1102">
        <f ca="1">'[2]Monthly Curve Calc.'!B41</f>
        <v>146.38999999999999</v>
      </c>
      <c r="C38" s="1103">
        <f ca="1">'[2]Monthly Curve Calc.'!C41</f>
        <v>163.19999999999999</v>
      </c>
      <c r="D38" s="1103">
        <f ca="1">'[2]Monthly Curve Calc.'!D41</f>
        <v>130.69999999999999</v>
      </c>
      <c r="E38" s="1103">
        <f ca="1">'[2]Monthly Curve Calc.'!E41</f>
        <v>14.26</v>
      </c>
      <c r="F38" s="1104">
        <f ca="1">'[2]Monthly Curve Calc.'!F41</f>
        <v>1.163</v>
      </c>
      <c r="G38" s="812">
        <f t="shared" ca="1" si="4"/>
        <v>1.0458060039912167</v>
      </c>
      <c r="H38" s="810">
        <f t="shared" ca="1" si="5"/>
        <v>1.0143570536828965</v>
      </c>
      <c r="I38" s="810">
        <f t="shared" ca="1" si="6"/>
        <v>1.0118570536828966</v>
      </c>
      <c r="J38" s="810">
        <f t="shared" ca="1" si="7"/>
        <v>1</v>
      </c>
      <c r="K38" s="813">
        <f t="shared" ca="1" si="8"/>
        <v>20.323836666666665</v>
      </c>
      <c r="L38" s="921">
        <f t="shared" si="0"/>
        <v>26</v>
      </c>
      <c r="M38" s="809">
        <f t="shared" ca="1" si="1"/>
        <v>1.0143570536828965</v>
      </c>
      <c r="N38" s="810">
        <f t="shared" si="9"/>
        <v>1.0049999999999999</v>
      </c>
      <c r="O38" s="813">
        <f t="shared" ca="1" si="10"/>
        <v>1.0143570536828965</v>
      </c>
      <c r="Q38" s="809">
        <f t="shared" ca="1" si="2"/>
        <v>1.0143570536828965</v>
      </c>
      <c r="R38" s="810">
        <f t="shared" si="11"/>
        <v>0</v>
      </c>
      <c r="S38" s="813">
        <f t="shared" ca="1" si="12"/>
        <v>1</v>
      </c>
    </row>
    <row r="39" spans="1:19">
      <c r="A39" s="811">
        <f t="shared" si="3"/>
        <v>36008</v>
      </c>
      <c r="B39" s="1102">
        <f ca="1">'[2]Monthly Curve Calc.'!B42</f>
        <v>146.14400000000001</v>
      </c>
      <c r="C39" s="1103">
        <f ca="1">'[2]Monthly Curve Calc.'!C42</f>
        <v>163.4</v>
      </c>
      <c r="D39" s="1103">
        <f ca="1">'[2]Monthly Curve Calc.'!D42</f>
        <v>130.30000000000001</v>
      </c>
      <c r="E39" s="1103">
        <f ca="1">'[2]Monthly Curve Calc.'!E42</f>
        <v>13.38</v>
      </c>
      <c r="F39" s="1104">
        <f ca="1">'[2]Monthly Curve Calc.'!F42</f>
        <v>1.1765000000000001</v>
      </c>
      <c r="G39" s="812">
        <f t="shared" ca="1" si="4"/>
        <v>1.0458060039912167</v>
      </c>
      <c r="H39" s="810">
        <f t="shared" ca="1" si="5"/>
        <v>1.0143570536828965</v>
      </c>
      <c r="I39" s="810">
        <f t="shared" ca="1" si="6"/>
        <v>1.0118570536828966</v>
      </c>
      <c r="J39" s="810">
        <f t="shared" ca="1" si="7"/>
        <v>1</v>
      </c>
      <c r="K39" s="813">
        <f t="shared" ca="1" si="8"/>
        <v>20.323836666666665</v>
      </c>
      <c r="L39" s="921">
        <f t="shared" si="0"/>
        <v>27</v>
      </c>
      <c r="M39" s="809">
        <f t="shared" ca="1" si="1"/>
        <v>1.0143570536828965</v>
      </c>
      <c r="N39" s="810">
        <f t="shared" si="9"/>
        <v>1.0049999999999999</v>
      </c>
      <c r="O39" s="813">
        <f t="shared" ca="1" si="10"/>
        <v>1.0143570536828965</v>
      </c>
      <c r="Q39" s="809">
        <f t="shared" ca="1" si="2"/>
        <v>1.0143570536828965</v>
      </c>
      <c r="R39" s="810">
        <f t="shared" si="11"/>
        <v>0</v>
      </c>
      <c r="S39" s="813">
        <f t="shared" ca="1" si="12"/>
        <v>1</v>
      </c>
    </row>
    <row r="40" spans="1:19">
      <c r="A40" s="811">
        <f t="shared" si="3"/>
        <v>36039</v>
      </c>
      <c r="B40" s="1102">
        <f ca="1">'[2]Monthly Curve Calc.'!B43</f>
        <v>146.11099999999999</v>
      </c>
      <c r="C40" s="1103">
        <f ca="1">'[2]Monthly Curve Calc.'!C43</f>
        <v>163.6</v>
      </c>
      <c r="D40" s="1103">
        <f ca="1">'[2]Monthly Curve Calc.'!D43</f>
        <v>130.6</v>
      </c>
      <c r="E40" s="1103">
        <f ca="1">'[2]Monthly Curve Calc.'!E43</f>
        <v>16.170000000000002</v>
      </c>
      <c r="F40" s="1104">
        <f ca="1">'[2]Monthly Curve Calc.'!F43</f>
        <v>1.1856</v>
      </c>
      <c r="G40" s="812">
        <f t="shared" ca="1" si="4"/>
        <v>1.0458060039912167</v>
      </c>
      <c r="H40" s="810">
        <f t="shared" ca="1" si="5"/>
        <v>1.0143570536828965</v>
      </c>
      <c r="I40" s="810">
        <f t="shared" ca="1" si="6"/>
        <v>1.0118570536828966</v>
      </c>
      <c r="J40" s="810">
        <f t="shared" ca="1" si="7"/>
        <v>1</v>
      </c>
      <c r="K40" s="813">
        <f t="shared" ca="1" si="8"/>
        <v>20.323836666666665</v>
      </c>
      <c r="L40" s="921">
        <f t="shared" si="0"/>
        <v>28</v>
      </c>
      <c r="M40" s="809">
        <f t="shared" ca="1" si="1"/>
        <v>1.0143570536828965</v>
      </c>
      <c r="N40" s="810">
        <f t="shared" si="9"/>
        <v>1.0049999999999999</v>
      </c>
      <c r="O40" s="813">
        <f t="shared" ca="1" si="10"/>
        <v>1.0143570536828965</v>
      </c>
      <c r="Q40" s="809">
        <f t="shared" ca="1" si="2"/>
        <v>1.0143570536828965</v>
      </c>
      <c r="R40" s="810">
        <f t="shared" si="11"/>
        <v>0</v>
      </c>
      <c r="S40" s="813">
        <f t="shared" ca="1" si="12"/>
        <v>1</v>
      </c>
    </row>
    <row r="41" spans="1:19">
      <c r="A41" s="811">
        <f t="shared" si="3"/>
        <v>36069</v>
      </c>
      <c r="B41" s="1102">
        <f ca="1">'[2]Monthly Curve Calc.'!B44</f>
        <v>146.06299999999999</v>
      </c>
      <c r="C41" s="1103">
        <f ca="1">'[2]Monthly Curve Calc.'!C44</f>
        <v>164</v>
      </c>
      <c r="D41" s="1103">
        <f ca="1">'[2]Monthly Curve Calc.'!D44</f>
        <v>131</v>
      </c>
      <c r="E41" s="1103">
        <f ca="1">'[2]Monthly Curve Calc.'!E44</f>
        <v>14.45</v>
      </c>
      <c r="F41" s="1104">
        <f ca="1">'[2]Monthly Curve Calc.'!F44</f>
        <v>1.1928000000000001</v>
      </c>
      <c r="G41" s="812">
        <f t="shared" ca="1" si="4"/>
        <v>1.0458060039912167</v>
      </c>
      <c r="H41" s="810">
        <f t="shared" ca="1" si="5"/>
        <v>1.0143570536828965</v>
      </c>
      <c r="I41" s="810">
        <f t="shared" ca="1" si="6"/>
        <v>1.0118570536828966</v>
      </c>
      <c r="J41" s="810">
        <f t="shared" ca="1" si="7"/>
        <v>1</v>
      </c>
      <c r="K41" s="813">
        <f t="shared" ca="1" si="8"/>
        <v>20.323836666666665</v>
      </c>
      <c r="L41" s="921">
        <f t="shared" si="0"/>
        <v>29</v>
      </c>
      <c r="M41" s="809">
        <f t="shared" ca="1" si="1"/>
        <v>1.0143570536828965</v>
      </c>
      <c r="N41" s="810">
        <f t="shared" si="9"/>
        <v>1.0049999999999999</v>
      </c>
      <c r="O41" s="813">
        <f t="shared" ca="1" si="10"/>
        <v>1.0143570536828965</v>
      </c>
      <c r="Q41" s="809">
        <f t="shared" ca="1" si="2"/>
        <v>1.0143570536828965</v>
      </c>
      <c r="R41" s="810">
        <f t="shared" si="11"/>
        <v>0</v>
      </c>
      <c r="S41" s="813">
        <f t="shared" ca="1" si="12"/>
        <v>1</v>
      </c>
    </row>
    <row r="42" spans="1:19">
      <c r="A42" s="811">
        <f t="shared" si="3"/>
        <v>36100</v>
      </c>
      <c r="B42" s="1102">
        <f ca="1">'[2]Monthly Curve Calc.'!B45</f>
        <v>145.797</v>
      </c>
      <c r="C42" s="1103">
        <f ca="1">'[2]Monthly Curve Calc.'!C45</f>
        <v>164</v>
      </c>
      <c r="D42" s="1103">
        <f ca="1">'[2]Monthly Curve Calc.'!D45</f>
        <v>130.69999999999999</v>
      </c>
      <c r="E42" s="1103">
        <f ca="1">'[2]Monthly Curve Calc.'!E45</f>
        <v>11.26</v>
      </c>
      <c r="F42" s="1104">
        <f ca="1">'[2]Monthly Curve Calc.'!F45</f>
        <v>1.2008000000000001</v>
      </c>
      <c r="G42" s="812">
        <f t="shared" ca="1" si="4"/>
        <v>1.0458060039912167</v>
      </c>
      <c r="H42" s="810">
        <f t="shared" ca="1" si="5"/>
        <v>1.0143570536828965</v>
      </c>
      <c r="I42" s="810">
        <f t="shared" ca="1" si="6"/>
        <v>1.0118570536828966</v>
      </c>
      <c r="J42" s="810">
        <f t="shared" ca="1" si="7"/>
        <v>1</v>
      </c>
      <c r="K42" s="813">
        <f t="shared" ca="1" si="8"/>
        <v>20.323836666666665</v>
      </c>
      <c r="L42" s="921">
        <f t="shared" si="0"/>
        <v>30</v>
      </c>
      <c r="M42" s="809">
        <f t="shared" ca="1" si="1"/>
        <v>1.0143570536828965</v>
      </c>
      <c r="N42" s="810">
        <f t="shared" si="9"/>
        <v>1.0049999999999999</v>
      </c>
      <c r="O42" s="813">
        <f t="shared" ca="1" si="10"/>
        <v>1.0143570536828965</v>
      </c>
      <c r="Q42" s="809">
        <f t="shared" ca="1" si="2"/>
        <v>1.0143570536828965</v>
      </c>
      <c r="R42" s="810">
        <f t="shared" si="11"/>
        <v>0</v>
      </c>
      <c r="S42" s="813">
        <f t="shared" ca="1" si="12"/>
        <v>1</v>
      </c>
    </row>
    <row r="43" spans="1:19">
      <c r="A43" s="811">
        <f t="shared" si="3"/>
        <v>36130</v>
      </c>
      <c r="B43" s="1102">
        <f ca="1">'[2]Monthly Curve Calc.'!B46</f>
        <v>147.22999999999999</v>
      </c>
      <c r="C43" s="1103">
        <f ca="1">'[2]Monthly Curve Calc.'!C46</f>
        <v>163.9</v>
      </c>
      <c r="D43" s="1103">
        <f ca="1">'[2]Monthly Curve Calc.'!D46</f>
        <v>131.30000000000001</v>
      </c>
      <c r="E43" s="1103">
        <f ca="1">'[2]Monthly Curve Calc.'!E46</f>
        <v>12.09</v>
      </c>
      <c r="F43" s="1104">
        <f ca="1">'[2]Monthly Curve Calc.'!F46</f>
        <v>1.2082999999999999</v>
      </c>
      <c r="G43" s="812">
        <f t="shared" ca="1" si="4"/>
        <v>1.0458060039912167</v>
      </c>
      <c r="H43" s="810">
        <f t="shared" ca="1" si="5"/>
        <v>1.0143570536828965</v>
      </c>
      <c r="I43" s="810">
        <f t="shared" ca="1" si="6"/>
        <v>1.0118570536828966</v>
      </c>
      <c r="J43" s="810">
        <f t="shared" ca="1" si="7"/>
        <v>1</v>
      </c>
      <c r="K43" s="813">
        <f t="shared" ca="1" si="8"/>
        <v>20.323836666666665</v>
      </c>
      <c r="L43" s="921">
        <f t="shared" si="0"/>
        <v>31</v>
      </c>
      <c r="M43" s="809">
        <f t="shared" ca="1" si="1"/>
        <v>1.0143570536828965</v>
      </c>
      <c r="N43" s="810">
        <f t="shared" si="9"/>
        <v>1.0049999999999999</v>
      </c>
      <c r="O43" s="813">
        <f t="shared" ca="1" si="10"/>
        <v>1.0143570536828965</v>
      </c>
      <c r="Q43" s="809">
        <f t="shared" ca="1" si="2"/>
        <v>1.0143570536828965</v>
      </c>
      <c r="R43" s="810">
        <f t="shared" si="11"/>
        <v>0</v>
      </c>
      <c r="S43" s="813">
        <f t="shared" ca="1" si="12"/>
        <v>1</v>
      </c>
    </row>
    <row r="44" spans="1:19">
      <c r="A44" s="811">
        <f t="shared" si="3"/>
        <v>36161</v>
      </c>
      <c r="B44" s="1102">
        <f ca="1">'[2]Monthly Curve Calc.'!B47</f>
        <v>148.91999999999999</v>
      </c>
      <c r="C44" s="1103">
        <f ca="1">'[2]Monthly Curve Calc.'!C47</f>
        <v>164.3</v>
      </c>
      <c r="D44" s="1103">
        <f ca="1">'[2]Monthly Curve Calc.'!D47</f>
        <v>131.69999999999999</v>
      </c>
      <c r="E44" s="1103">
        <f ca="1">'[2]Monthly Curve Calc.'!E47</f>
        <v>12.76</v>
      </c>
      <c r="F44" s="1104">
        <f ca="1">'[2]Monthly Curve Calc.'!F47</f>
        <v>2.0499999999999998</v>
      </c>
      <c r="G44" s="812">
        <f t="shared" ca="1" si="4"/>
        <v>1.0458060039912167</v>
      </c>
      <c r="H44" s="810">
        <f t="shared" ca="1" si="5"/>
        <v>1.0143570536828965</v>
      </c>
      <c r="I44" s="810">
        <f t="shared" ca="1" si="6"/>
        <v>1.0118570536828966</v>
      </c>
      <c r="J44" s="810">
        <f t="shared" ca="1" si="7"/>
        <v>0.99923896499238973</v>
      </c>
      <c r="K44" s="813">
        <f t="shared" ca="1" si="8"/>
        <v>14.450029166666665</v>
      </c>
      <c r="L44" s="921">
        <f t="shared" si="0"/>
        <v>32</v>
      </c>
      <c r="M44" s="809">
        <f t="shared" ca="1" si="1"/>
        <v>1.0143570536828965</v>
      </c>
      <c r="N44" s="810">
        <f t="shared" si="9"/>
        <v>1.0049999999999999</v>
      </c>
      <c r="O44" s="813">
        <f t="shared" ca="1" si="10"/>
        <v>1.0143570536828965</v>
      </c>
      <c r="Q44" s="809">
        <f t="shared" ca="1" si="2"/>
        <v>1.0143570536828965</v>
      </c>
      <c r="R44" s="810">
        <f t="shared" si="11"/>
        <v>0</v>
      </c>
      <c r="S44" s="813">
        <f t="shared" ca="1" si="12"/>
        <v>1</v>
      </c>
    </row>
    <row r="45" spans="1:19">
      <c r="A45" s="811">
        <f t="shared" si="3"/>
        <v>36192</v>
      </c>
      <c r="B45" s="1102">
        <f ca="1">'[2]Monthly Curve Calc.'!B48</f>
        <v>155.53</v>
      </c>
      <c r="C45" s="1103">
        <f ca="1">'[2]Monthly Curve Calc.'!C48</f>
        <v>164.5</v>
      </c>
      <c r="D45" s="1103">
        <f ca="1">'[2]Monthly Curve Calc.'!D48</f>
        <v>131.1</v>
      </c>
      <c r="E45" s="1103">
        <f ca="1">'[2]Monthly Curve Calc.'!E48</f>
        <v>12.28</v>
      </c>
      <c r="F45" s="1104">
        <f ca="1">'[2]Monthly Curve Calc.'!F48</f>
        <v>2.0350000000000001</v>
      </c>
      <c r="G45" s="812">
        <f t="shared" ca="1" si="4"/>
        <v>1.0458060039912167</v>
      </c>
      <c r="H45" s="810">
        <f t="shared" ca="1" si="5"/>
        <v>1.0143570536828965</v>
      </c>
      <c r="I45" s="810">
        <f t="shared" ca="1" si="6"/>
        <v>1.0118570536828966</v>
      </c>
      <c r="J45" s="810">
        <f t="shared" ca="1" si="7"/>
        <v>0.99923896499238973</v>
      </c>
      <c r="K45" s="813">
        <f t="shared" ca="1" si="8"/>
        <v>14.450029166666665</v>
      </c>
      <c r="L45" s="921">
        <f t="shared" si="0"/>
        <v>33</v>
      </c>
      <c r="M45" s="809">
        <f t="shared" ca="1" si="1"/>
        <v>1.0143570536828965</v>
      </c>
      <c r="N45" s="810">
        <f t="shared" si="9"/>
        <v>1.0049999999999999</v>
      </c>
      <c r="O45" s="813">
        <f t="shared" ca="1" si="10"/>
        <v>1.0143570536828965</v>
      </c>
      <c r="Q45" s="809">
        <f t="shared" ca="1" si="2"/>
        <v>1.0143570536828965</v>
      </c>
      <c r="R45" s="810">
        <f t="shared" si="11"/>
        <v>0</v>
      </c>
      <c r="S45" s="813">
        <f t="shared" ca="1" si="12"/>
        <v>1</v>
      </c>
    </row>
    <row r="46" spans="1:19">
      <c r="A46" s="811">
        <f t="shared" si="3"/>
        <v>36220</v>
      </c>
      <c r="B46" s="1102">
        <f ca="1">'[2]Monthly Curve Calc.'!B49</f>
        <v>158.6</v>
      </c>
      <c r="C46" s="1103">
        <f ca="1">'[2]Monthly Curve Calc.'!C49</f>
        <v>165</v>
      </c>
      <c r="D46" s="1103">
        <f ca="1">'[2]Monthly Curve Calc.'!D49</f>
        <v>131.5</v>
      </c>
      <c r="E46" s="1103">
        <f ca="1">'[2]Monthly Curve Calc.'!E49</f>
        <v>16.760000000000002</v>
      </c>
      <c r="F46" s="1104">
        <f ca="1">'[2]Monthly Curve Calc.'!F49</f>
        <v>1.7175</v>
      </c>
      <c r="G46" s="812">
        <f t="shared" ca="1" si="4"/>
        <v>1.0458060039912167</v>
      </c>
      <c r="H46" s="810">
        <f t="shared" ca="1" si="5"/>
        <v>1.0143570536828965</v>
      </c>
      <c r="I46" s="810">
        <f t="shared" ca="1" si="6"/>
        <v>1.0118570536828966</v>
      </c>
      <c r="J46" s="810">
        <f t="shared" ca="1" si="7"/>
        <v>0.99923896499238973</v>
      </c>
      <c r="K46" s="813">
        <f t="shared" ca="1" si="8"/>
        <v>14.450029166666665</v>
      </c>
      <c r="L46" s="921">
        <f t="shared" si="0"/>
        <v>34</v>
      </c>
      <c r="M46" s="809">
        <f t="shared" ca="1" si="1"/>
        <v>1.0143570536828965</v>
      </c>
      <c r="N46" s="810">
        <f t="shared" si="9"/>
        <v>1.0049999999999999</v>
      </c>
      <c r="O46" s="813">
        <f t="shared" ca="1" si="10"/>
        <v>1.0143570536828965</v>
      </c>
      <c r="Q46" s="809">
        <f t="shared" ca="1" si="2"/>
        <v>1.0143570536828965</v>
      </c>
      <c r="R46" s="810">
        <f t="shared" si="11"/>
        <v>0</v>
      </c>
      <c r="S46" s="813">
        <f t="shared" ca="1" si="12"/>
        <v>1</v>
      </c>
    </row>
    <row r="47" spans="1:19">
      <c r="A47" s="811">
        <f t="shared" si="3"/>
        <v>36251</v>
      </c>
      <c r="B47" s="1102">
        <f ca="1">'[2]Monthly Curve Calc.'!B50</f>
        <v>158.65</v>
      </c>
      <c r="C47" s="1103">
        <f ca="1">'[2]Monthly Curve Calc.'!C50</f>
        <v>166.2</v>
      </c>
      <c r="D47" s="1103">
        <f ca="1">'[2]Monthly Curve Calc.'!D50</f>
        <v>132.19999999999999</v>
      </c>
      <c r="E47" s="1103">
        <f ca="1">'[2]Monthly Curve Calc.'!E50</f>
        <v>18.66</v>
      </c>
      <c r="F47" s="1104">
        <f ca="1">'[2]Monthly Curve Calc.'!F50</f>
        <v>1.665</v>
      </c>
      <c r="G47" s="812">
        <f t="shared" ca="1" si="4"/>
        <v>1.0458060039912167</v>
      </c>
      <c r="H47" s="810">
        <f t="shared" ca="1" si="5"/>
        <v>1.0143570536828965</v>
      </c>
      <c r="I47" s="810">
        <f t="shared" ca="1" si="6"/>
        <v>1.0118570536828966</v>
      </c>
      <c r="J47" s="810">
        <f t="shared" ca="1" si="7"/>
        <v>0.99923896499238973</v>
      </c>
      <c r="K47" s="813">
        <f t="shared" ca="1" si="8"/>
        <v>14.450029166666665</v>
      </c>
      <c r="L47" s="921">
        <f t="shared" si="0"/>
        <v>35</v>
      </c>
      <c r="M47" s="809">
        <f t="shared" ca="1" si="1"/>
        <v>1.0143570536828965</v>
      </c>
      <c r="N47" s="810">
        <f t="shared" si="9"/>
        <v>1.0049999999999999</v>
      </c>
      <c r="O47" s="813">
        <f t="shared" ca="1" si="10"/>
        <v>1.0143570536828965</v>
      </c>
      <c r="Q47" s="809">
        <f t="shared" ca="1" si="2"/>
        <v>1.0143570536828965</v>
      </c>
      <c r="R47" s="810">
        <f t="shared" si="11"/>
        <v>0</v>
      </c>
      <c r="S47" s="813">
        <f t="shared" ca="1" si="12"/>
        <v>1</v>
      </c>
    </row>
    <row r="48" spans="1:19">
      <c r="A48" s="811">
        <f t="shared" si="3"/>
        <v>36281</v>
      </c>
      <c r="B48" s="1102">
        <f ca="1">'[2]Monthly Curve Calc.'!B51</f>
        <v>158.1</v>
      </c>
      <c r="C48" s="1103">
        <f ca="1">'[2]Monthly Curve Calc.'!C51</f>
        <v>166.2</v>
      </c>
      <c r="D48" s="1103">
        <f ca="1">'[2]Monthly Curve Calc.'!D51</f>
        <v>132.4</v>
      </c>
      <c r="E48" s="1103">
        <f ca="1">'[2]Monthly Curve Calc.'!E51</f>
        <v>16.84</v>
      </c>
      <c r="F48" s="1104">
        <f ca="1">'[2]Monthly Curve Calc.'!F51</f>
        <v>1.7210000000000001</v>
      </c>
      <c r="G48" s="812">
        <f t="shared" ca="1" si="4"/>
        <v>1.0850756783005382</v>
      </c>
      <c r="H48" s="810">
        <f t="shared" ca="1" si="5"/>
        <v>1.0227692307692307</v>
      </c>
      <c r="I48" s="810">
        <f t="shared" ca="1" si="6"/>
        <v>1.0202692307692307</v>
      </c>
      <c r="J48" s="810">
        <f t="shared" ca="1" si="7"/>
        <v>0.99923896499238973</v>
      </c>
      <c r="K48" s="813">
        <f t="shared" ca="1" si="8"/>
        <v>14.450029166666665</v>
      </c>
      <c r="L48" s="921">
        <f t="shared" si="0"/>
        <v>36</v>
      </c>
      <c r="M48" s="809">
        <f t="shared" ca="1" si="1"/>
        <v>1.0227692307692307</v>
      </c>
      <c r="N48" s="810">
        <f t="shared" si="9"/>
        <v>1.0049999999999999</v>
      </c>
      <c r="O48" s="813">
        <f t="shared" ca="1" si="10"/>
        <v>1.0374531835205993</v>
      </c>
      <c r="Q48" s="809">
        <f t="shared" ca="1" si="2"/>
        <v>1.0227692307692307</v>
      </c>
      <c r="R48" s="810">
        <f t="shared" si="11"/>
        <v>0</v>
      </c>
      <c r="S48" s="813">
        <f t="shared" ca="1" si="12"/>
        <v>1</v>
      </c>
    </row>
    <row r="49" spans="1:19">
      <c r="A49" s="811">
        <f t="shared" si="3"/>
        <v>36312</v>
      </c>
      <c r="B49" s="1102">
        <f ca="1">'[2]Monthly Curve Calc.'!B52</f>
        <v>159.71</v>
      </c>
      <c r="C49" s="1103">
        <f ca="1">'[2]Monthly Curve Calc.'!C52</f>
        <v>166.2</v>
      </c>
      <c r="D49" s="1103">
        <f ca="1">'[2]Monthly Curve Calc.'!D52</f>
        <v>132.30000000000001</v>
      </c>
      <c r="E49" s="1103">
        <f ca="1">'[2]Monthly Curve Calc.'!E52</f>
        <v>19.29</v>
      </c>
      <c r="F49" s="1104">
        <f ca="1">'[2]Monthly Curve Calc.'!F52</f>
        <v>1.7524999999999999</v>
      </c>
      <c r="G49" s="812">
        <f t="shared" ca="1" si="4"/>
        <v>1.0850756783005382</v>
      </c>
      <c r="H49" s="810">
        <f t="shared" ca="1" si="5"/>
        <v>1.0227692307692307</v>
      </c>
      <c r="I49" s="810">
        <f t="shared" ca="1" si="6"/>
        <v>1.0202692307692307</v>
      </c>
      <c r="J49" s="810">
        <f t="shared" ca="1" si="7"/>
        <v>0.99923896499238973</v>
      </c>
      <c r="K49" s="813">
        <f t="shared" ca="1" si="8"/>
        <v>14.450029166666665</v>
      </c>
      <c r="L49" s="921">
        <f t="shared" si="0"/>
        <v>37</v>
      </c>
      <c r="M49" s="809">
        <f t="shared" ca="1" si="1"/>
        <v>1.0227692307692307</v>
      </c>
      <c r="N49" s="810">
        <f t="shared" si="9"/>
        <v>1.0049999999999999</v>
      </c>
      <c r="O49" s="813">
        <f t="shared" ca="1" si="10"/>
        <v>1.0374531835205993</v>
      </c>
      <c r="Q49" s="809">
        <f t="shared" ca="1" si="2"/>
        <v>1.0227692307692307</v>
      </c>
      <c r="R49" s="810">
        <f t="shared" si="11"/>
        <v>0</v>
      </c>
      <c r="S49" s="813">
        <f t="shared" ca="1" si="12"/>
        <v>1</v>
      </c>
    </row>
    <row r="50" spans="1:19">
      <c r="A50" s="811">
        <f t="shared" si="3"/>
        <v>36342</v>
      </c>
      <c r="B50" s="1102">
        <f ca="1">'[2]Monthly Curve Calc.'!B53</f>
        <v>162.25</v>
      </c>
      <c r="C50" s="1103">
        <f ca="1">'[2]Monthly Curve Calc.'!C53</f>
        <v>166.7</v>
      </c>
      <c r="D50" s="1103">
        <f ca="1">'[2]Monthly Curve Calc.'!D53</f>
        <v>132.6</v>
      </c>
      <c r="E50" s="1103">
        <f ca="1">'[2]Monthly Curve Calc.'!E53</f>
        <v>20.53</v>
      </c>
      <c r="F50" s="1104">
        <f ca="1">'[2]Monthly Curve Calc.'!F53</f>
        <v>1.8009999999999999</v>
      </c>
      <c r="G50" s="812">
        <f t="shared" ca="1" si="4"/>
        <v>1.0850756783005382</v>
      </c>
      <c r="H50" s="810">
        <f t="shared" ca="1" si="5"/>
        <v>1.0227692307692307</v>
      </c>
      <c r="I50" s="810">
        <f t="shared" ca="1" si="6"/>
        <v>1.0202692307692307</v>
      </c>
      <c r="J50" s="810">
        <f t="shared" ca="1" si="7"/>
        <v>0.99923896499238973</v>
      </c>
      <c r="K50" s="813">
        <f t="shared" ca="1" si="8"/>
        <v>14.450029166666665</v>
      </c>
      <c r="L50" s="921">
        <f t="shared" si="0"/>
        <v>38</v>
      </c>
      <c r="M50" s="809">
        <f t="shared" ca="1" si="1"/>
        <v>1.0227692307692307</v>
      </c>
      <c r="N50" s="810">
        <f t="shared" si="9"/>
        <v>1.0049999999999999</v>
      </c>
      <c r="O50" s="813">
        <f t="shared" ca="1" si="10"/>
        <v>1.0374531835205993</v>
      </c>
      <c r="Q50" s="809">
        <f t="shared" ca="1" si="2"/>
        <v>1.0227692307692307</v>
      </c>
      <c r="R50" s="810">
        <f t="shared" si="11"/>
        <v>0</v>
      </c>
      <c r="S50" s="813">
        <f t="shared" ca="1" si="12"/>
        <v>1</v>
      </c>
    </row>
    <row r="51" spans="1:19">
      <c r="A51" s="811">
        <f t="shared" si="3"/>
        <v>36373</v>
      </c>
      <c r="B51" s="1102">
        <f ca="1">'[2]Monthly Curve Calc.'!B54</f>
        <v>164.61</v>
      </c>
      <c r="C51" s="1103">
        <f ca="1">'[2]Monthly Curve Calc.'!C54</f>
        <v>167.1</v>
      </c>
      <c r="D51" s="1103">
        <f ca="1">'[2]Monthly Curve Calc.'!D54</f>
        <v>133.4</v>
      </c>
      <c r="E51" s="1103">
        <f ca="1">'[2]Monthly Curve Calc.'!E54</f>
        <v>22.11</v>
      </c>
      <c r="F51" s="1104">
        <f ca="1">'[2]Monthly Curve Calc.'!F54</f>
        <v>1.919</v>
      </c>
      <c r="G51" s="812">
        <f t="shared" ca="1" si="4"/>
        <v>1.0850756783005382</v>
      </c>
      <c r="H51" s="810">
        <f t="shared" ca="1" si="5"/>
        <v>1.0227692307692307</v>
      </c>
      <c r="I51" s="810">
        <f t="shared" ca="1" si="6"/>
        <v>1.0202692307692307</v>
      </c>
      <c r="J51" s="810">
        <f t="shared" ca="1" si="7"/>
        <v>0.99923896499238973</v>
      </c>
      <c r="K51" s="813">
        <f t="shared" ca="1" si="8"/>
        <v>14.450029166666665</v>
      </c>
      <c r="L51" s="921">
        <f t="shared" si="0"/>
        <v>39</v>
      </c>
      <c r="M51" s="809">
        <f t="shared" ca="1" si="1"/>
        <v>1.0227692307692307</v>
      </c>
      <c r="N51" s="810">
        <f t="shared" si="9"/>
        <v>1.0049999999999999</v>
      </c>
      <c r="O51" s="813">
        <f t="shared" ca="1" si="10"/>
        <v>1.0374531835205993</v>
      </c>
      <c r="Q51" s="809">
        <f t="shared" ca="1" si="2"/>
        <v>1.0227692307692307</v>
      </c>
      <c r="R51" s="810">
        <f t="shared" si="11"/>
        <v>0</v>
      </c>
      <c r="S51" s="813">
        <f t="shared" ca="1" si="12"/>
        <v>1</v>
      </c>
    </row>
    <row r="52" spans="1:19">
      <c r="A52" s="811">
        <f t="shared" si="3"/>
        <v>36404</v>
      </c>
      <c r="B52" s="1102">
        <f ca="1">'[2]Monthly Curve Calc.'!B55</f>
        <v>167.03</v>
      </c>
      <c r="C52" s="1103">
        <f ca="1">'[2]Monthly Curve Calc.'!C55</f>
        <v>167.9</v>
      </c>
      <c r="D52" s="1103">
        <f ca="1">'[2]Monthly Curve Calc.'!D55</f>
        <v>134.69999999999999</v>
      </c>
      <c r="E52" s="1103">
        <f ca="1">'[2]Monthly Curve Calc.'!E55</f>
        <v>24.51</v>
      </c>
      <c r="F52" s="1104">
        <f ca="1">'[2]Monthly Curve Calc.'!F55</f>
        <v>1.9375</v>
      </c>
      <c r="G52" s="812">
        <f t="shared" ca="1" si="4"/>
        <v>1.0850756783005382</v>
      </c>
      <c r="H52" s="810">
        <f t="shared" ca="1" si="5"/>
        <v>1.0227692307692307</v>
      </c>
      <c r="I52" s="810">
        <f t="shared" ca="1" si="6"/>
        <v>1.0202692307692307</v>
      </c>
      <c r="J52" s="810">
        <f t="shared" ca="1" si="7"/>
        <v>0.99923896499238973</v>
      </c>
      <c r="K52" s="813">
        <f t="shared" ca="1" si="8"/>
        <v>14.450029166666665</v>
      </c>
      <c r="L52" s="921">
        <f t="shared" si="0"/>
        <v>40</v>
      </c>
      <c r="M52" s="809">
        <f t="shared" ca="1" si="1"/>
        <v>1.0227692307692307</v>
      </c>
      <c r="N52" s="810">
        <f t="shared" si="9"/>
        <v>1.0049999999999999</v>
      </c>
      <c r="O52" s="813">
        <f t="shared" ca="1" si="10"/>
        <v>1.0374531835205993</v>
      </c>
      <c r="Q52" s="809">
        <f t="shared" ca="1" si="2"/>
        <v>1.0227692307692307</v>
      </c>
      <c r="R52" s="810">
        <f t="shared" si="11"/>
        <v>0</v>
      </c>
      <c r="S52" s="813">
        <f t="shared" ca="1" si="12"/>
        <v>1</v>
      </c>
    </row>
    <row r="53" spans="1:19">
      <c r="A53" s="811">
        <f t="shared" si="3"/>
        <v>36434</v>
      </c>
      <c r="B53" s="1102">
        <f ca="1">'[2]Monthly Curve Calc.'!B56</f>
        <v>170.18</v>
      </c>
      <c r="C53" s="1103">
        <f ca="1">'[2]Monthly Curve Calc.'!C56</f>
        <v>168.2</v>
      </c>
      <c r="D53" s="1103">
        <f ca="1">'[2]Monthly Curve Calc.'!D56</f>
        <v>134.5</v>
      </c>
      <c r="E53" s="1103">
        <f ca="1">'[2]Monthly Curve Calc.'!E56</f>
        <v>21.75</v>
      </c>
      <c r="F53" s="1104">
        <f ca="1">'[2]Monthly Curve Calc.'!F56</f>
        <v>1.9490000000000001</v>
      </c>
      <c r="G53" s="812">
        <f t="shared" ca="1" si="4"/>
        <v>1.0850756783005382</v>
      </c>
      <c r="H53" s="810">
        <f t="shared" ca="1" si="5"/>
        <v>1.0227692307692307</v>
      </c>
      <c r="I53" s="810">
        <f t="shared" ca="1" si="6"/>
        <v>1.0202692307692307</v>
      </c>
      <c r="J53" s="810">
        <f t="shared" ca="1" si="7"/>
        <v>0.99923896499238973</v>
      </c>
      <c r="K53" s="813">
        <f t="shared" ca="1" si="8"/>
        <v>14.450029166666665</v>
      </c>
      <c r="L53" s="921">
        <f t="shared" si="0"/>
        <v>41</v>
      </c>
      <c r="M53" s="809">
        <f t="shared" ca="1" si="1"/>
        <v>1.0227692307692307</v>
      </c>
      <c r="N53" s="810">
        <f t="shared" si="9"/>
        <v>1.0049999999999999</v>
      </c>
      <c r="O53" s="813">
        <f t="shared" ca="1" si="10"/>
        <v>1.0374531835205993</v>
      </c>
      <c r="Q53" s="809">
        <f t="shared" ca="1" si="2"/>
        <v>1.0227692307692307</v>
      </c>
      <c r="R53" s="810">
        <f t="shared" si="11"/>
        <v>0</v>
      </c>
      <c r="S53" s="813">
        <f t="shared" ca="1" si="12"/>
        <v>1</v>
      </c>
    </row>
    <row r="54" spans="1:19">
      <c r="A54" s="811">
        <f t="shared" si="3"/>
        <v>36465</v>
      </c>
      <c r="B54" s="1102">
        <f ca="1">'[2]Monthly Curve Calc.'!B57</f>
        <v>174.5</v>
      </c>
      <c r="C54" s="1103">
        <f ca="1">'[2]Monthly Curve Calc.'!C57</f>
        <v>168.3</v>
      </c>
      <c r="D54" s="1103">
        <f ca="1">'[2]Monthly Curve Calc.'!D57</f>
        <v>134.80000000000001</v>
      </c>
      <c r="E54" s="1103">
        <f ca="1">'[2]Monthly Curve Calc.'!E57</f>
        <v>24.59</v>
      </c>
      <c r="F54" s="1104">
        <f ca="1">'[2]Monthly Curve Calc.'!F57</f>
        <v>1.923</v>
      </c>
      <c r="G54" s="812">
        <f t="shared" ca="1" si="4"/>
        <v>1.0850756783005382</v>
      </c>
      <c r="H54" s="810">
        <f t="shared" ca="1" si="5"/>
        <v>1.0227692307692307</v>
      </c>
      <c r="I54" s="810">
        <f t="shared" ca="1" si="6"/>
        <v>1.0202692307692307</v>
      </c>
      <c r="J54" s="810">
        <f t="shared" ca="1" si="7"/>
        <v>0.99923896499238973</v>
      </c>
      <c r="K54" s="813">
        <f t="shared" ca="1" si="8"/>
        <v>14.450029166666665</v>
      </c>
      <c r="L54" s="921">
        <f t="shared" si="0"/>
        <v>42</v>
      </c>
      <c r="M54" s="809">
        <f t="shared" ca="1" si="1"/>
        <v>1.0227692307692307</v>
      </c>
      <c r="N54" s="810">
        <f t="shared" si="9"/>
        <v>1.0049999999999999</v>
      </c>
      <c r="O54" s="813">
        <f t="shared" ca="1" si="10"/>
        <v>1.0374531835205993</v>
      </c>
      <c r="Q54" s="809">
        <f t="shared" ca="1" si="2"/>
        <v>1.0227692307692307</v>
      </c>
      <c r="R54" s="810">
        <f t="shared" si="11"/>
        <v>0</v>
      </c>
      <c r="S54" s="813">
        <f t="shared" ca="1" si="12"/>
        <v>1</v>
      </c>
    </row>
    <row r="55" spans="1:19">
      <c r="A55" s="811">
        <f t="shared" si="3"/>
        <v>36495</v>
      </c>
      <c r="B55" s="1102">
        <f ca="1">'[2]Monthly Curve Calc.'!B58</f>
        <v>176.65</v>
      </c>
      <c r="C55" s="1103">
        <f ca="1">'[2]Monthly Curve Calc.'!C58</f>
        <v>168.3</v>
      </c>
      <c r="D55" s="1103">
        <f ca="1">'[2]Monthly Curve Calc.'!D58</f>
        <v>135.19999999999999</v>
      </c>
      <c r="E55" s="1103">
        <f ca="1">'[2]Monthly Curve Calc.'!E58</f>
        <v>25.6</v>
      </c>
      <c r="F55" s="1104">
        <f ca="1">'[2]Monthly Curve Calc.'!F58</f>
        <v>1.7989999999999999</v>
      </c>
      <c r="G55" s="812">
        <f t="shared" ca="1" si="4"/>
        <v>1.0850756783005382</v>
      </c>
      <c r="H55" s="810">
        <f t="shared" ca="1" si="5"/>
        <v>1.0227692307692307</v>
      </c>
      <c r="I55" s="810">
        <f t="shared" ca="1" si="6"/>
        <v>1.0202692307692307</v>
      </c>
      <c r="J55" s="810">
        <f t="shared" ca="1" si="7"/>
        <v>0.99923896499238973</v>
      </c>
      <c r="K55" s="813">
        <f t="shared" ca="1" si="8"/>
        <v>14.450029166666665</v>
      </c>
      <c r="L55" s="921">
        <f t="shared" si="0"/>
        <v>43</v>
      </c>
      <c r="M55" s="809">
        <f t="shared" ca="1" si="1"/>
        <v>1.0227692307692307</v>
      </c>
      <c r="N55" s="810">
        <f t="shared" si="9"/>
        <v>1.0049999999999999</v>
      </c>
      <c r="O55" s="813">
        <f t="shared" ca="1" si="10"/>
        <v>1.0374531835205993</v>
      </c>
      <c r="Q55" s="809">
        <f t="shared" ca="1" si="2"/>
        <v>1.0227692307692307</v>
      </c>
      <c r="R55" s="810">
        <f t="shared" si="11"/>
        <v>0</v>
      </c>
      <c r="S55" s="813">
        <f t="shared" ca="1" si="12"/>
        <v>1</v>
      </c>
    </row>
    <row r="56" spans="1:19">
      <c r="A56" s="811">
        <f t="shared" si="3"/>
        <v>36526</v>
      </c>
      <c r="B56" s="1102">
        <f ca="1">'[2]Monthly Curve Calc.'!B59</f>
        <v>177.96266761992723</v>
      </c>
      <c r="C56" s="1103">
        <f ca="1">'[2]Monthly Curve Calc.'!C59</f>
        <v>168.75941921656877</v>
      </c>
      <c r="D56" s="1103">
        <f ca="1">'[2]Monthly Curve Calc.'!D59</f>
        <v>135.6398759862023</v>
      </c>
      <c r="E56" s="1103">
        <f ca="1">'[2]Monthly Curve Calc.'!E59</f>
        <v>26.192083333333336</v>
      </c>
      <c r="F56" s="1104">
        <f ca="1">'[2]Monthly Curve Calc.'!F59</f>
        <v>1.7947506486897897</v>
      </c>
      <c r="G56" s="812">
        <f t="shared" ca="1" si="4"/>
        <v>1.0850756783005382</v>
      </c>
      <c r="H56" s="810">
        <f t="shared" ca="1" si="5"/>
        <v>1.0227692307692307</v>
      </c>
      <c r="I56" s="810">
        <f t="shared" ca="1" si="6"/>
        <v>1.0202692307692307</v>
      </c>
      <c r="J56" s="810">
        <f t="shared" ca="1" si="7"/>
        <v>1.0297029702970295</v>
      </c>
      <c r="K56" s="813">
        <f t="shared" ca="1" si="8"/>
        <v>19.64</v>
      </c>
      <c r="L56" s="921">
        <f t="shared" si="0"/>
        <v>44</v>
      </c>
      <c r="M56" s="809">
        <f t="shared" ca="1" si="1"/>
        <v>1.0227692307692307</v>
      </c>
      <c r="N56" s="810">
        <f t="shared" si="9"/>
        <v>1.0049999999999999</v>
      </c>
      <c r="O56" s="813">
        <f t="shared" ca="1" si="10"/>
        <v>1.0374531835205993</v>
      </c>
      <c r="Q56" s="809">
        <f t="shared" ca="1" si="2"/>
        <v>1.0227692307692307</v>
      </c>
      <c r="R56" s="810">
        <f t="shared" si="11"/>
        <v>0</v>
      </c>
      <c r="S56" s="813">
        <f t="shared" ca="1" si="12"/>
        <v>1</v>
      </c>
    </row>
    <row r="57" spans="1:19">
      <c r="A57" s="811">
        <f t="shared" si="3"/>
        <v>36557</v>
      </c>
      <c r="B57" s="1102">
        <f ca="1">'[2]Monthly Curve Calc.'!B60</f>
        <v>179.28508953524309</v>
      </c>
      <c r="C57" s="1103">
        <f ca="1">'[2]Monthly Curve Calc.'!C60</f>
        <v>169.22009253899941</v>
      </c>
      <c r="D57" s="1103">
        <f ca="1">'[2]Monthly Curve Calc.'!D60</f>
        <v>136.08118311799069</v>
      </c>
      <c r="E57" s="1103">
        <f ca="1">'[2]Monthly Curve Calc.'!E60</f>
        <v>26.784166666666671</v>
      </c>
      <c r="F57" s="1104">
        <f ca="1">'[2]Monthly Curve Calc.'!F60</f>
        <v>1.7905113346150201</v>
      </c>
      <c r="G57" s="812">
        <f t="shared" ca="1" si="4"/>
        <v>1.0850756783005382</v>
      </c>
      <c r="H57" s="810">
        <f t="shared" ca="1" si="5"/>
        <v>1.0227692307692307</v>
      </c>
      <c r="I57" s="810">
        <f t="shared" ca="1" si="6"/>
        <v>1.0202692307692307</v>
      </c>
      <c r="J57" s="810">
        <f t="shared" ca="1" si="7"/>
        <v>1.0297029702970295</v>
      </c>
      <c r="K57" s="813">
        <f t="shared" ca="1" si="8"/>
        <v>19.64</v>
      </c>
      <c r="L57" s="921">
        <f t="shared" si="0"/>
        <v>45</v>
      </c>
      <c r="M57" s="809">
        <f t="shared" ca="1" si="1"/>
        <v>1.0227692307692307</v>
      </c>
      <c r="N57" s="810">
        <f t="shared" si="9"/>
        <v>1.0049999999999999</v>
      </c>
      <c r="O57" s="813">
        <f t="shared" ca="1" si="10"/>
        <v>1.0374531835205993</v>
      </c>
      <c r="Q57" s="809">
        <f t="shared" ca="1" si="2"/>
        <v>1.0227692307692307</v>
      </c>
      <c r="R57" s="810">
        <f t="shared" si="11"/>
        <v>0</v>
      </c>
      <c r="S57" s="813">
        <f t="shared" ca="1" si="12"/>
        <v>1</v>
      </c>
    </row>
    <row r="58" spans="1:19">
      <c r="A58" s="811">
        <f t="shared" si="3"/>
        <v>36586</v>
      </c>
      <c r="B58" s="1102">
        <f ca="1">'[2]Monthly Curve Calc.'!B61</f>
        <v>180.61733822909343</v>
      </c>
      <c r="C58" s="1103">
        <f ca="1">'[2]Monthly Curve Calc.'!C61</f>
        <v>169.68202339070447</v>
      </c>
      <c r="D58" s="1103">
        <f ca="1">'[2]Monthly Curve Calc.'!D61</f>
        <v>136.52392605162683</v>
      </c>
      <c r="E58" s="1103">
        <f ca="1">'[2]Monthly Curve Calc.'!E61</f>
        <v>27.376250000000006</v>
      </c>
      <c r="F58" s="1104">
        <f ca="1">'[2]Monthly Curve Calc.'!F61</f>
        <v>1.7862820340671086</v>
      </c>
      <c r="G58" s="812">
        <f t="shared" ca="1" si="4"/>
        <v>1.0850756783005382</v>
      </c>
      <c r="H58" s="810">
        <f t="shared" ca="1" si="5"/>
        <v>1.0227692307692307</v>
      </c>
      <c r="I58" s="810">
        <f t="shared" ca="1" si="6"/>
        <v>1.0202692307692307</v>
      </c>
      <c r="J58" s="810">
        <f t="shared" ca="1" si="7"/>
        <v>1.0297029702970295</v>
      </c>
      <c r="K58" s="813">
        <f t="shared" ca="1" si="8"/>
        <v>19.64</v>
      </c>
      <c r="L58" s="921">
        <f t="shared" si="0"/>
        <v>46</v>
      </c>
      <c r="M58" s="809">
        <f t="shared" ca="1" si="1"/>
        <v>1.0227692307692307</v>
      </c>
      <c r="N58" s="810">
        <f t="shared" si="9"/>
        <v>1.0049999999999999</v>
      </c>
      <c r="O58" s="813">
        <f t="shared" ca="1" si="10"/>
        <v>1.0374531835205993</v>
      </c>
      <c r="Q58" s="809">
        <f t="shared" ca="1" si="2"/>
        <v>1.0227692307692307</v>
      </c>
      <c r="R58" s="810">
        <f t="shared" si="11"/>
        <v>0</v>
      </c>
      <c r="S58" s="813">
        <f t="shared" ca="1" si="12"/>
        <v>1</v>
      </c>
    </row>
    <row r="59" spans="1:19">
      <c r="A59" s="811">
        <f t="shared" si="3"/>
        <v>36617</v>
      </c>
      <c r="B59" s="1102">
        <f ca="1">'[2]Monthly Curve Calc.'!B62</f>
        <v>181.95948672323877</v>
      </c>
      <c r="C59" s="1103">
        <f ca="1">'[2]Monthly Curve Calc.'!C62</f>
        <v>170.1452152044416</v>
      </c>
      <c r="D59" s="1103">
        <f ca="1">'[2]Monthly Curve Calc.'!D62</f>
        <v>136.96810945852158</v>
      </c>
      <c r="E59" s="1103">
        <f ca="1">'[2]Monthly Curve Calc.'!E62</f>
        <v>27.968333333333341</v>
      </c>
      <c r="F59" s="1104">
        <f ca="1">'[2]Monthly Curve Calc.'!F62</f>
        <v>1.7820627233934743</v>
      </c>
      <c r="G59" s="812">
        <f t="shared" ca="1" si="4"/>
        <v>1.0850756783005382</v>
      </c>
      <c r="H59" s="810">
        <f t="shared" ca="1" si="5"/>
        <v>1.0227692307692307</v>
      </c>
      <c r="I59" s="810">
        <f t="shared" ca="1" si="6"/>
        <v>1.0202692307692307</v>
      </c>
      <c r="J59" s="810">
        <f t="shared" ca="1" si="7"/>
        <v>1.0297029702970295</v>
      </c>
      <c r="K59" s="813">
        <f t="shared" ca="1" si="8"/>
        <v>19.64</v>
      </c>
      <c r="L59" s="921">
        <f t="shared" si="0"/>
        <v>47</v>
      </c>
      <c r="M59" s="809">
        <f t="shared" ca="1" si="1"/>
        <v>1.0227692307692307</v>
      </c>
      <c r="N59" s="810">
        <f t="shared" si="9"/>
        <v>1.0049999999999999</v>
      </c>
      <c r="O59" s="813">
        <f t="shared" ca="1" si="10"/>
        <v>1.0374531835205993</v>
      </c>
      <c r="Q59" s="809">
        <f t="shared" ca="1" si="2"/>
        <v>1.0227692307692307</v>
      </c>
      <c r="R59" s="810">
        <f t="shared" si="11"/>
        <v>0</v>
      </c>
      <c r="S59" s="813">
        <f t="shared" ca="1" si="12"/>
        <v>1</v>
      </c>
    </row>
    <row r="60" spans="1:19">
      <c r="A60" s="811">
        <f t="shared" si="3"/>
        <v>36647</v>
      </c>
      <c r="B60" s="1102">
        <f ca="1">'[2]Monthly Curve Calc.'!B63</f>
        <v>183.31160858205661</v>
      </c>
      <c r="C60" s="1103">
        <f ca="1">'[2]Monthly Curve Calc.'!C63</f>
        <v>170.60967142233909</v>
      </c>
      <c r="D60" s="1103">
        <f ca="1">'[2]Monthly Curve Calc.'!D63</f>
        <v>137.4137380252844</v>
      </c>
      <c r="E60" s="1103">
        <f ca="1">'[2]Monthly Curve Calc.'!E63</f>
        <v>28.560416666666676</v>
      </c>
      <c r="F60" s="1104">
        <f ca="1">'[2]Monthly Curve Calc.'!F63</f>
        <v>1.7778533789974047</v>
      </c>
      <c r="G60" s="812">
        <f t="shared" ca="1" si="4"/>
        <v>1.1469239629576979</v>
      </c>
      <c r="H60" s="810">
        <f t="shared" ca="1" si="5"/>
        <v>1.0237377569460988</v>
      </c>
      <c r="I60" s="810">
        <f t="shared" ca="1" si="6"/>
        <v>1.0212377569460989</v>
      </c>
      <c r="J60" s="810">
        <f t="shared" ca="1" si="7"/>
        <v>1.0297029702970295</v>
      </c>
      <c r="K60" s="813">
        <f t="shared" ca="1" si="8"/>
        <v>19.64</v>
      </c>
      <c r="L60" s="921">
        <f t="shared" si="0"/>
        <v>48</v>
      </c>
      <c r="M60" s="809">
        <f t="shared" ca="1" si="1"/>
        <v>1.0237377569460988</v>
      </c>
      <c r="N60" s="810">
        <f t="shared" si="9"/>
        <v>1.0049999999999999</v>
      </c>
      <c r="O60" s="813">
        <f t="shared" ca="1" si="10"/>
        <v>1.0620799950339679</v>
      </c>
      <c r="Q60" s="809">
        <f t="shared" ca="1" si="2"/>
        <v>1.0237377569460988</v>
      </c>
      <c r="R60" s="810">
        <f t="shared" si="11"/>
        <v>0</v>
      </c>
      <c r="S60" s="813">
        <f t="shared" ca="1" si="12"/>
        <v>1</v>
      </c>
    </row>
    <row r="61" spans="1:19">
      <c r="A61" s="811">
        <f t="shared" si="3"/>
        <v>36678</v>
      </c>
      <c r="B61" s="1102">
        <f ca="1">'[2]Monthly Curve Calc.'!B64</f>
        <v>184.67377791657367</v>
      </c>
      <c r="C61" s="1103">
        <f ca="1">'[2]Monthly Curve Calc.'!C64</f>
        <v>171.07539549592141</v>
      </c>
      <c r="D61" s="1103">
        <f ca="1">'[2]Monthly Curve Calc.'!D64</f>
        <v>137.86081645377271</v>
      </c>
      <c r="E61" s="1103">
        <f ca="1">'[2]Monthly Curve Calc.'!E64</f>
        <v>29.152500000000011</v>
      </c>
      <c r="F61" s="1104">
        <f ca="1">'[2]Monthly Curve Calc.'!F64</f>
        <v>1.7736539773379247</v>
      </c>
      <c r="G61" s="812">
        <f t="shared" ca="1" si="4"/>
        <v>1.1469239629576979</v>
      </c>
      <c r="H61" s="810">
        <f t="shared" ca="1" si="5"/>
        <v>1.0237377569460988</v>
      </c>
      <c r="I61" s="810">
        <f t="shared" ca="1" si="6"/>
        <v>1.0212377569460989</v>
      </c>
      <c r="J61" s="810">
        <f t="shared" ca="1" si="7"/>
        <v>1.0297029702970295</v>
      </c>
      <c r="K61" s="813">
        <f t="shared" ca="1" si="8"/>
        <v>19.64</v>
      </c>
      <c r="L61" s="921">
        <f t="shared" si="0"/>
        <v>49</v>
      </c>
      <c r="M61" s="809">
        <f t="shared" ca="1" si="1"/>
        <v>1.0237377569460988</v>
      </c>
      <c r="N61" s="810">
        <f t="shared" si="9"/>
        <v>1.0049999999999999</v>
      </c>
      <c r="O61" s="813">
        <f t="shared" ca="1" si="10"/>
        <v>1.0620799950339679</v>
      </c>
      <c r="Q61" s="809">
        <f t="shared" ca="1" si="2"/>
        <v>1.0237377569460988</v>
      </c>
      <c r="R61" s="810">
        <f t="shared" si="11"/>
        <v>0</v>
      </c>
      <c r="S61" s="813">
        <f t="shared" ca="1" si="12"/>
        <v>1</v>
      </c>
    </row>
    <row r="62" spans="1:19">
      <c r="A62" s="811">
        <f t="shared" si="3"/>
        <v>36708</v>
      </c>
      <c r="B62" s="1102">
        <f ca="1">'[2]Monthly Curve Calc.'!B65</f>
        <v>186.04606938852791</v>
      </c>
      <c r="C62" s="1103">
        <f ca="1">'[2]Monthly Curve Calc.'!C65</f>
        <v>171.54239088613488</v>
      </c>
      <c r="D62" s="1103">
        <f ca="1">'[2]Monthly Curve Calc.'!D65</f>
        <v>138.30934946114149</v>
      </c>
      <c r="E62" s="1103">
        <f ca="1">'[2]Monthly Curve Calc.'!E65</f>
        <v>29.744583333333345</v>
      </c>
      <c r="F62" s="1104">
        <f ca="1">'[2]Monthly Curve Calc.'!F65</f>
        <v>1.7694644949296643</v>
      </c>
      <c r="G62" s="812">
        <f t="shared" ca="1" si="4"/>
        <v>1.1469239629576979</v>
      </c>
      <c r="H62" s="810">
        <f t="shared" ca="1" si="5"/>
        <v>1.0237377569460988</v>
      </c>
      <c r="I62" s="810">
        <f t="shared" ca="1" si="6"/>
        <v>1.0212377569460989</v>
      </c>
      <c r="J62" s="810">
        <f t="shared" ca="1" si="7"/>
        <v>1.0297029702970295</v>
      </c>
      <c r="K62" s="813">
        <f t="shared" ca="1" si="8"/>
        <v>19.64</v>
      </c>
      <c r="L62" s="921">
        <f t="shared" si="0"/>
        <v>50</v>
      </c>
      <c r="M62" s="809">
        <f t="shared" ca="1" si="1"/>
        <v>1.0237377569460988</v>
      </c>
      <c r="N62" s="810">
        <f t="shared" si="9"/>
        <v>1.0049999999999999</v>
      </c>
      <c r="O62" s="813">
        <f t="shared" ca="1" si="10"/>
        <v>1.0620799950339679</v>
      </c>
      <c r="Q62" s="809">
        <f t="shared" ca="1" si="2"/>
        <v>1.0237377569460988</v>
      </c>
      <c r="R62" s="810">
        <f t="shared" si="11"/>
        <v>0</v>
      </c>
      <c r="S62" s="813">
        <f t="shared" ca="1" si="12"/>
        <v>1</v>
      </c>
    </row>
    <row r="63" spans="1:19">
      <c r="A63" s="811">
        <f t="shared" si="3"/>
        <v>36739</v>
      </c>
      <c r="B63" s="1102">
        <f ca="1">'[2]Monthly Curve Calc.'!B66</f>
        <v>187.42855821446085</v>
      </c>
      <c r="C63" s="1103">
        <f ca="1">'[2]Monthly Curve Calc.'!C66</f>
        <v>172.01066106337339</v>
      </c>
      <c r="D63" s="1103">
        <f ca="1">'[2]Monthly Curve Calc.'!D66</f>
        <v>138.75934177989313</v>
      </c>
      <c r="E63" s="1103">
        <f ca="1">'[2]Monthly Curve Calc.'!E66</f>
        <v>30.33666666666668</v>
      </c>
      <c r="F63" s="1104">
        <f ca="1">'[2]Monthly Curve Calc.'!F66</f>
        <v>1.7652849083427271</v>
      </c>
      <c r="G63" s="812">
        <f t="shared" ca="1" si="4"/>
        <v>1.1469239629576979</v>
      </c>
      <c r="H63" s="810">
        <f t="shared" ca="1" si="5"/>
        <v>1.0237377569460988</v>
      </c>
      <c r="I63" s="810">
        <f t="shared" ca="1" si="6"/>
        <v>1.0212377569460989</v>
      </c>
      <c r="J63" s="810">
        <f t="shared" ca="1" si="7"/>
        <v>1.0297029702970295</v>
      </c>
      <c r="K63" s="813">
        <f t="shared" ca="1" si="8"/>
        <v>19.64</v>
      </c>
      <c r="L63" s="921">
        <f t="shared" si="0"/>
        <v>51</v>
      </c>
      <c r="M63" s="809">
        <f t="shared" ca="1" si="1"/>
        <v>1.0237377569460988</v>
      </c>
      <c r="N63" s="810">
        <f t="shared" si="9"/>
        <v>1.0049999999999999</v>
      </c>
      <c r="O63" s="813">
        <f t="shared" ca="1" si="10"/>
        <v>1.0620799950339679</v>
      </c>
      <c r="Q63" s="809">
        <f t="shared" ca="1" si="2"/>
        <v>1.0237377569460988</v>
      </c>
      <c r="R63" s="810">
        <f t="shared" si="11"/>
        <v>0</v>
      </c>
      <c r="S63" s="813">
        <f t="shared" ca="1" si="12"/>
        <v>1</v>
      </c>
    </row>
    <row r="64" spans="1:19">
      <c r="A64" s="811">
        <f t="shared" si="3"/>
        <v>36770</v>
      </c>
      <c r="B64" s="1102">
        <f ca="1">'[2]Monthly Curve Calc.'!B67</f>
        <v>188.82132016984022</v>
      </c>
      <c r="C64" s="1103">
        <f ca="1">'[2]Monthly Curve Calc.'!C67</f>
        <v>172.48020950750416</v>
      </c>
      <c r="D64" s="1103">
        <f ca="1">'[2]Monthly Curve Calc.'!D67</f>
        <v>139.21079815792726</v>
      </c>
      <c r="E64" s="1103">
        <f ca="1">'[2]Monthly Curve Calc.'!E67</f>
        <v>30.928750000000015</v>
      </c>
      <c r="F64" s="1104">
        <f ca="1">'[2]Monthly Curve Calc.'!F67</f>
        <v>1.76111519420256</v>
      </c>
      <c r="G64" s="812">
        <f t="shared" ca="1" si="4"/>
        <v>1.1469239629576979</v>
      </c>
      <c r="H64" s="810">
        <f t="shared" ca="1" si="5"/>
        <v>1.0237377569460988</v>
      </c>
      <c r="I64" s="810">
        <f t="shared" ca="1" si="6"/>
        <v>1.0212377569460989</v>
      </c>
      <c r="J64" s="810">
        <f t="shared" ca="1" si="7"/>
        <v>1.0297029702970295</v>
      </c>
      <c r="K64" s="813">
        <f t="shared" ca="1" si="8"/>
        <v>19.64</v>
      </c>
      <c r="L64" s="921">
        <f t="shared" si="0"/>
        <v>52</v>
      </c>
      <c r="M64" s="809">
        <f t="shared" ca="1" si="1"/>
        <v>1.0237377569460988</v>
      </c>
      <c r="N64" s="810">
        <f t="shared" si="9"/>
        <v>1.0049999999999999</v>
      </c>
      <c r="O64" s="813">
        <f t="shared" ca="1" si="10"/>
        <v>1.0620799950339679</v>
      </c>
      <c r="Q64" s="809">
        <f t="shared" ca="1" si="2"/>
        <v>1.0237377569460988</v>
      </c>
      <c r="R64" s="810">
        <f t="shared" si="11"/>
        <v>0</v>
      </c>
      <c r="S64" s="813">
        <f t="shared" ca="1" si="12"/>
        <v>1</v>
      </c>
    </row>
    <row r="65" spans="1:19">
      <c r="A65" s="811">
        <f t="shared" si="3"/>
        <v>36800</v>
      </c>
      <c r="B65" s="1102">
        <f ca="1">'[2]Monthly Curve Calc.'!B68</f>
        <v>190.22443159321332</v>
      </c>
      <c r="C65" s="1103">
        <f ca="1">'[2]Monthly Curve Calc.'!C68</f>
        <v>172.95103970789367</v>
      </c>
      <c r="D65" s="1103">
        <f ca="1">'[2]Monthly Curve Calc.'!D68</f>
        <v>139.66372335859094</v>
      </c>
      <c r="E65" s="1103">
        <f ca="1">'[2]Monthly Curve Calc.'!E68</f>
        <v>31.52083333333335</v>
      </c>
      <c r="F65" s="1104">
        <f ca="1">'[2]Monthly Curve Calc.'!F68</f>
        <v>1.7569553291898219</v>
      </c>
      <c r="G65" s="812">
        <f t="shared" ca="1" si="4"/>
        <v>1.1469239629576979</v>
      </c>
      <c r="H65" s="810">
        <f t="shared" ca="1" si="5"/>
        <v>1.0237377569460988</v>
      </c>
      <c r="I65" s="810">
        <f t="shared" ca="1" si="6"/>
        <v>1.0212377569460989</v>
      </c>
      <c r="J65" s="810">
        <f t="shared" ca="1" si="7"/>
        <v>1.0297029702970295</v>
      </c>
      <c r="K65" s="813">
        <f t="shared" ca="1" si="8"/>
        <v>19.64</v>
      </c>
      <c r="L65" s="921">
        <f t="shared" si="0"/>
        <v>53</v>
      </c>
      <c r="M65" s="809">
        <f t="shared" ca="1" si="1"/>
        <v>1.0237377569460988</v>
      </c>
      <c r="N65" s="810">
        <f t="shared" si="9"/>
        <v>1.0049999999999999</v>
      </c>
      <c r="O65" s="813">
        <f t="shared" ca="1" si="10"/>
        <v>1.0620799950339679</v>
      </c>
      <c r="Q65" s="809">
        <f t="shared" ca="1" si="2"/>
        <v>1.0237377569460988</v>
      </c>
      <c r="R65" s="810">
        <f t="shared" si="11"/>
        <v>0</v>
      </c>
      <c r="S65" s="813">
        <f t="shared" ca="1" si="12"/>
        <v>1</v>
      </c>
    </row>
    <row r="66" spans="1:19">
      <c r="A66" s="811">
        <f t="shared" si="3"/>
        <v>36831</v>
      </c>
      <c r="B66" s="1102">
        <f ca="1">'[2]Monthly Curve Calc.'!B69</f>
        <v>191.63796939039119</v>
      </c>
      <c r="C66" s="1103">
        <f ca="1">'[2]Monthly Curve Calc.'!C69</f>
        <v>173.42315516343351</v>
      </c>
      <c r="D66" s="1103">
        <f ca="1">'[2]Monthly Curve Calc.'!D69</f>
        <v>140.11812216072886</v>
      </c>
      <c r="E66" s="1103">
        <f ca="1">'[2]Monthly Curve Calc.'!E69</f>
        <v>32.112916666666685</v>
      </c>
      <c r="F66" s="1104">
        <f ca="1">'[2]Monthly Curve Calc.'!F69</f>
        <v>1.7528052900402533</v>
      </c>
      <c r="G66" s="812">
        <f t="shared" ca="1" si="4"/>
        <v>1.1469239629576979</v>
      </c>
      <c r="H66" s="810">
        <f t="shared" ca="1" si="5"/>
        <v>1.0237377569460988</v>
      </c>
      <c r="I66" s="810">
        <f t="shared" ca="1" si="6"/>
        <v>1.0212377569460989</v>
      </c>
      <c r="J66" s="810">
        <f t="shared" ca="1" si="7"/>
        <v>1.0297029702970295</v>
      </c>
      <c r="K66" s="813">
        <f t="shared" ca="1" si="8"/>
        <v>19.64</v>
      </c>
      <c r="L66" s="921">
        <f t="shared" si="0"/>
        <v>54</v>
      </c>
      <c r="M66" s="809">
        <f t="shared" ca="1" si="1"/>
        <v>1.0237377569460988</v>
      </c>
      <c r="N66" s="810">
        <f t="shared" si="9"/>
        <v>1.0049999999999999</v>
      </c>
      <c r="O66" s="813">
        <f t="shared" ca="1" si="10"/>
        <v>1.0620799950339679</v>
      </c>
      <c r="Q66" s="809">
        <f t="shared" ca="1" si="2"/>
        <v>1.0237377569460988</v>
      </c>
      <c r="R66" s="810">
        <f t="shared" si="11"/>
        <v>0</v>
      </c>
      <c r="S66" s="813">
        <f t="shared" ca="1" si="12"/>
        <v>1</v>
      </c>
    </row>
    <row r="67" spans="1:19">
      <c r="A67" s="811">
        <f t="shared" si="3"/>
        <v>36861</v>
      </c>
      <c r="B67" s="1102">
        <f ca="1">'[2]Monthly Curve Calc.'!B70</f>
        <v>193.06201103866388</v>
      </c>
      <c r="C67" s="1103">
        <f ca="1">'[2]Monthly Curve Calc.'!C70</f>
        <v>173.89655938256641</v>
      </c>
      <c r="D67" s="1103">
        <f ca="1">'[2]Monthly Curve Calc.'!D70</f>
        <v>140.5739993587338</v>
      </c>
      <c r="E67" s="1103">
        <f ca="1">'[2]Monthly Curve Calc.'!E70</f>
        <v>26.745000000000001</v>
      </c>
      <c r="F67" s="1104">
        <f ca="1">'[2]Monthly Curve Calc.'!F70</f>
        <v>1.8038677232680336</v>
      </c>
      <c r="G67" s="812">
        <f t="shared" ca="1" si="4"/>
        <v>1.1469239629576979</v>
      </c>
      <c r="H67" s="810">
        <f t="shared" ca="1" si="5"/>
        <v>1.0237377569460988</v>
      </c>
      <c r="I67" s="810">
        <f t="shared" ca="1" si="6"/>
        <v>1.0212377569460989</v>
      </c>
      <c r="J67" s="810">
        <f t="shared" ca="1" si="7"/>
        <v>1.0297029702970295</v>
      </c>
      <c r="K67" s="813">
        <f t="shared" ca="1" si="8"/>
        <v>19.64</v>
      </c>
      <c r="L67" s="921">
        <f t="shared" si="0"/>
        <v>55</v>
      </c>
      <c r="M67" s="809">
        <f t="shared" ca="1" si="1"/>
        <v>1.0237377569460988</v>
      </c>
      <c r="N67" s="810">
        <f t="shared" si="9"/>
        <v>1.0049999999999999</v>
      </c>
      <c r="O67" s="813">
        <f t="shared" ca="1" si="10"/>
        <v>1.0620799950339679</v>
      </c>
      <c r="Q67" s="809">
        <f t="shared" ca="1" si="2"/>
        <v>1.0237377569460988</v>
      </c>
      <c r="R67" s="810">
        <f t="shared" si="11"/>
        <v>0</v>
      </c>
      <c r="S67" s="813">
        <f t="shared" ca="1" si="12"/>
        <v>1</v>
      </c>
    </row>
    <row r="68" spans="1:19">
      <c r="A68" s="811">
        <f t="shared" si="3"/>
        <v>36892</v>
      </c>
      <c r="B68" s="1102">
        <f ca="1">'[2]Monthly Curve Calc.'!B71</f>
        <v>194.45347137228308</v>
      </c>
      <c r="C68" s="1103">
        <f ca="1">'[2]Monthly Curve Calc.'!C71</f>
        <v>174.3626262314074</v>
      </c>
      <c r="D68" s="1103">
        <f ca="1">'[2]Monthly Curve Calc.'!D71</f>
        <v>140.99652459526345</v>
      </c>
      <c r="E68" s="1103">
        <f ca="1">'[2]Monthly Curve Calc.'!E71</f>
        <v>26.422152777777779</v>
      </c>
      <c r="F68" s="1104">
        <f ca="1">'[2]Monthly Curve Calc.'!F71</f>
        <v>1.8188212690525873</v>
      </c>
      <c r="G68" s="812">
        <f t="shared" ca="1" si="4"/>
        <v>1.1469239629576979</v>
      </c>
      <c r="H68" s="810">
        <f t="shared" ca="1" si="5"/>
        <v>1.0237377569460988</v>
      </c>
      <c r="I68" s="810">
        <f t="shared" ca="1" si="6"/>
        <v>1.0212377569460989</v>
      </c>
      <c r="J68" s="810">
        <f t="shared" ca="1" si="7"/>
        <v>1.0397485159669662</v>
      </c>
      <c r="K68" s="813">
        <f t="shared" ca="1" si="8"/>
        <v>28.951875000000012</v>
      </c>
      <c r="L68" s="921">
        <f t="shared" si="0"/>
        <v>56</v>
      </c>
      <c r="M68" s="809">
        <f t="shared" ca="1" si="1"/>
        <v>1.0237377569460988</v>
      </c>
      <c r="N68" s="810">
        <f t="shared" si="9"/>
        <v>1.0049999999999999</v>
      </c>
      <c r="O68" s="813">
        <f t="shared" ca="1" si="10"/>
        <v>1.0620799950339679</v>
      </c>
      <c r="Q68" s="809">
        <f t="shared" ca="1" si="2"/>
        <v>1.0237377569460988</v>
      </c>
      <c r="R68" s="810">
        <f t="shared" si="11"/>
        <v>0</v>
      </c>
      <c r="S68" s="813">
        <f t="shared" ca="1" si="12"/>
        <v>1</v>
      </c>
    </row>
    <row r="69" spans="1:19">
      <c r="A69" s="811">
        <f t="shared" si="3"/>
        <v>36923</v>
      </c>
      <c r="B69" s="1102">
        <f ca="1">'[2]Monthly Curve Calc.'!B72</f>
        <v>195.85496041040827</v>
      </c>
      <c r="C69" s="1103">
        <f ca="1">'[2]Monthly Curve Calc.'!C72</f>
        <v>174.82994220391342</v>
      </c>
      <c r="D69" s="1103">
        <f ca="1">'[2]Monthly Curve Calc.'!D72</f>
        <v>141.42031982180777</v>
      </c>
      <c r="E69" s="1103">
        <f ca="1">'[2]Monthly Curve Calc.'!E72</f>
        <v>26.099305555555556</v>
      </c>
      <c r="F69" s="1104">
        <f ca="1">'[2]Monthly Curve Calc.'!F72</f>
        <v>1.8338987754405969</v>
      </c>
      <c r="G69" s="812">
        <f t="shared" ca="1" si="4"/>
        <v>1.1469239629576979</v>
      </c>
      <c r="H69" s="810">
        <f t="shared" ca="1" si="5"/>
        <v>1.0237377569460988</v>
      </c>
      <c r="I69" s="810">
        <f t="shared" ca="1" si="6"/>
        <v>1.0212377569460989</v>
      </c>
      <c r="J69" s="810">
        <f t="shared" ca="1" si="7"/>
        <v>1.0397485159669662</v>
      </c>
      <c r="K69" s="813">
        <f t="shared" ca="1" si="8"/>
        <v>28.951875000000012</v>
      </c>
      <c r="L69" s="921">
        <f t="shared" si="0"/>
        <v>57</v>
      </c>
      <c r="M69" s="809">
        <f t="shared" ca="1" si="1"/>
        <v>1.0237377569460988</v>
      </c>
      <c r="N69" s="810">
        <f t="shared" si="9"/>
        <v>1.0049999999999999</v>
      </c>
      <c r="O69" s="813">
        <f t="shared" ca="1" si="10"/>
        <v>1.0620799950339679</v>
      </c>
      <c r="Q69" s="809">
        <f t="shared" ca="1" si="2"/>
        <v>1.0237377569460988</v>
      </c>
      <c r="R69" s="810">
        <f t="shared" si="11"/>
        <v>0</v>
      </c>
      <c r="S69" s="813">
        <f t="shared" ca="1" si="12"/>
        <v>1</v>
      </c>
    </row>
    <row r="70" spans="1:19">
      <c r="A70" s="811">
        <f t="shared" si="3"/>
        <v>36951</v>
      </c>
      <c r="B70" s="1102">
        <f ca="1">'[2]Monthly Curve Calc.'!B73</f>
        <v>197.26655043315523</v>
      </c>
      <c r="C70" s="1103">
        <f ca="1">'[2]Monthly Curve Calc.'!C73</f>
        <v>175.29851064790876</v>
      </c>
      <c r="D70" s="1103">
        <f ca="1">'[2]Monthly Curve Calc.'!D73</f>
        <v>141.84538885559348</v>
      </c>
      <c r="E70" s="1103">
        <f ca="1">'[2]Monthly Curve Calc.'!E73</f>
        <v>25.776458333333334</v>
      </c>
      <c r="F70" s="1104">
        <f ca="1">'[2]Monthly Curve Calc.'!F73</f>
        <v>1.849101270029893</v>
      </c>
      <c r="G70" s="812">
        <f t="shared" ca="1" si="4"/>
        <v>1.1469239629576979</v>
      </c>
      <c r="H70" s="810">
        <f t="shared" ca="1" si="5"/>
        <v>1.0237377569460988</v>
      </c>
      <c r="I70" s="810">
        <f t="shared" ca="1" si="6"/>
        <v>1.0212377569460989</v>
      </c>
      <c r="J70" s="810">
        <f t="shared" ca="1" si="7"/>
        <v>1.0397485159669662</v>
      </c>
      <c r="K70" s="813">
        <f t="shared" ca="1" si="8"/>
        <v>28.951875000000012</v>
      </c>
      <c r="L70" s="921">
        <f t="shared" si="0"/>
        <v>58</v>
      </c>
      <c r="M70" s="809">
        <f t="shared" ca="1" si="1"/>
        <v>1.0237377569460988</v>
      </c>
      <c r="N70" s="810">
        <f t="shared" si="9"/>
        <v>1.0049999999999999</v>
      </c>
      <c r="O70" s="813">
        <f t="shared" ca="1" si="10"/>
        <v>1.0620799950339679</v>
      </c>
      <c r="Q70" s="809">
        <f t="shared" ca="1" si="2"/>
        <v>1.0237377569460988</v>
      </c>
      <c r="R70" s="810">
        <f t="shared" si="11"/>
        <v>0</v>
      </c>
      <c r="S70" s="813">
        <f t="shared" ca="1" si="12"/>
        <v>1</v>
      </c>
    </row>
    <row r="71" spans="1:19">
      <c r="A71" s="811">
        <f t="shared" si="3"/>
        <v>36982</v>
      </c>
      <c r="B71" s="1102">
        <f ca="1">'[2]Monthly Curve Calc.'!B74</f>
        <v>198.68831424158597</v>
      </c>
      <c r="C71" s="1103">
        <f ca="1">'[2]Monthly Curve Calc.'!C74</f>
        <v>175.76833492019037</v>
      </c>
      <c r="D71" s="1103">
        <f ca="1">'[2]Monthly Curve Calc.'!D74</f>
        <v>142.27173552532085</v>
      </c>
      <c r="E71" s="1103">
        <f ca="1">'[2]Monthly Curve Calc.'!E74</f>
        <v>25.453611111111112</v>
      </c>
      <c r="F71" s="1104">
        <f ca="1">'[2]Monthly Curve Calc.'!F74</f>
        <v>1.8644297889367973</v>
      </c>
      <c r="G71" s="812">
        <f t="shared" ca="1" si="4"/>
        <v>1.1469239629576979</v>
      </c>
      <c r="H71" s="810">
        <f t="shared" ca="1" si="5"/>
        <v>1.0237377569460988</v>
      </c>
      <c r="I71" s="810">
        <f t="shared" ca="1" si="6"/>
        <v>1.0212377569460989</v>
      </c>
      <c r="J71" s="810">
        <f t="shared" ca="1" si="7"/>
        <v>1.0397485159669662</v>
      </c>
      <c r="K71" s="813">
        <f t="shared" ca="1" si="8"/>
        <v>28.951875000000012</v>
      </c>
      <c r="L71" s="921">
        <f t="shared" si="0"/>
        <v>59</v>
      </c>
      <c r="M71" s="809">
        <f t="shared" ca="1" si="1"/>
        <v>1.0237377569460988</v>
      </c>
      <c r="N71" s="810">
        <f t="shared" si="9"/>
        <v>1.0049999999999999</v>
      </c>
      <c r="O71" s="813">
        <f t="shared" ca="1" si="10"/>
        <v>1.0620799950339679</v>
      </c>
      <c r="Q71" s="809">
        <f t="shared" ca="1" si="2"/>
        <v>1.0237377569460988</v>
      </c>
      <c r="R71" s="810">
        <f t="shared" si="11"/>
        <v>0</v>
      </c>
      <c r="S71" s="813">
        <f t="shared" ca="1" si="12"/>
        <v>1</v>
      </c>
    </row>
    <row r="72" spans="1:19">
      <c r="A72" s="811">
        <f t="shared" si="3"/>
        <v>37012</v>
      </c>
      <c r="B72" s="1102">
        <f ca="1">'[2]Monthly Curve Calc.'!B75</f>
        <v>200.12032516146326</v>
      </c>
      <c r="C72" s="1103">
        <f ca="1">'[2]Monthly Curve Calc.'!C75</f>
        <v>176.23941838655188</v>
      </c>
      <c r="D72" s="1103">
        <f ca="1">'[2]Monthly Curve Calc.'!D75</f>
        <v>142.69936367119809</v>
      </c>
      <c r="E72" s="1103">
        <f ca="1">'[2]Monthly Curve Calc.'!E75</f>
        <v>25.13076388888889</v>
      </c>
      <c r="F72" s="1104">
        <f ca="1">'[2]Monthly Curve Calc.'!F75</f>
        <v>1.8798853768667387</v>
      </c>
      <c r="G72" s="812">
        <f t="shared" ca="1" si="4"/>
        <v>1.0919370999534188</v>
      </c>
      <c r="H72" s="810">
        <f t="shared" ca="1" si="5"/>
        <v>1.0330489441562738</v>
      </c>
      <c r="I72" s="810">
        <f t="shared" ca="1" si="6"/>
        <v>1.0305489441562738</v>
      </c>
      <c r="J72" s="810">
        <f t="shared" ca="1" si="7"/>
        <v>1.0397485159669662</v>
      </c>
      <c r="K72" s="813">
        <f t="shared" ca="1" si="8"/>
        <v>28.951875000000012</v>
      </c>
      <c r="L72" s="921">
        <f t="shared" si="0"/>
        <v>60</v>
      </c>
      <c r="M72" s="809">
        <f t="shared" ca="1" si="1"/>
        <v>1.0330489441562738</v>
      </c>
      <c r="N72" s="810">
        <f t="shared" si="9"/>
        <v>1.0049999999999999</v>
      </c>
      <c r="O72" s="813">
        <f t="shared" ca="1" si="10"/>
        <v>1.097180617479341</v>
      </c>
      <c r="Q72" s="809">
        <f t="shared" ca="1" si="2"/>
        <v>1.0330489441562738</v>
      </c>
      <c r="R72" s="810">
        <f t="shared" si="11"/>
        <v>0</v>
      </c>
      <c r="S72" s="813">
        <f t="shared" ca="1" si="12"/>
        <v>1</v>
      </c>
    </row>
    <row r="73" spans="1:19">
      <c r="A73" s="811">
        <f t="shared" si="3"/>
        <v>37043</v>
      </c>
      <c r="B73" s="1102">
        <f ca="1">'[2]Monthly Curve Calc.'!B76</f>
        <v>201.56265704703233</v>
      </c>
      <c r="C73" s="1103">
        <f ca="1">'[2]Monthly Curve Calc.'!C76</f>
        <v>176.71176442180774</v>
      </c>
      <c r="D73" s="1103">
        <f ca="1">'[2]Monthly Curve Calc.'!D76</f>
        <v>143.12827714497598</v>
      </c>
      <c r="E73" s="1103">
        <f ca="1">'[2]Monthly Curve Calc.'!E76</f>
        <v>24.807916666666667</v>
      </c>
      <c r="F73" s="1104">
        <f ca="1">'[2]Monthly Curve Calc.'!F76</f>
        <v>1.8954690871854543</v>
      </c>
      <c r="G73" s="812">
        <f t="shared" ca="1" si="4"/>
        <v>1.0919370999534188</v>
      </c>
      <c r="H73" s="810">
        <f t="shared" ca="1" si="5"/>
        <v>1.0330489441562738</v>
      </c>
      <c r="I73" s="810">
        <f t="shared" ca="1" si="6"/>
        <v>1.0305489441562738</v>
      </c>
      <c r="J73" s="810">
        <f t="shared" ca="1" si="7"/>
        <v>1.0397485159669662</v>
      </c>
      <c r="K73" s="813">
        <f t="shared" ca="1" si="8"/>
        <v>28.951875000000012</v>
      </c>
      <c r="L73" s="921">
        <f t="shared" si="0"/>
        <v>61</v>
      </c>
      <c r="M73" s="809">
        <f t="shared" ca="1" si="1"/>
        <v>1.0330489441562738</v>
      </c>
      <c r="N73" s="810">
        <f t="shared" si="9"/>
        <v>1.0049999999999999</v>
      </c>
      <c r="O73" s="813">
        <f t="shared" ca="1" si="10"/>
        <v>1.097180617479341</v>
      </c>
      <c r="Q73" s="809">
        <f t="shared" ca="1" si="2"/>
        <v>1.0330489441562738</v>
      </c>
      <c r="R73" s="810">
        <f t="shared" si="11"/>
        <v>0</v>
      </c>
      <c r="S73" s="813">
        <f t="shared" ca="1" si="12"/>
        <v>1.0330489441562738</v>
      </c>
    </row>
    <row r="74" spans="1:19">
      <c r="A74" s="811">
        <f t="shared" si="3"/>
        <v>37073</v>
      </c>
      <c r="B74" s="1102">
        <f ca="1">'[2]Monthly Curve Calc.'!B77</f>
        <v>203.01538428482988</v>
      </c>
      <c r="C74" s="1103">
        <f ca="1">'[2]Monthly Curve Calc.'!C77</f>
        <v>177.18537640981734</v>
      </c>
      <c r="D74" s="1103">
        <f ca="1">'[2]Monthly Curve Calc.'!D77</f>
        <v>143.5584798099826</v>
      </c>
      <c r="E74" s="1103">
        <f ca="1">'[2]Monthly Curve Calc.'!E77</f>
        <v>24.485069444444445</v>
      </c>
      <c r="F74" s="1104">
        <f ca="1">'[2]Monthly Curve Calc.'!F77</f>
        <v>1.9111819819907805</v>
      </c>
      <c r="G74" s="812">
        <f t="shared" ca="1" si="4"/>
        <v>1.0919370999534188</v>
      </c>
      <c r="H74" s="810">
        <f t="shared" ca="1" si="5"/>
        <v>1.0330489441562738</v>
      </c>
      <c r="I74" s="810">
        <f t="shared" ca="1" si="6"/>
        <v>1.0305489441562738</v>
      </c>
      <c r="J74" s="810">
        <f t="shared" ca="1" si="7"/>
        <v>1.0397485159669662</v>
      </c>
      <c r="K74" s="813">
        <f t="shared" ca="1" si="8"/>
        <v>28.951875000000012</v>
      </c>
      <c r="L74" s="921">
        <f t="shared" si="0"/>
        <v>62</v>
      </c>
      <c r="M74" s="809">
        <f t="shared" ca="1" si="1"/>
        <v>1.0330489441562738</v>
      </c>
      <c r="N74" s="810">
        <f t="shared" si="9"/>
        <v>1.0049999999999999</v>
      </c>
      <c r="O74" s="813">
        <f t="shared" ca="1" si="10"/>
        <v>1.097180617479341</v>
      </c>
      <c r="Q74" s="809">
        <f t="shared" ca="1" si="2"/>
        <v>1.0330489441562738</v>
      </c>
      <c r="R74" s="810">
        <f t="shared" si="11"/>
        <v>0</v>
      </c>
      <c r="S74" s="813">
        <f t="shared" ca="1" si="12"/>
        <v>1.0330489441562738</v>
      </c>
    </row>
    <row r="75" spans="1:19">
      <c r="A75" s="811">
        <f t="shared" si="3"/>
        <v>37104</v>
      </c>
      <c r="B75" s="1102">
        <f ca="1">'[2]Monthly Curve Calc.'!B78</f>
        <v>204.47858179752038</v>
      </c>
      <c r="C75" s="1103">
        <f ca="1">'[2]Monthly Curve Calc.'!C78</f>
        <v>177.66025774350925</v>
      </c>
      <c r="D75" s="1103">
        <f ca="1">'[2]Monthly Curve Calc.'!D78</f>
        <v>143.98997554115803</v>
      </c>
      <c r="E75" s="1103">
        <f ca="1">'[2]Monthly Curve Calc.'!E78</f>
        <v>24.162222222222223</v>
      </c>
      <c r="F75" s="1104">
        <f ca="1">'[2]Monthly Curve Calc.'!F78</f>
        <v>1.9270251321850405</v>
      </c>
      <c r="G75" s="812">
        <f t="shared" ca="1" si="4"/>
        <v>1.0919370999534188</v>
      </c>
      <c r="H75" s="810">
        <f t="shared" ca="1" si="5"/>
        <v>1.0330489441562738</v>
      </c>
      <c r="I75" s="810">
        <f t="shared" ca="1" si="6"/>
        <v>1.0305489441562738</v>
      </c>
      <c r="J75" s="810">
        <f t="shared" ca="1" si="7"/>
        <v>1.0397485159669662</v>
      </c>
      <c r="K75" s="813">
        <f t="shared" ca="1" si="8"/>
        <v>28.951875000000012</v>
      </c>
      <c r="L75" s="921">
        <f t="shared" si="0"/>
        <v>63</v>
      </c>
      <c r="M75" s="809">
        <f t="shared" ca="1" si="1"/>
        <v>1.0330489441562738</v>
      </c>
      <c r="N75" s="810">
        <f t="shared" si="9"/>
        <v>1.0049999999999999</v>
      </c>
      <c r="O75" s="813">
        <f t="shared" ca="1" si="10"/>
        <v>1.097180617479341</v>
      </c>
      <c r="Q75" s="809">
        <f t="shared" ca="1" si="2"/>
        <v>1.0330489441562738</v>
      </c>
      <c r="R75" s="810">
        <f t="shared" si="11"/>
        <v>0</v>
      </c>
      <c r="S75" s="813">
        <f t="shared" ca="1" si="12"/>
        <v>1.0330489441562738</v>
      </c>
    </row>
    <row r="76" spans="1:19">
      <c r="A76" s="811">
        <f t="shared" si="3"/>
        <v>37135</v>
      </c>
      <c r="B76" s="1102">
        <f ca="1">'[2]Monthly Curve Calc.'!B79</f>
        <v>205.95232504776021</v>
      </c>
      <c r="C76" s="1103">
        <f ca="1">'[2]Monthly Curve Calc.'!C79</f>
        <v>178.13641182490562</v>
      </c>
      <c r="D76" s="1103">
        <f ca="1">'[2]Monthly Curve Calc.'!D79</f>
        <v>144.42276822508936</v>
      </c>
      <c r="E76" s="1103">
        <f ca="1">'[2]Monthly Curve Calc.'!E79</f>
        <v>23.839375</v>
      </c>
      <c r="F76" s="1104">
        <f ca="1">'[2]Monthly Curve Calc.'!F79</f>
        <v>1.9429996175480302</v>
      </c>
      <c r="G76" s="812">
        <f t="shared" ca="1" si="4"/>
        <v>1.0919370999534188</v>
      </c>
      <c r="H76" s="810">
        <f t="shared" ca="1" si="5"/>
        <v>1.0330489441562738</v>
      </c>
      <c r="I76" s="810">
        <f t="shared" ca="1" si="6"/>
        <v>1.0305489441562738</v>
      </c>
      <c r="J76" s="810">
        <f t="shared" ca="1" si="7"/>
        <v>1.0397485159669662</v>
      </c>
      <c r="K76" s="813">
        <f t="shared" ca="1" si="8"/>
        <v>28.951875000000012</v>
      </c>
      <c r="L76" s="921">
        <f t="shared" si="0"/>
        <v>64</v>
      </c>
      <c r="M76" s="809">
        <f t="shared" ca="1" si="1"/>
        <v>1.0330489441562738</v>
      </c>
      <c r="N76" s="810">
        <f t="shared" si="9"/>
        <v>1.0049999999999999</v>
      </c>
      <c r="O76" s="813">
        <f t="shared" ca="1" si="10"/>
        <v>1.097180617479341</v>
      </c>
      <c r="Q76" s="809">
        <f t="shared" ca="1" si="2"/>
        <v>1.0330489441562738</v>
      </c>
      <c r="R76" s="810">
        <f t="shared" si="11"/>
        <v>0</v>
      </c>
      <c r="S76" s="813">
        <f t="shared" ca="1" si="12"/>
        <v>1.0330489441562738</v>
      </c>
    </row>
    <row r="77" spans="1:19">
      <c r="A77" s="811">
        <f t="shared" si="3"/>
        <v>37165</v>
      </c>
      <c r="B77" s="1102">
        <f ca="1">'[2]Monthly Curve Calc.'!B80</f>
        <v>207.43669004208951</v>
      </c>
      <c r="C77" s="1103">
        <f ca="1">'[2]Monthly Curve Calc.'!C80</f>
        <v>178.61384206514646</v>
      </c>
      <c r="D77" s="1103">
        <f ca="1">'[2]Monthly Curve Calc.'!D80</f>
        <v>144.85686176004563</v>
      </c>
      <c r="E77" s="1103">
        <f ca="1">'[2]Monthly Curve Calc.'!E80</f>
        <v>23.516527777777778</v>
      </c>
      <c r="F77" s="1104">
        <f ca="1">'[2]Monthly Curve Calc.'!F80</f>
        <v>1.95910652681061</v>
      </c>
      <c r="G77" s="812">
        <f t="shared" ca="1" si="4"/>
        <v>1.0919370999534188</v>
      </c>
      <c r="H77" s="810">
        <f t="shared" ca="1" si="5"/>
        <v>1.0330489441562738</v>
      </c>
      <c r="I77" s="810">
        <f t="shared" ca="1" si="6"/>
        <v>1.0305489441562738</v>
      </c>
      <c r="J77" s="810">
        <f t="shared" ca="1" si="7"/>
        <v>1.0397485159669662</v>
      </c>
      <c r="K77" s="813">
        <f t="shared" ca="1" si="8"/>
        <v>28.951875000000012</v>
      </c>
      <c r="L77" s="921">
        <f t="shared" ref="L77:L140" si="13">L76+1</f>
        <v>65</v>
      </c>
      <c r="M77" s="809">
        <f t="shared" ca="1" si="1"/>
        <v>1.0330489441562738</v>
      </c>
      <c r="N77" s="810">
        <f t="shared" si="9"/>
        <v>1.0049999999999999</v>
      </c>
      <c r="O77" s="813">
        <f t="shared" ca="1" si="10"/>
        <v>1.097180617479341</v>
      </c>
      <c r="Q77" s="809">
        <f t="shared" ca="1" si="2"/>
        <v>1.0330489441562738</v>
      </c>
      <c r="R77" s="810">
        <f t="shared" si="11"/>
        <v>0</v>
      </c>
      <c r="S77" s="813">
        <f t="shared" ca="1" si="12"/>
        <v>1.0330489441562738</v>
      </c>
    </row>
    <row r="78" spans="1:19">
      <c r="A78" s="811">
        <f t="shared" si="3"/>
        <v>37196</v>
      </c>
      <c r="B78" s="1102">
        <f ca="1">'[2]Monthly Curve Calc.'!B81</f>
        <v>208.93175333485209</v>
      </c>
      <c r="C78" s="1103">
        <f ca="1">'[2]Monthly Curve Calc.'!C81</f>
        <v>179.09255188451411</v>
      </c>
      <c r="D78" s="1103">
        <f ca="1">'[2]Monthly Curve Calc.'!D81</f>
        <v>145.29226005601299</v>
      </c>
      <c r="E78" s="1103">
        <f ca="1">'[2]Monthly Curve Calc.'!E81</f>
        <v>23.193680555555556</v>
      </c>
      <c r="F78" s="1104">
        <f ca="1">'[2]Monthly Curve Calc.'!F81</f>
        <v>1.9753469577289071</v>
      </c>
      <c r="G78" s="812">
        <f t="shared" ca="1" si="4"/>
        <v>1.0919370999534188</v>
      </c>
      <c r="H78" s="810">
        <f t="shared" ca="1" si="5"/>
        <v>1.0330489441562738</v>
      </c>
      <c r="I78" s="810">
        <f t="shared" ca="1" si="6"/>
        <v>1.0305489441562738</v>
      </c>
      <c r="J78" s="810">
        <f t="shared" ca="1" si="7"/>
        <v>1.0397485159669662</v>
      </c>
      <c r="K78" s="813">
        <f t="shared" ca="1" si="8"/>
        <v>28.951875000000012</v>
      </c>
      <c r="L78" s="921">
        <f t="shared" si="13"/>
        <v>66</v>
      </c>
      <c r="M78" s="809">
        <f t="shared" ca="1" si="1"/>
        <v>1.0330489441562738</v>
      </c>
      <c r="N78" s="810">
        <f t="shared" si="9"/>
        <v>1.0049999999999999</v>
      </c>
      <c r="O78" s="813">
        <f t="shared" ca="1" si="10"/>
        <v>1.097180617479341</v>
      </c>
      <c r="Q78" s="809">
        <f t="shared" ca="1" si="2"/>
        <v>1.0330489441562738</v>
      </c>
      <c r="R78" s="810">
        <f t="shared" si="11"/>
        <v>0</v>
      </c>
      <c r="S78" s="813">
        <f t="shared" ca="1" si="12"/>
        <v>1.0330489441562738</v>
      </c>
    </row>
    <row r="79" spans="1:19">
      <c r="A79" s="811">
        <f t="shared" si="3"/>
        <v>37226</v>
      </c>
      <c r="B79" s="1102">
        <f ca="1">'[2]Monthly Curve Calc.'!B82</f>
        <v>210.4375920321437</v>
      </c>
      <c r="C79" s="1103">
        <f ca="1">'[2]Monthly Curve Calc.'!C82</f>
        <v>179.57254471245776</v>
      </c>
      <c r="D79" s="1103">
        <f ca="1">'[2]Monthly Curve Calc.'!D82</f>
        <v>145.72896703472983</v>
      </c>
      <c r="E79" s="1103">
        <f ca="1">'[2]Monthly Curve Calc.'!E82</f>
        <v>22.870833333333337</v>
      </c>
      <c r="F79" s="1104">
        <f ca="1">'[2]Monthly Curve Calc.'!F82</f>
        <v>1.9917220171591306</v>
      </c>
      <c r="G79" s="812">
        <f t="shared" ca="1" si="4"/>
        <v>1.0919370999534188</v>
      </c>
      <c r="H79" s="810">
        <f t="shared" ca="1" si="5"/>
        <v>1.0330489441562738</v>
      </c>
      <c r="I79" s="810">
        <f t="shared" ca="1" si="6"/>
        <v>1.0305489441562738</v>
      </c>
      <c r="J79" s="810">
        <f t="shared" ca="1" si="7"/>
        <v>1.0397485159669662</v>
      </c>
      <c r="K79" s="813">
        <f t="shared" ca="1" si="8"/>
        <v>28.951875000000012</v>
      </c>
      <c r="L79" s="921">
        <f t="shared" si="13"/>
        <v>67</v>
      </c>
      <c r="M79" s="809">
        <f t="shared" ca="1" si="1"/>
        <v>1.0330489441562738</v>
      </c>
      <c r="N79" s="810">
        <f t="shared" si="9"/>
        <v>1.0049999999999999</v>
      </c>
      <c r="O79" s="813">
        <f t="shared" ca="1" si="10"/>
        <v>1.097180617479341</v>
      </c>
      <c r="Q79" s="809">
        <f t="shared" ca="1" si="2"/>
        <v>1.0330489441562738</v>
      </c>
      <c r="R79" s="810">
        <f t="shared" si="11"/>
        <v>0</v>
      </c>
      <c r="S79" s="813">
        <f t="shared" ca="1" si="12"/>
        <v>1.0330489441562738</v>
      </c>
    </row>
    <row r="80" spans="1:19">
      <c r="A80" s="811">
        <f t="shared" si="3"/>
        <v>37257</v>
      </c>
      <c r="B80" s="1102">
        <f ca="1">'[2]Monthly Curve Calc.'!B83</f>
        <v>211.87309067014004</v>
      </c>
      <c r="C80" s="1103">
        <f ca="1">'[2]Monthly Curve Calc.'!C83</f>
        <v>180.02195483939127</v>
      </c>
      <c r="D80" s="1103">
        <f ca="1">'[2]Monthly Curve Calc.'!D83</f>
        <v>146.09280126420066</v>
      </c>
      <c r="E80" s="1103">
        <f ca="1">'[2]Monthly Curve Calc.'!E83</f>
        <v>22.712152777777781</v>
      </c>
      <c r="F80" s="1104">
        <f ca="1">'[2]Monthly Curve Calc.'!F83</f>
        <v>2.0024865610216462</v>
      </c>
      <c r="G80" s="812">
        <f t="shared" ca="1" si="4"/>
        <v>1.0919370999534188</v>
      </c>
      <c r="H80" s="810">
        <f t="shared" ca="1" si="5"/>
        <v>1.0330489441562738</v>
      </c>
      <c r="I80" s="810">
        <f t="shared" ca="1" si="6"/>
        <v>1.0305489441562738</v>
      </c>
      <c r="J80" s="810">
        <f t="shared" ca="1" si="7"/>
        <v>1.0366708473794002</v>
      </c>
      <c r="K80" s="813">
        <f t="shared" ca="1" si="8"/>
        <v>24.646493055555556</v>
      </c>
      <c r="L80" s="921">
        <f t="shared" si="13"/>
        <v>68</v>
      </c>
      <c r="M80" s="809">
        <f t="shared" ca="1" si="1"/>
        <v>1.0330489441562738</v>
      </c>
      <c r="N80" s="810">
        <f t="shared" si="9"/>
        <v>1.0049999999999999</v>
      </c>
      <c r="O80" s="1371">
        <f ca="1">IF(AND($A80&gt;=O$16,MONTH($A80)=MONTH(O$16)),MAX(M80,N80)*O79,O79)</f>
        <v>1.097180617479341</v>
      </c>
      <c r="Q80" s="809">
        <f t="shared" ca="1" si="2"/>
        <v>1.0330489441562738</v>
      </c>
      <c r="R80" s="810">
        <f t="shared" si="11"/>
        <v>0</v>
      </c>
      <c r="S80" s="813">
        <f t="shared" ca="1" si="12"/>
        <v>1.0330489441562738</v>
      </c>
    </row>
    <row r="81" spans="1:19">
      <c r="A81" s="811">
        <f t="shared" si="3"/>
        <v>37288</v>
      </c>
      <c r="B81" s="1102">
        <f ca="1">'[2]Monthly Curve Calc.'!B84</f>
        <v>213.31838155257233</v>
      </c>
      <c r="C81" s="1103">
        <f ca="1">'[2]Monthly Curve Calc.'!C84</f>
        <v>180.47248968983146</v>
      </c>
      <c r="D81" s="1103">
        <f ca="1">'[2]Monthly Curve Calc.'!D84</f>
        <v>146.45754386041028</v>
      </c>
      <c r="E81" s="1103">
        <f ca="1">'[2]Monthly Curve Calc.'!E84</f>
        <v>22.553472222222226</v>
      </c>
      <c r="F81" s="1104">
        <f ca="1">'[2]Monthly Curve Calc.'!F84</f>
        <v>2.0133092833867692</v>
      </c>
      <c r="G81" s="812">
        <f t="shared" ca="1" si="4"/>
        <v>1.0919370999534188</v>
      </c>
      <c r="H81" s="810">
        <f t="shared" ca="1" si="5"/>
        <v>1.0330489441562738</v>
      </c>
      <c r="I81" s="810">
        <f t="shared" ca="1" si="6"/>
        <v>1.0305489441562738</v>
      </c>
      <c r="J81" s="810">
        <f t="shared" ca="1" si="7"/>
        <v>1.0366708473794002</v>
      </c>
      <c r="K81" s="813">
        <f t="shared" ca="1" si="8"/>
        <v>24.646493055555556</v>
      </c>
      <c r="L81" s="921">
        <f t="shared" si="13"/>
        <v>69</v>
      </c>
      <c r="M81" s="809">
        <f t="shared" ref="M81:M144" ca="1" si="14">HLOOKUP(M$14,Dec_Change,$L81)</f>
        <v>1.0330489441562738</v>
      </c>
      <c r="N81" s="810">
        <f t="shared" si="9"/>
        <v>1.0049999999999999</v>
      </c>
      <c r="O81" s="813">
        <f t="shared" ca="1" si="10"/>
        <v>1.097180617479341</v>
      </c>
      <c r="Q81" s="809">
        <f t="shared" ref="Q81:Q144" ca="1" si="15">HLOOKUP(Q$14,Dec_Change,$L81)</f>
        <v>1.0330489441562738</v>
      </c>
      <c r="R81" s="810">
        <f t="shared" si="11"/>
        <v>0</v>
      </c>
      <c r="S81" s="813">
        <f t="shared" ca="1" si="12"/>
        <v>1.0330489441562738</v>
      </c>
    </row>
    <row r="82" spans="1:19">
      <c r="A82" s="811">
        <f t="shared" si="3"/>
        <v>37316</v>
      </c>
      <c r="B82" s="1102">
        <f ca="1">'[2]Monthly Curve Calc.'!B85</f>
        <v>214.77353147717102</v>
      </c>
      <c r="C82" s="1103">
        <f ca="1">'[2]Monthly Curve Calc.'!C85</f>
        <v>180.92415207858576</v>
      </c>
      <c r="D82" s="1103">
        <f ca="1">'[2]Monthly Curve Calc.'!D85</f>
        <v>146.82319709123254</v>
      </c>
      <c r="E82" s="1103">
        <f ca="1">'[2]Monthly Curve Calc.'!E85</f>
        <v>22.39479166666667</v>
      </c>
      <c r="F82" s="1104">
        <f ca="1">'[2]Monthly Curve Calc.'!F85</f>
        <v>2.0241904986884602</v>
      </c>
      <c r="G82" s="812">
        <f t="shared" ca="1" si="4"/>
        <v>1.0919370999534188</v>
      </c>
      <c r="H82" s="810">
        <f t="shared" ca="1" si="5"/>
        <v>1.0330489441562738</v>
      </c>
      <c r="I82" s="810">
        <f t="shared" ca="1" si="6"/>
        <v>1.0305489441562738</v>
      </c>
      <c r="J82" s="810">
        <f t="shared" ca="1" si="7"/>
        <v>1.0366708473794002</v>
      </c>
      <c r="K82" s="813">
        <f t="shared" ca="1" si="8"/>
        <v>24.646493055555556</v>
      </c>
      <c r="L82" s="921">
        <f t="shared" si="13"/>
        <v>70</v>
      </c>
      <c r="M82" s="809">
        <f t="shared" ca="1" si="14"/>
        <v>1.0330489441562738</v>
      </c>
      <c r="N82" s="810">
        <f t="shared" si="9"/>
        <v>1.0049999999999999</v>
      </c>
      <c r="O82" s="813">
        <f t="shared" ca="1" si="10"/>
        <v>1.097180617479341</v>
      </c>
      <c r="Q82" s="809">
        <f t="shared" ca="1" si="15"/>
        <v>1.0330489441562738</v>
      </c>
      <c r="R82" s="810">
        <f t="shared" si="11"/>
        <v>0</v>
      </c>
      <c r="S82" s="813">
        <f t="shared" ca="1" si="12"/>
        <v>1.0330489441562738</v>
      </c>
    </row>
    <row r="83" spans="1:19">
      <c r="A83" s="811">
        <f t="shared" si="3"/>
        <v>37347</v>
      </c>
      <c r="B83" s="1102">
        <f ca="1">'[2]Monthly Curve Calc.'!B86</f>
        <v>216.23860769732684</v>
      </c>
      <c r="C83" s="1103">
        <f ca="1">'[2]Monthly Curve Calc.'!C86</f>
        <v>181.37694482750612</v>
      </c>
      <c r="D83" s="1103">
        <f ca="1">'[2]Monthly Curve Calc.'!D86</f>
        <v>147.1897632302034</v>
      </c>
      <c r="E83" s="1103">
        <f ca="1">'[2]Monthly Curve Calc.'!E86</f>
        <v>22.236111111111114</v>
      </c>
      <c r="F83" s="1104">
        <f ca="1">'[2]Monthly Curve Calc.'!F86</f>
        <v>2.0351305230600838</v>
      </c>
      <c r="G83" s="812">
        <f t="shared" ca="1" si="4"/>
        <v>1.0919370999534188</v>
      </c>
      <c r="H83" s="810">
        <f t="shared" ca="1" si="5"/>
        <v>1.0330489441562738</v>
      </c>
      <c r="I83" s="810">
        <f t="shared" ca="1" si="6"/>
        <v>1.0305489441562738</v>
      </c>
      <c r="J83" s="810">
        <f t="shared" ca="1" si="7"/>
        <v>1.0366708473794002</v>
      </c>
      <c r="K83" s="813">
        <f t="shared" ca="1" si="8"/>
        <v>24.646493055555556</v>
      </c>
      <c r="L83" s="921">
        <f t="shared" si="13"/>
        <v>71</v>
      </c>
      <c r="M83" s="809">
        <f t="shared" ca="1" si="14"/>
        <v>1.0330489441562738</v>
      </c>
      <c r="N83" s="810">
        <f t="shared" si="9"/>
        <v>1.0049999999999999</v>
      </c>
      <c r="O83" s="813">
        <f t="shared" ca="1" si="10"/>
        <v>1.097180617479341</v>
      </c>
      <c r="Q83" s="809">
        <f t="shared" ca="1" si="15"/>
        <v>1.0330489441562738</v>
      </c>
      <c r="R83" s="810">
        <f t="shared" si="11"/>
        <v>0</v>
      </c>
      <c r="S83" s="813">
        <f t="shared" ca="1" si="12"/>
        <v>1.0330489441562738</v>
      </c>
    </row>
    <row r="84" spans="1:19">
      <c r="A84" s="811">
        <f t="shared" ref="A84:A147" si="16">EDATE(A83,1)</f>
        <v>37377</v>
      </c>
      <c r="B84" s="1102">
        <f ca="1">'[2]Monthly Curve Calc.'!B87</f>
        <v>217.71367792519908</v>
      </c>
      <c r="C84" s="1103">
        <f ca="1">'[2]Monthly Curve Calc.'!C87</f>
        <v>181.83087076550666</v>
      </c>
      <c r="D84" s="1103">
        <f ca="1">'[2]Monthly Curve Calc.'!D87</f>
        <v>147.55724455653498</v>
      </c>
      <c r="E84" s="1103">
        <f ca="1">'[2]Monthly Curve Calc.'!E87</f>
        <v>22.077430555555559</v>
      </c>
      <c r="F84" s="1104">
        <f ca="1">'[2]Monthly Curve Calc.'!F87</f>
        <v>2.0461296743435908</v>
      </c>
      <c r="G84" s="812">
        <f t="shared" ca="1" si="4"/>
        <v>1.0883307783989822</v>
      </c>
      <c r="H84" s="810">
        <f t="shared" ca="1" si="5"/>
        <v>1.0319091030239458</v>
      </c>
      <c r="I84" s="810">
        <f t="shared" ca="1" si="6"/>
        <v>1.0294091030239458</v>
      </c>
      <c r="J84" s="810">
        <f t="shared" ca="1" si="7"/>
        <v>1.0366708473794002</v>
      </c>
      <c r="K84" s="813">
        <f t="shared" ca="1" si="8"/>
        <v>24.646493055555556</v>
      </c>
      <c r="L84" s="921">
        <f t="shared" si="13"/>
        <v>72</v>
      </c>
      <c r="M84" s="809">
        <f t="shared" ca="1" si="14"/>
        <v>1.0319091030239458</v>
      </c>
      <c r="N84" s="810">
        <f t="shared" si="9"/>
        <v>1.0049999999999999</v>
      </c>
      <c r="O84" s="813">
        <f t="shared" ca="1" si="10"/>
        <v>1.1321906668383659</v>
      </c>
      <c r="Q84" s="809">
        <f t="shared" ca="1" si="15"/>
        <v>1.0319091030239458</v>
      </c>
      <c r="R84" s="810">
        <f t="shared" si="11"/>
        <v>0</v>
      </c>
      <c r="S84" s="813">
        <f t="shared" ca="1" si="12"/>
        <v>1.0330489441562738</v>
      </c>
    </row>
    <row r="85" spans="1:19">
      <c r="A85" s="811">
        <f t="shared" si="16"/>
        <v>37408</v>
      </c>
      <c r="B85" s="1102">
        <f ca="1">'[2]Monthly Curve Calc.'!B88</f>
        <v>219.19881033484506</v>
      </c>
      <c r="C85" s="1103">
        <f ca="1">'[2]Monthly Curve Calc.'!C88</f>
        <v>182.28593272858129</v>
      </c>
      <c r="D85" s="1103">
        <f ca="1">'[2]Monthly Curve Calc.'!D88</f>
        <v>147.92564335512984</v>
      </c>
      <c r="E85" s="1103">
        <f ca="1">'[2]Monthly Curve Calc.'!E88</f>
        <v>21.918750000000003</v>
      </c>
      <c r="F85" s="1104">
        <f ca="1">'[2]Monthly Curve Calc.'!F88</f>
        <v>2.0571882720987551</v>
      </c>
      <c r="G85" s="812">
        <f t="shared" ref="G85:G148" ca="1" si="17">IF(AND($A85&gt;G$16,MONTH($A85)=MONTH(G$16)),B84/B72,G84)</f>
        <v>1.0883307783989822</v>
      </c>
      <c r="H85" s="810">
        <f t="shared" ref="H85:H148" ca="1" si="18">IF(AND($A85&gt;H$16,MONTH($A85)=MONTH(H$16)),C84/C72,H84)</f>
        <v>1.0319091030239458</v>
      </c>
      <c r="I85" s="810">
        <f t="shared" ref="I85:I148" ca="1" si="19">IF(AND($A85&gt;I$16,MONTH($A85)=MONTH(I$16)),C84/C72-I$18,I84)</f>
        <v>1.0294091030239458</v>
      </c>
      <c r="J85" s="810">
        <f t="shared" ref="J85:J148" ca="1" si="20">IF(AND($A85&gt;J$16,MONTH($A85)=MONTH(J$16)),D84/D72,J84)</f>
        <v>1.0366708473794002</v>
      </c>
      <c r="K85" s="813">
        <f t="shared" ref="K85:K148" ca="1" si="21">IF($A85&gt;=K$16,IF(MONTH($A85)=MONTH(K$16),AVERAGE(E73:E84),K84),K84)</f>
        <v>24.646493055555556</v>
      </c>
      <c r="L85" s="921">
        <f t="shared" si="13"/>
        <v>73</v>
      </c>
      <c r="M85" s="809">
        <f t="shared" ca="1" si="14"/>
        <v>1.0319091030239458</v>
      </c>
      <c r="N85" s="810">
        <f t="shared" ref="N85:N148" si="22">N84</f>
        <v>1.0049999999999999</v>
      </c>
      <c r="O85" s="813">
        <f t="shared" ref="O85:O148" ca="1" si="23">IF(AND($A85&gt;=O$16,MONTH($A85)=MONTH(O$16)),MAX(M85,N85)*O84,O84)</f>
        <v>1.1321906668383659</v>
      </c>
      <c r="Q85" s="809">
        <f t="shared" ca="1" si="15"/>
        <v>1.0319091030239458</v>
      </c>
      <c r="R85" s="810">
        <f t="shared" ref="R85:R148" si="24">R84</f>
        <v>0</v>
      </c>
      <c r="S85" s="813">
        <f t="shared" ref="S85:S148" ca="1" si="25">IF(AND($A85&gt;=S$16,MONTH($A85)=MONTH(S$16)),MAX(Q85,R85)*S84,S84)</f>
        <v>1.0660126093441347</v>
      </c>
    </row>
    <row r="86" spans="1:19">
      <c r="A86" s="811">
        <f t="shared" si="16"/>
        <v>37438</v>
      </c>
      <c r="B86" s="1102">
        <f ca="1">'[2]Monthly Curve Calc.'!B89</f>
        <v>220.69407356537104</v>
      </c>
      <c r="C86" s="1103">
        <f ca="1">'[2]Monthly Curve Calc.'!C89</f>
        <v>182.74213355982153</v>
      </c>
      <c r="D86" s="1103">
        <f ca="1">'[2]Monthly Curve Calc.'!D89</f>
        <v>148.29496191659513</v>
      </c>
      <c r="E86" s="1103">
        <f ca="1">'[2]Monthly Curve Calc.'!E89</f>
        <v>21.760069444444447</v>
      </c>
      <c r="F86" s="1104">
        <f ca="1">'[2]Monthly Curve Calc.'!F89</f>
        <v>2.0683066376124559</v>
      </c>
      <c r="G86" s="812">
        <f t="shared" ca="1" si="17"/>
        <v>1.0883307783989822</v>
      </c>
      <c r="H86" s="810">
        <f t="shared" ca="1" si="18"/>
        <v>1.0319091030239458</v>
      </c>
      <c r="I86" s="810">
        <f t="shared" ca="1" si="19"/>
        <v>1.0294091030239458</v>
      </c>
      <c r="J86" s="810">
        <f t="shared" ca="1" si="20"/>
        <v>1.0366708473794002</v>
      </c>
      <c r="K86" s="813">
        <f t="shared" ca="1" si="21"/>
        <v>24.646493055555556</v>
      </c>
      <c r="L86" s="921">
        <f t="shared" si="13"/>
        <v>74</v>
      </c>
      <c r="M86" s="809">
        <f t="shared" ca="1" si="14"/>
        <v>1.0319091030239458</v>
      </c>
      <c r="N86" s="810">
        <f t="shared" si="22"/>
        <v>1.0049999999999999</v>
      </c>
      <c r="O86" s="813">
        <f t="shared" ca="1" si="23"/>
        <v>1.1321906668383659</v>
      </c>
      <c r="Q86" s="809">
        <f t="shared" ca="1" si="15"/>
        <v>1.0319091030239458</v>
      </c>
      <c r="R86" s="810">
        <f t="shared" si="24"/>
        <v>0</v>
      </c>
      <c r="S86" s="813">
        <f t="shared" ca="1" si="25"/>
        <v>1.0660126093441347</v>
      </c>
    </row>
    <row r="87" spans="1:19">
      <c r="A87" s="811">
        <f t="shared" si="16"/>
        <v>37469</v>
      </c>
      <c r="B87" s="1102">
        <f ca="1">'[2]Monthly Curve Calc.'!B90</f>
        <v>222.19953672410441</v>
      </c>
      <c r="C87" s="1103">
        <f ca="1">'[2]Monthly Curve Calc.'!C90</f>
        <v>183.19947610943416</v>
      </c>
      <c r="D87" s="1103">
        <f ca="1">'[2]Monthly Curve Calc.'!D90</f>
        <v>148.66520253725685</v>
      </c>
      <c r="E87" s="1103">
        <f ca="1">'[2]Monthly Curve Calc.'!E90</f>
        <v>21.601388888888891</v>
      </c>
      <c r="F87" s="1104">
        <f ca="1">'[2]Monthly Curve Calc.'!F90</f>
        <v>2.0794850939080129</v>
      </c>
      <c r="G87" s="812">
        <f t="shared" ca="1" si="17"/>
        <v>1.0883307783989822</v>
      </c>
      <c r="H87" s="810">
        <f t="shared" ca="1" si="18"/>
        <v>1.0319091030239458</v>
      </c>
      <c r="I87" s="810">
        <f t="shared" ca="1" si="19"/>
        <v>1.0294091030239458</v>
      </c>
      <c r="J87" s="810">
        <f t="shared" ca="1" si="20"/>
        <v>1.0366708473794002</v>
      </c>
      <c r="K87" s="813">
        <f t="shared" ca="1" si="21"/>
        <v>24.646493055555556</v>
      </c>
      <c r="L87" s="921">
        <f t="shared" si="13"/>
        <v>75</v>
      </c>
      <c r="M87" s="809">
        <f t="shared" ca="1" si="14"/>
        <v>1.0319091030239458</v>
      </c>
      <c r="N87" s="810">
        <f t="shared" si="22"/>
        <v>1.0049999999999999</v>
      </c>
      <c r="O87" s="813">
        <f t="shared" ca="1" si="23"/>
        <v>1.1321906668383659</v>
      </c>
      <c r="Q87" s="809">
        <f t="shared" ca="1" si="15"/>
        <v>1.0319091030239458</v>
      </c>
      <c r="R87" s="810">
        <f t="shared" si="24"/>
        <v>0</v>
      </c>
      <c r="S87" s="813">
        <f t="shared" ca="1" si="25"/>
        <v>1.0660126093441347</v>
      </c>
    </row>
    <row r="88" spans="1:19">
      <c r="A88" s="811">
        <f t="shared" si="16"/>
        <v>37500</v>
      </c>
      <c r="B88" s="1102">
        <f ca="1">'[2]Monthly Curve Calc.'!B91</f>
        <v>223.71526938978778</v>
      </c>
      <c r="C88" s="1103">
        <f ca="1">'[2]Monthly Curve Calc.'!C91</f>
        <v>183.65796323475908</v>
      </c>
      <c r="D88" s="1103">
        <f ca="1">'[2]Monthly Curve Calc.'!D91</f>
        <v>149.03636751917409</v>
      </c>
      <c r="E88" s="1103">
        <f ca="1">'[2]Monthly Curve Calc.'!E91</f>
        <v>21.442708333333336</v>
      </c>
      <c r="F88" s="1104">
        <f ca="1">'[2]Monthly Curve Calc.'!F91</f>
        <v>2.0907239657545715</v>
      </c>
      <c r="G88" s="812">
        <f t="shared" ca="1" si="17"/>
        <v>1.0883307783989822</v>
      </c>
      <c r="H88" s="810">
        <f t="shared" ca="1" si="18"/>
        <v>1.0319091030239458</v>
      </c>
      <c r="I88" s="810">
        <f t="shared" ca="1" si="19"/>
        <v>1.0294091030239458</v>
      </c>
      <c r="J88" s="810">
        <f t="shared" ca="1" si="20"/>
        <v>1.0366708473794002</v>
      </c>
      <c r="K88" s="813">
        <f t="shared" ca="1" si="21"/>
        <v>24.646493055555556</v>
      </c>
      <c r="L88" s="921">
        <f t="shared" si="13"/>
        <v>76</v>
      </c>
      <c r="M88" s="809">
        <f t="shared" ca="1" si="14"/>
        <v>1.0319091030239458</v>
      </c>
      <c r="N88" s="810">
        <f t="shared" si="22"/>
        <v>1.0049999999999999</v>
      </c>
      <c r="O88" s="813">
        <f t="shared" ca="1" si="23"/>
        <v>1.1321906668383659</v>
      </c>
      <c r="Q88" s="809">
        <f t="shared" ca="1" si="15"/>
        <v>1.0319091030239458</v>
      </c>
      <c r="R88" s="810">
        <f t="shared" si="24"/>
        <v>0</v>
      </c>
      <c r="S88" s="813">
        <f t="shared" ca="1" si="25"/>
        <v>1.0660126093441347</v>
      </c>
    </row>
    <row r="89" spans="1:19">
      <c r="A89" s="811">
        <f t="shared" si="16"/>
        <v>37530</v>
      </c>
      <c r="B89" s="1102">
        <f ca="1">'[2]Monthly Curve Calc.'!B92</f>
        <v>225.24134161579468</v>
      </c>
      <c r="C89" s="1103">
        <f ca="1">'[2]Monthly Curve Calc.'!C92</f>
        <v>184.11759780028717</v>
      </c>
      <c r="D89" s="1103">
        <f ca="1">'[2]Monthly Curve Calc.'!D92</f>
        <v>149.40845917015344</v>
      </c>
      <c r="E89" s="1103">
        <f ca="1">'[2]Monthly Curve Calc.'!E92</f>
        <v>21.28402777777778</v>
      </c>
      <c r="F89" s="1104">
        <f ca="1">'[2]Monthly Curve Calc.'!F92</f>
        <v>2.1020235796765379</v>
      </c>
      <c r="G89" s="812">
        <f t="shared" ca="1" si="17"/>
        <v>1.0883307783989822</v>
      </c>
      <c r="H89" s="810">
        <f t="shared" ca="1" si="18"/>
        <v>1.0319091030239458</v>
      </c>
      <c r="I89" s="810">
        <f t="shared" ca="1" si="19"/>
        <v>1.0294091030239458</v>
      </c>
      <c r="J89" s="810">
        <f t="shared" ca="1" si="20"/>
        <v>1.0366708473794002</v>
      </c>
      <c r="K89" s="813">
        <f t="shared" ca="1" si="21"/>
        <v>24.646493055555556</v>
      </c>
      <c r="L89" s="921">
        <f t="shared" si="13"/>
        <v>77</v>
      </c>
      <c r="M89" s="809">
        <f t="shared" ca="1" si="14"/>
        <v>1.0319091030239458</v>
      </c>
      <c r="N89" s="810">
        <f t="shared" si="22"/>
        <v>1.0049999999999999</v>
      </c>
      <c r="O89" s="813">
        <f t="shared" ca="1" si="23"/>
        <v>1.1321906668383659</v>
      </c>
      <c r="Q89" s="809">
        <f t="shared" ca="1" si="15"/>
        <v>1.0319091030239458</v>
      </c>
      <c r="R89" s="810">
        <f t="shared" si="24"/>
        <v>0</v>
      </c>
      <c r="S89" s="813">
        <f t="shared" ca="1" si="25"/>
        <v>1.0660126093441347</v>
      </c>
    </row>
    <row r="90" spans="1:19">
      <c r="A90" s="811">
        <f t="shared" si="16"/>
        <v>37561</v>
      </c>
      <c r="B90" s="1102">
        <f ca="1">'[2]Monthly Curve Calc.'!B93</f>
        <v>226.77782393336727</v>
      </c>
      <c r="C90" s="1103">
        <f ca="1">'[2]Monthly Curve Calc.'!C93</f>
        <v>184.57838267767818</v>
      </c>
      <c r="D90" s="1103">
        <f ca="1">'[2]Monthly Curve Calc.'!D93</f>
        <v>149.78147980376323</v>
      </c>
      <c r="E90" s="1103">
        <f ca="1">'[2]Monthly Curve Calc.'!E93</f>
        <v>21.125347222222224</v>
      </c>
      <c r="F90" s="1104">
        <f ca="1">'[2]Monthly Curve Calc.'!F93</f>
        <v>2.1133842639630656</v>
      </c>
      <c r="G90" s="812">
        <f t="shared" ca="1" si="17"/>
        <v>1.0883307783989822</v>
      </c>
      <c r="H90" s="810">
        <f t="shared" ca="1" si="18"/>
        <v>1.0319091030239458</v>
      </c>
      <c r="I90" s="810">
        <f t="shared" ca="1" si="19"/>
        <v>1.0294091030239458</v>
      </c>
      <c r="J90" s="810">
        <f t="shared" ca="1" si="20"/>
        <v>1.0366708473794002</v>
      </c>
      <c r="K90" s="813">
        <f t="shared" ca="1" si="21"/>
        <v>24.646493055555556</v>
      </c>
      <c r="L90" s="921">
        <f t="shared" si="13"/>
        <v>78</v>
      </c>
      <c r="M90" s="809">
        <f t="shared" ca="1" si="14"/>
        <v>1.0319091030239458</v>
      </c>
      <c r="N90" s="810">
        <f t="shared" si="22"/>
        <v>1.0049999999999999</v>
      </c>
      <c r="O90" s="813">
        <f t="shared" ca="1" si="23"/>
        <v>1.1321906668383659</v>
      </c>
      <c r="Q90" s="809">
        <f t="shared" ca="1" si="15"/>
        <v>1.0319091030239458</v>
      </c>
      <c r="R90" s="810">
        <f t="shared" si="24"/>
        <v>0</v>
      </c>
      <c r="S90" s="813">
        <f t="shared" ca="1" si="25"/>
        <v>1.0660126093441347</v>
      </c>
    </row>
    <row r="91" spans="1:19">
      <c r="A91" s="811">
        <f t="shared" si="16"/>
        <v>37591</v>
      </c>
      <c r="B91" s="1102">
        <f ca="1">'[2]Monthly Curve Calc.'!B94</f>
        <v>228.32478735487609</v>
      </c>
      <c r="C91" s="1103">
        <f ca="1">'[2]Monthly Curve Calc.'!C94</f>
        <v>185.04032074577864</v>
      </c>
      <c r="D91" s="1103">
        <f ca="1">'[2]Monthly Curve Calc.'!D94</f>
        <v>150.15543173934796</v>
      </c>
      <c r="E91" s="1103">
        <f ca="1">'[2]Monthly Curve Calc.'!E94</f>
        <v>20.966666666666665</v>
      </c>
      <c r="F91" s="1104">
        <f ca="1">'[2]Monthly Curve Calc.'!F94</f>
        <v>2.1248063486775925</v>
      </c>
      <c r="G91" s="812">
        <f t="shared" ca="1" si="17"/>
        <v>1.0883307783989822</v>
      </c>
      <c r="H91" s="810">
        <f t="shared" ca="1" si="18"/>
        <v>1.0319091030239458</v>
      </c>
      <c r="I91" s="810">
        <f t="shared" ca="1" si="19"/>
        <v>1.0294091030239458</v>
      </c>
      <c r="J91" s="810">
        <f t="shared" ca="1" si="20"/>
        <v>1.0366708473794002</v>
      </c>
      <c r="K91" s="813">
        <f t="shared" ca="1" si="21"/>
        <v>24.646493055555556</v>
      </c>
      <c r="L91" s="921">
        <f t="shared" si="13"/>
        <v>79</v>
      </c>
      <c r="M91" s="809">
        <f t="shared" ca="1" si="14"/>
        <v>1.0319091030239458</v>
      </c>
      <c r="N91" s="810">
        <f t="shared" si="22"/>
        <v>1.0049999999999999</v>
      </c>
      <c r="O91" s="813">
        <f t="shared" ca="1" si="23"/>
        <v>1.1321906668383659</v>
      </c>
      <c r="Q91" s="809">
        <f t="shared" ca="1" si="15"/>
        <v>1.0319091030239458</v>
      </c>
      <c r="R91" s="810">
        <f t="shared" si="24"/>
        <v>0</v>
      </c>
      <c r="S91" s="813">
        <f t="shared" ca="1" si="25"/>
        <v>1.0660126093441347</v>
      </c>
    </row>
    <row r="92" spans="1:19">
      <c r="A92" s="811">
        <f t="shared" si="16"/>
        <v>37622</v>
      </c>
      <c r="B92" s="1102">
        <f ca="1">'[2]Monthly Curve Calc.'!B95</f>
        <v>229.7938359115775</v>
      </c>
      <c r="C92" s="1103">
        <f ca="1">'[2]Monthly Curve Calc.'!C95</f>
        <v>185.48840652139788</v>
      </c>
      <c r="D92" s="1103">
        <f ca="1">'[2]Monthly Curve Calc.'!D95</f>
        <v>150.50035823592538</v>
      </c>
      <c r="E92" s="1103">
        <f ca="1">'[2]Monthly Curve Calc.'!E95</f>
        <v>20.894791666666666</v>
      </c>
      <c r="F92" s="1104">
        <f ca="1">'[2]Monthly Curve Calc.'!F95</f>
        <v>2.1308778783404252</v>
      </c>
      <c r="G92" s="812">
        <f t="shared" ca="1" si="17"/>
        <v>1.0883307783989822</v>
      </c>
      <c r="H92" s="810">
        <f t="shared" ca="1" si="18"/>
        <v>1.0319091030239458</v>
      </c>
      <c r="I92" s="810">
        <f t="shared" ca="1" si="19"/>
        <v>1.0294091030239458</v>
      </c>
      <c r="J92" s="810">
        <f t="shared" ca="1" si="20"/>
        <v>1.0303746385820687</v>
      </c>
      <c r="K92" s="813">
        <f t="shared" ca="1" si="21"/>
        <v>21.839409722222225</v>
      </c>
      <c r="L92" s="921">
        <f t="shared" si="13"/>
        <v>80</v>
      </c>
      <c r="M92" s="809">
        <f t="shared" ca="1" si="14"/>
        <v>1.0319091030239458</v>
      </c>
      <c r="N92" s="810">
        <f t="shared" si="22"/>
        <v>1.0049999999999999</v>
      </c>
      <c r="O92" s="813">
        <f t="shared" ca="1" si="23"/>
        <v>1.1321906668383659</v>
      </c>
      <c r="Q92" s="809">
        <f t="shared" ca="1" si="15"/>
        <v>1.0319091030239458</v>
      </c>
      <c r="R92" s="810">
        <f t="shared" si="24"/>
        <v>0</v>
      </c>
      <c r="S92" s="813">
        <f t="shared" ca="1" si="25"/>
        <v>1.0660126093441347</v>
      </c>
    </row>
    <row r="93" spans="1:19">
      <c r="A93" s="811">
        <f t="shared" si="16"/>
        <v>37653</v>
      </c>
      <c r="B93" s="1102">
        <f ca="1">'[2]Monthly Curve Calc.'!B96</f>
        <v>231.27233637092579</v>
      </c>
      <c r="C93" s="1103">
        <f ca="1">'[2]Monthly Curve Calc.'!C96</f>
        <v>185.93757736248557</v>
      </c>
      <c r="D93" s="1103">
        <f ca="1">'[2]Monthly Curve Calc.'!D96</f>
        <v>150.84607707339023</v>
      </c>
      <c r="E93" s="1103">
        <f ca="1">'[2]Monthly Curve Calc.'!E96</f>
        <v>20.822916666666668</v>
      </c>
      <c r="F93" s="1104">
        <f ca="1">'[2]Monthly Curve Calc.'!F96</f>
        <v>2.1369667571007271</v>
      </c>
      <c r="G93" s="812">
        <f t="shared" ca="1" si="17"/>
        <v>1.0883307783989822</v>
      </c>
      <c r="H93" s="810">
        <f t="shared" ca="1" si="18"/>
        <v>1.0319091030239458</v>
      </c>
      <c r="I93" s="810">
        <f t="shared" ca="1" si="19"/>
        <v>1.0294091030239458</v>
      </c>
      <c r="J93" s="810">
        <f t="shared" ca="1" si="20"/>
        <v>1.0303746385820687</v>
      </c>
      <c r="K93" s="813">
        <f t="shared" ca="1" si="21"/>
        <v>21.839409722222225</v>
      </c>
      <c r="L93" s="921">
        <f t="shared" si="13"/>
        <v>81</v>
      </c>
      <c r="M93" s="809">
        <f t="shared" ca="1" si="14"/>
        <v>1.0319091030239458</v>
      </c>
      <c r="N93" s="810">
        <f t="shared" si="22"/>
        <v>1.0049999999999999</v>
      </c>
      <c r="O93" s="813">
        <f t="shared" ca="1" si="23"/>
        <v>1.1321906668383659</v>
      </c>
      <c r="Q93" s="809">
        <f t="shared" ca="1" si="15"/>
        <v>1.0319091030239458</v>
      </c>
      <c r="R93" s="810">
        <f t="shared" si="24"/>
        <v>0</v>
      </c>
      <c r="S93" s="813">
        <f t="shared" ca="1" si="25"/>
        <v>1.0660126093441347</v>
      </c>
    </row>
    <row r="94" spans="1:19">
      <c r="A94" s="811">
        <f t="shared" si="16"/>
        <v>37681</v>
      </c>
      <c r="B94" s="1102">
        <f ca="1">'[2]Monthly Curve Calc.'!B97</f>
        <v>232.76034954674716</v>
      </c>
      <c r="C94" s="1103">
        <f ca="1">'[2]Monthly Curve Calc.'!C97</f>
        <v>186.38783589659013</v>
      </c>
      <c r="D94" s="1103">
        <f ca="1">'[2]Monthly Curve Calc.'!D97</f>
        <v>151.19259007185232</v>
      </c>
      <c r="E94" s="1103">
        <f ca="1">'[2]Monthly Curve Calc.'!E97</f>
        <v>20.751041666666669</v>
      </c>
      <c r="F94" s="1104">
        <f ca="1">'[2]Monthly Curve Calc.'!F97</f>
        <v>2.1430730345326912</v>
      </c>
      <c r="G94" s="812">
        <f t="shared" ca="1" si="17"/>
        <v>1.0883307783989822</v>
      </c>
      <c r="H94" s="810">
        <f t="shared" ca="1" si="18"/>
        <v>1.0319091030239458</v>
      </c>
      <c r="I94" s="810">
        <f t="shared" ca="1" si="19"/>
        <v>1.0294091030239458</v>
      </c>
      <c r="J94" s="810">
        <f t="shared" ca="1" si="20"/>
        <v>1.0303746385820687</v>
      </c>
      <c r="K94" s="813">
        <f t="shared" ca="1" si="21"/>
        <v>21.839409722222225</v>
      </c>
      <c r="L94" s="921">
        <f t="shared" si="13"/>
        <v>82</v>
      </c>
      <c r="M94" s="809">
        <f t="shared" ca="1" si="14"/>
        <v>1.0319091030239458</v>
      </c>
      <c r="N94" s="810">
        <f t="shared" si="22"/>
        <v>1.0049999999999999</v>
      </c>
      <c r="O94" s="813">
        <f t="shared" ca="1" si="23"/>
        <v>1.1321906668383659</v>
      </c>
      <c r="Q94" s="809">
        <f t="shared" ca="1" si="15"/>
        <v>1.0319091030239458</v>
      </c>
      <c r="R94" s="810">
        <f t="shared" si="24"/>
        <v>0</v>
      </c>
      <c r="S94" s="813">
        <f t="shared" ca="1" si="25"/>
        <v>1.0660126093441347</v>
      </c>
    </row>
    <row r="95" spans="1:19">
      <c r="A95" s="811">
        <f t="shared" si="16"/>
        <v>37712</v>
      </c>
      <c r="B95" s="1102">
        <f ca="1">'[2]Monthly Curve Calc.'!B98</f>
        <v>234.25793664414587</v>
      </c>
      <c r="C95" s="1103">
        <f ca="1">'[2]Monthly Curve Calc.'!C98</f>
        <v>186.83918475762275</v>
      </c>
      <c r="D95" s="1103">
        <f ca="1">'[2]Monthly Curve Calc.'!D98</f>
        <v>151.5398990556024</v>
      </c>
      <c r="E95" s="1103">
        <f ca="1">'[2]Monthly Curve Calc.'!E98</f>
        <v>20.679166666666671</v>
      </c>
      <c r="F95" s="1104">
        <f ca="1">'[2]Monthly Curve Calc.'!F98</f>
        <v>2.1491967603521664</v>
      </c>
      <c r="G95" s="812">
        <f t="shared" ca="1" si="17"/>
        <v>1.0883307783989822</v>
      </c>
      <c r="H95" s="810">
        <f t="shared" ca="1" si="18"/>
        <v>1.0319091030239458</v>
      </c>
      <c r="I95" s="810">
        <f t="shared" ca="1" si="19"/>
        <v>1.0294091030239458</v>
      </c>
      <c r="J95" s="810">
        <f t="shared" ca="1" si="20"/>
        <v>1.0303746385820687</v>
      </c>
      <c r="K95" s="813">
        <f t="shared" ca="1" si="21"/>
        <v>21.839409722222225</v>
      </c>
      <c r="L95" s="921">
        <f t="shared" si="13"/>
        <v>83</v>
      </c>
      <c r="M95" s="809">
        <f t="shared" ca="1" si="14"/>
        <v>1.0319091030239458</v>
      </c>
      <c r="N95" s="810">
        <f t="shared" si="22"/>
        <v>1.0049999999999999</v>
      </c>
      <c r="O95" s="813">
        <f t="shared" ca="1" si="23"/>
        <v>1.1321906668383659</v>
      </c>
      <c r="Q95" s="809">
        <f t="shared" ca="1" si="15"/>
        <v>1.0319091030239458</v>
      </c>
      <c r="R95" s="810">
        <f t="shared" si="24"/>
        <v>0</v>
      </c>
      <c r="S95" s="813">
        <f t="shared" ca="1" si="25"/>
        <v>1.0660126093441347</v>
      </c>
    </row>
    <row r="96" spans="1:19">
      <c r="A96" s="811">
        <f t="shared" si="16"/>
        <v>37742</v>
      </c>
      <c r="B96" s="1102">
        <f ca="1">'[2]Monthly Curve Calc.'!B99</f>
        <v>235.76515926202157</v>
      </c>
      <c r="C96" s="1103">
        <f ca="1">'[2]Monthly Curve Calc.'!C99</f>
        <v>187.29162658587273</v>
      </c>
      <c r="D96" s="1103">
        <f ca="1">'[2]Monthly Curve Calc.'!D99</f>
        <v>151.88800585312191</v>
      </c>
      <c r="E96" s="1103">
        <f ca="1">'[2]Monthly Curve Calc.'!E99</f>
        <v>20.607291666666672</v>
      </c>
      <c r="F96" s="1104">
        <f ca="1">'[2]Monthly Curve Calc.'!F99</f>
        <v>2.1553379844170619</v>
      </c>
      <c r="G96" s="812">
        <f t="shared" ca="1" si="17"/>
        <v>1.0833307665948395</v>
      </c>
      <c r="H96" s="810">
        <f t="shared" ca="1" si="18"/>
        <v>1.0301154037813975</v>
      </c>
      <c r="I96" s="810">
        <f t="shared" ca="1" si="19"/>
        <v>1.0276154037813976</v>
      </c>
      <c r="J96" s="810">
        <f t="shared" ca="1" si="20"/>
        <v>1.0303746385820687</v>
      </c>
      <c r="K96" s="813">
        <f t="shared" ca="1" si="21"/>
        <v>21.839409722222225</v>
      </c>
      <c r="L96" s="921">
        <f t="shared" si="13"/>
        <v>84</v>
      </c>
      <c r="M96" s="809">
        <f t="shared" ca="1" si="14"/>
        <v>1.0301154037813975</v>
      </c>
      <c r="N96" s="810">
        <f t="shared" si="22"/>
        <v>1.0049999999999999</v>
      </c>
      <c r="O96" s="813">
        <f t="shared" ca="1" si="23"/>
        <v>1.166287045927733</v>
      </c>
      <c r="Q96" s="809">
        <f t="shared" ca="1" si="15"/>
        <v>1.0301154037813975</v>
      </c>
      <c r="R96" s="810">
        <f t="shared" si="24"/>
        <v>0</v>
      </c>
      <c r="S96" s="813">
        <f t="shared" ca="1" si="25"/>
        <v>1.0660126093441347</v>
      </c>
    </row>
    <row r="97" spans="1:19">
      <c r="A97" s="811">
        <f t="shared" si="16"/>
        <v>37773</v>
      </c>
      <c r="B97" s="1102">
        <f ca="1">'[2]Monthly Curve Calc.'!B100</f>
        <v>237.28207939560318</v>
      </c>
      <c r="C97" s="1103">
        <f ca="1">'[2]Monthly Curve Calc.'!C100</f>
        <v>187.74516402802308</v>
      </c>
      <c r="D97" s="1103">
        <f ca="1">'[2]Monthly Curve Calc.'!D100</f>
        <v>152.23691229709252</v>
      </c>
      <c r="E97" s="1103">
        <f ca="1">'[2]Monthly Curve Calc.'!E100</f>
        <v>20.535416666666674</v>
      </c>
      <c r="F97" s="1104">
        <f ca="1">'[2]Monthly Curve Calc.'!F100</f>
        <v>2.1614967567277539</v>
      </c>
      <c r="G97" s="812">
        <f t="shared" ca="1" si="17"/>
        <v>1.0833307665948395</v>
      </c>
      <c r="H97" s="810">
        <f t="shared" ca="1" si="18"/>
        <v>1.0301154037813975</v>
      </c>
      <c r="I97" s="810">
        <f t="shared" ca="1" si="19"/>
        <v>1.0276154037813976</v>
      </c>
      <c r="J97" s="810">
        <f t="shared" ca="1" si="20"/>
        <v>1.0303746385820687</v>
      </c>
      <c r="K97" s="813">
        <f t="shared" ca="1" si="21"/>
        <v>21.839409722222225</v>
      </c>
      <c r="L97" s="921">
        <f t="shared" si="13"/>
        <v>85</v>
      </c>
      <c r="M97" s="809">
        <f t="shared" ca="1" si="14"/>
        <v>1.0301154037813975</v>
      </c>
      <c r="N97" s="810">
        <f t="shared" si="22"/>
        <v>1.0049999999999999</v>
      </c>
      <c r="O97" s="813">
        <f t="shared" ca="1" si="23"/>
        <v>1.166287045927733</v>
      </c>
      <c r="Q97" s="809">
        <f t="shared" ca="1" si="15"/>
        <v>1.0301154037813975</v>
      </c>
      <c r="R97" s="810">
        <f t="shared" si="24"/>
        <v>0</v>
      </c>
      <c r="S97" s="813">
        <f t="shared" ca="1" si="25"/>
        <v>1.0981160095105944</v>
      </c>
    </row>
    <row r="98" spans="1:19">
      <c r="A98" s="811">
        <f t="shared" si="16"/>
        <v>37803</v>
      </c>
      <c r="B98" s="1102">
        <f ca="1">'[2]Monthly Curve Calc.'!B101</f>
        <v>238.80875943899872</v>
      </c>
      <c r="C98" s="1103">
        <f ca="1">'[2]Monthly Curve Calc.'!C101</f>
        <v>188.19979973716582</v>
      </c>
      <c r="D98" s="1103">
        <f ca="1">'[2]Monthly Curve Calc.'!D101</f>
        <v>152.58662022440581</v>
      </c>
      <c r="E98" s="1103">
        <f ca="1">'[2]Monthly Curve Calc.'!E101</f>
        <v>20.463541666666675</v>
      </c>
      <c r="F98" s="1104">
        <f ca="1">'[2]Monthly Curve Calc.'!F101</f>
        <v>2.1676731274274914</v>
      </c>
      <c r="G98" s="812">
        <f t="shared" ca="1" si="17"/>
        <v>1.0833307665948395</v>
      </c>
      <c r="H98" s="810">
        <f t="shared" ca="1" si="18"/>
        <v>1.0301154037813975</v>
      </c>
      <c r="I98" s="810">
        <f t="shared" ca="1" si="19"/>
        <v>1.0276154037813976</v>
      </c>
      <c r="J98" s="810">
        <f t="shared" ca="1" si="20"/>
        <v>1.0303746385820687</v>
      </c>
      <c r="K98" s="813">
        <f t="shared" ca="1" si="21"/>
        <v>21.839409722222225</v>
      </c>
      <c r="L98" s="921">
        <f t="shared" si="13"/>
        <v>86</v>
      </c>
      <c r="M98" s="809">
        <f t="shared" ca="1" si="14"/>
        <v>1.0301154037813975</v>
      </c>
      <c r="N98" s="810">
        <f t="shared" si="22"/>
        <v>1.0049999999999999</v>
      </c>
      <c r="O98" s="813">
        <f t="shared" ca="1" si="23"/>
        <v>1.166287045927733</v>
      </c>
      <c r="Q98" s="809">
        <f t="shared" ca="1" si="15"/>
        <v>1.0301154037813975</v>
      </c>
      <c r="R98" s="810">
        <f t="shared" si="24"/>
        <v>0</v>
      </c>
      <c r="S98" s="813">
        <f t="shared" ca="1" si="25"/>
        <v>1.0981160095105944</v>
      </c>
    </row>
    <row r="99" spans="1:19">
      <c r="A99" s="811">
        <f t="shared" si="16"/>
        <v>37834</v>
      </c>
      <c r="B99" s="1102">
        <f ca="1">'[2]Monthly Curve Calc.'!B102</f>
        <v>240.34526218776179</v>
      </c>
      <c r="C99" s="1103">
        <f ca="1">'[2]Monthly Curve Calc.'!C102</f>
        <v>188.65553637281764</v>
      </c>
      <c r="D99" s="1103">
        <f ca="1">'[2]Monthly Curve Calc.'!D102</f>
        <v>152.93713147617294</v>
      </c>
      <c r="E99" s="1103">
        <f ca="1">'[2]Monthly Curve Calc.'!E102</f>
        <v>20.391666666666676</v>
      </c>
      <c r="F99" s="1104">
        <f ca="1">'[2]Monthly Curve Calc.'!F102</f>
        <v>2.1738671468028063</v>
      </c>
      <c r="G99" s="812">
        <f t="shared" ca="1" si="17"/>
        <v>1.0833307665948395</v>
      </c>
      <c r="H99" s="810">
        <f t="shared" ca="1" si="18"/>
        <v>1.0301154037813975</v>
      </c>
      <c r="I99" s="810">
        <f t="shared" ca="1" si="19"/>
        <v>1.0276154037813976</v>
      </c>
      <c r="J99" s="810">
        <f t="shared" ca="1" si="20"/>
        <v>1.0303746385820687</v>
      </c>
      <c r="K99" s="813">
        <f t="shared" ca="1" si="21"/>
        <v>21.839409722222225</v>
      </c>
      <c r="L99" s="921">
        <f t="shared" si="13"/>
        <v>87</v>
      </c>
      <c r="M99" s="809">
        <f t="shared" ca="1" si="14"/>
        <v>1.0301154037813975</v>
      </c>
      <c r="N99" s="810">
        <f t="shared" si="22"/>
        <v>1.0049999999999999</v>
      </c>
      <c r="O99" s="813">
        <f t="shared" ca="1" si="23"/>
        <v>1.166287045927733</v>
      </c>
      <c r="Q99" s="809">
        <f t="shared" ca="1" si="15"/>
        <v>1.0301154037813975</v>
      </c>
      <c r="R99" s="810">
        <f t="shared" si="24"/>
        <v>0</v>
      </c>
      <c r="S99" s="813">
        <f t="shared" ca="1" si="25"/>
        <v>1.0981160095105944</v>
      </c>
    </row>
    <row r="100" spans="1:19">
      <c r="A100" s="811">
        <f t="shared" si="16"/>
        <v>37865</v>
      </c>
      <c r="B100" s="1102">
        <f ca="1">'[2]Monthly Curve Calc.'!B103</f>
        <v>241.89165084147453</v>
      </c>
      <c r="C100" s="1103">
        <f ca="1">'[2]Monthly Curve Calc.'!C103</f>
        <v>189.11237660093536</v>
      </c>
      <c r="D100" s="1103">
        <f ca="1">'[2]Monthly Curve Calc.'!D103</f>
        <v>153.28844789773433</v>
      </c>
      <c r="E100" s="1103">
        <f ca="1">'[2]Monthly Curve Calc.'!E103</f>
        <v>20.319791666666678</v>
      </c>
      <c r="F100" s="1104">
        <f ca="1">'[2]Monthly Curve Calc.'!F103</f>
        <v>2.1800788652839209</v>
      </c>
      <c r="G100" s="812">
        <f t="shared" ca="1" si="17"/>
        <v>1.0833307665948395</v>
      </c>
      <c r="H100" s="810">
        <f t="shared" ca="1" si="18"/>
        <v>1.0301154037813975</v>
      </c>
      <c r="I100" s="810">
        <f t="shared" ca="1" si="19"/>
        <v>1.0276154037813976</v>
      </c>
      <c r="J100" s="810">
        <f t="shared" ca="1" si="20"/>
        <v>1.0303746385820687</v>
      </c>
      <c r="K100" s="813">
        <f t="shared" ca="1" si="21"/>
        <v>21.839409722222225</v>
      </c>
      <c r="L100" s="921">
        <f t="shared" si="13"/>
        <v>88</v>
      </c>
      <c r="M100" s="809">
        <f t="shared" ca="1" si="14"/>
        <v>1.0301154037813975</v>
      </c>
      <c r="N100" s="810">
        <f t="shared" si="22"/>
        <v>1.0049999999999999</v>
      </c>
      <c r="O100" s="813">
        <f t="shared" ca="1" si="23"/>
        <v>1.166287045927733</v>
      </c>
      <c r="Q100" s="809">
        <f t="shared" ca="1" si="15"/>
        <v>1.0301154037813975</v>
      </c>
      <c r="R100" s="810">
        <f t="shared" si="24"/>
        <v>0</v>
      </c>
      <c r="S100" s="813">
        <f t="shared" ca="1" si="25"/>
        <v>1.0981160095105944</v>
      </c>
    </row>
    <row r="101" spans="1:19">
      <c r="A101" s="811">
        <f t="shared" si="16"/>
        <v>37895</v>
      </c>
      <c r="B101" s="1102">
        <f ca="1">'[2]Monthly Curve Calc.'!B104</f>
        <v>243.447989006347</v>
      </c>
      <c r="C101" s="1103">
        <f ca="1">'[2]Monthly Curve Calc.'!C104</f>
        <v>189.57032309393159</v>
      </c>
      <c r="D101" s="1103">
        <f ca="1">'[2]Monthly Curve Calc.'!D104</f>
        <v>153.64057133866942</v>
      </c>
      <c r="E101" s="1103">
        <f ca="1">'[2]Monthly Curve Calc.'!E104</f>
        <v>20.247916666666679</v>
      </c>
      <c r="F101" s="1104">
        <f ca="1">'[2]Monthly Curve Calc.'!F104</f>
        <v>2.1863083334451598</v>
      </c>
      <c r="G101" s="812">
        <f t="shared" ca="1" si="17"/>
        <v>1.0833307665948395</v>
      </c>
      <c r="H101" s="810">
        <f t="shared" ca="1" si="18"/>
        <v>1.0301154037813975</v>
      </c>
      <c r="I101" s="810">
        <f t="shared" ca="1" si="19"/>
        <v>1.0276154037813976</v>
      </c>
      <c r="J101" s="810">
        <f t="shared" ca="1" si="20"/>
        <v>1.0303746385820687</v>
      </c>
      <c r="K101" s="813">
        <f t="shared" ca="1" si="21"/>
        <v>21.839409722222225</v>
      </c>
      <c r="L101" s="921">
        <f t="shared" si="13"/>
        <v>89</v>
      </c>
      <c r="M101" s="809">
        <f t="shared" ca="1" si="14"/>
        <v>1.0301154037813975</v>
      </c>
      <c r="N101" s="810">
        <f t="shared" si="22"/>
        <v>1.0049999999999999</v>
      </c>
      <c r="O101" s="813">
        <f t="shared" ca="1" si="23"/>
        <v>1.166287045927733</v>
      </c>
      <c r="Q101" s="809">
        <f t="shared" ca="1" si="15"/>
        <v>1.0301154037813975</v>
      </c>
      <c r="R101" s="810">
        <f t="shared" si="24"/>
        <v>0</v>
      </c>
      <c r="S101" s="813">
        <f t="shared" ca="1" si="25"/>
        <v>1.0981160095105944</v>
      </c>
    </row>
    <row r="102" spans="1:19">
      <c r="A102" s="811">
        <f t="shared" si="16"/>
        <v>37926</v>
      </c>
      <c r="B102" s="1102">
        <f ca="1">'[2]Monthly Curve Calc.'!B105</f>
        <v>245.01434069783363</v>
      </c>
      <c r="C102" s="1103">
        <f ca="1">'[2]Monthly Curve Calc.'!C105</f>
        <v>190.02937853069034</v>
      </c>
      <c r="D102" s="1103">
        <f ca="1">'[2]Monthly Curve Calc.'!D105</f>
        <v>153.99350365280634</v>
      </c>
      <c r="E102" s="1103">
        <f ca="1">'[2]Monthly Curve Calc.'!E105</f>
        <v>20.176041666666681</v>
      </c>
      <c r="F102" s="1104">
        <f ca="1">'[2]Monthly Curve Calc.'!F105</f>
        <v>2.1925556020053616</v>
      </c>
      <c r="G102" s="812">
        <f t="shared" ca="1" si="17"/>
        <v>1.0833307665948395</v>
      </c>
      <c r="H102" s="810">
        <f t="shared" ca="1" si="18"/>
        <v>1.0301154037813975</v>
      </c>
      <c r="I102" s="810">
        <f t="shared" ca="1" si="19"/>
        <v>1.0276154037813976</v>
      </c>
      <c r="J102" s="810">
        <f t="shared" ca="1" si="20"/>
        <v>1.0303746385820687</v>
      </c>
      <c r="K102" s="813">
        <f t="shared" ca="1" si="21"/>
        <v>21.839409722222225</v>
      </c>
      <c r="L102" s="921">
        <f t="shared" si="13"/>
        <v>90</v>
      </c>
      <c r="M102" s="809">
        <f t="shared" ca="1" si="14"/>
        <v>1.0301154037813975</v>
      </c>
      <c r="N102" s="810">
        <f t="shared" si="22"/>
        <v>1.0049999999999999</v>
      </c>
      <c r="O102" s="813">
        <f t="shared" ca="1" si="23"/>
        <v>1.166287045927733</v>
      </c>
      <c r="Q102" s="809">
        <f t="shared" ca="1" si="15"/>
        <v>1.0301154037813975</v>
      </c>
      <c r="R102" s="810">
        <f t="shared" si="24"/>
        <v>0</v>
      </c>
      <c r="S102" s="813">
        <f t="shared" ca="1" si="25"/>
        <v>1.0981160095105944</v>
      </c>
    </row>
    <row r="103" spans="1:19">
      <c r="A103" s="811">
        <f t="shared" si="16"/>
        <v>37956</v>
      </c>
      <c r="B103" s="1102">
        <f ca="1">'[2]Monthly Curve Calc.'!B106</f>
        <v>246.59077034326614</v>
      </c>
      <c r="C103" s="1103">
        <f ca="1">'[2]Monthly Curve Calc.'!C106</f>
        <v>190.4895455965827</v>
      </c>
      <c r="D103" s="1103">
        <f ca="1">'[2]Monthly Curve Calc.'!D106</f>
        <v>154.34724669823174</v>
      </c>
      <c r="E103" s="1103">
        <f ca="1">'[2]Monthly Curve Calc.'!E106</f>
        <v>20.104166666666668</v>
      </c>
      <c r="F103" s="1104">
        <f ca="1">'[2]Monthly Curve Calc.'!F106</f>
        <v>2.1988207218282909</v>
      </c>
      <c r="G103" s="812">
        <f t="shared" ca="1" si="17"/>
        <v>1.0833307665948395</v>
      </c>
      <c r="H103" s="810">
        <f t="shared" ca="1" si="18"/>
        <v>1.0301154037813975</v>
      </c>
      <c r="I103" s="810">
        <f t="shared" ca="1" si="19"/>
        <v>1.0276154037813976</v>
      </c>
      <c r="J103" s="810">
        <f t="shared" ca="1" si="20"/>
        <v>1.0303746385820687</v>
      </c>
      <c r="K103" s="813">
        <f t="shared" ca="1" si="21"/>
        <v>21.839409722222225</v>
      </c>
      <c r="L103" s="921">
        <f t="shared" si="13"/>
        <v>91</v>
      </c>
      <c r="M103" s="809">
        <f t="shared" ca="1" si="14"/>
        <v>1.0301154037813975</v>
      </c>
      <c r="N103" s="810">
        <f t="shared" si="22"/>
        <v>1.0049999999999999</v>
      </c>
      <c r="O103" s="813">
        <f t="shared" ca="1" si="23"/>
        <v>1.166287045927733</v>
      </c>
      <c r="Q103" s="809">
        <f t="shared" ca="1" si="15"/>
        <v>1.0301154037813975</v>
      </c>
      <c r="R103" s="810">
        <f t="shared" si="24"/>
        <v>0</v>
      </c>
      <c r="S103" s="813">
        <f t="shared" ca="1" si="25"/>
        <v>1.0981160095105944</v>
      </c>
    </row>
    <row r="104" spans="1:19">
      <c r="A104" s="811">
        <f t="shared" si="16"/>
        <v>37987</v>
      </c>
      <c r="B104" s="1102">
        <f ca="1">'[2]Monthly Curve Calc.'!B107</f>
        <v>248.17734278450365</v>
      </c>
      <c r="C104" s="1103">
        <f ca="1">'[2]Monthly Curve Calc.'!C107</f>
        <v>190.93955289546653</v>
      </c>
      <c r="D104" s="1103">
        <f ca="1">'[2]Monthly Curve Calc.'!D107</f>
        <v>154.67873862562061</v>
      </c>
      <c r="E104" s="1103">
        <f ca="1">'[2]Monthly Curve Calc.'!E107</f>
        <v>20.072812500000001</v>
      </c>
      <c r="F104" s="1104">
        <f ca="1">'[2]Monthly Curve Calc.'!F107</f>
        <v>2.2045030649335842</v>
      </c>
      <c r="G104" s="812">
        <f t="shared" ca="1" si="17"/>
        <v>1.0833307665948395</v>
      </c>
      <c r="H104" s="810">
        <f t="shared" ca="1" si="18"/>
        <v>1.0301154037813975</v>
      </c>
      <c r="I104" s="810">
        <f t="shared" ca="1" si="19"/>
        <v>1.0276154037813976</v>
      </c>
      <c r="J104" s="810">
        <f t="shared" ca="1" si="20"/>
        <v>1.027916505652358</v>
      </c>
      <c r="K104" s="813">
        <f t="shared" ca="1" si="21"/>
        <v>20.499479166666671</v>
      </c>
      <c r="L104" s="921">
        <f t="shared" si="13"/>
        <v>92</v>
      </c>
      <c r="M104" s="809">
        <f t="shared" ca="1" si="14"/>
        <v>1.0301154037813975</v>
      </c>
      <c r="N104" s="810">
        <f t="shared" si="22"/>
        <v>1.0049999999999999</v>
      </c>
      <c r="O104" s="813">
        <f t="shared" ca="1" si="23"/>
        <v>1.166287045927733</v>
      </c>
      <c r="Q104" s="809">
        <f t="shared" ca="1" si="15"/>
        <v>1.0301154037813975</v>
      </c>
      <c r="R104" s="810">
        <f t="shared" si="24"/>
        <v>0</v>
      </c>
      <c r="S104" s="813">
        <f t="shared" ca="1" si="25"/>
        <v>1.0981160095105944</v>
      </c>
    </row>
    <row r="105" spans="1:19">
      <c r="A105" s="811">
        <f t="shared" si="16"/>
        <v>38018</v>
      </c>
      <c r="B105" s="1102">
        <f ca="1">'[2]Monthly Curve Calc.'!B108</f>
        <v>249.77412328059978</v>
      </c>
      <c r="C105" s="1103">
        <f ca="1">'[2]Monthly Curve Calc.'!C108</f>
        <v>191.39062327930031</v>
      </c>
      <c r="D105" s="1103">
        <f ca="1">'[2]Monthly Curve Calc.'!D108</f>
        <v>155.01094249896428</v>
      </c>
      <c r="E105" s="1103">
        <f ca="1">'[2]Monthly Curve Calc.'!E108</f>
        <v>20.041458333333335</v>
      </c>
      <c r="F105" s="1104">
        <f ca="1">'[2]Monthly Curve Calc.'!F108</f>
        <v>2.2102000927391106</v>
      </c>
      <c r="G105" s="812">
        <f t="shared" ca="1" si="17"/>
        <v>1.0833307665948395</v>
      </c>
      <c r="H105" s="810">
        <f t="shared" ca="1" si="18"/>
        <v>1.0301154037813975</v>
      </c>
      <c r="I105" s="810">
        <f t="shared" ca="1" si="19"/>
        <v>1.0276154037813976</v>
      </c>
      <c r="J105" s="810">
        <f t="shared" ca="1" si="20"/>
        <v>1.027916505652358</v>
      </c>
      <c r="K105" s="813">
        <f t="shared" ca="1" si="21"/>
        <v>20.499479166666671</v>
      </c>
      <c r="L105" s="921">
        <f t="shared" si="13"/>
        <v>93</v>
      </c>
      <c r="M105" s="809">
        <f t="shared" ca="1" si="14"/>
        <v>1.0301154037813975</v>
      </c>
      <c r="N105" s="810">
        <f t="shared" si="22"/>
        <v>1.0049999999999999</v>
      </c>
      <c r="O105" s="813">
        <f t="shared" ca="1" si="23"/>
        <v>1.166287045927733</v>
      </c>
      <c r="Q105" s="809">
        <f t="shared" ca="1" si="15"/>
        <v>1.0301154037813975</v>
      </c>
      <c r="R105" s="810">
        <f t="shared" si="24"/>
        <v>0</v>
      </c>
      <c r="S105" s="813">
        <f t="shared" ca="1" si="25"/>
        <v>1.0981160095105944</v>
      </c>
    </row>
    <row r="106" spans="1:19">
      <c r="A106" s="811">
        <f t="shared" si="16"/>
        <v>38047</v>
      </c>
      <c r="B106" s="1102">
        <f ca="1">'[2]Monthly Curve Calc.'!B109</f>
        <v>251.38117751048688</v>
      </c>
      <c r="C106" s="1103">
        <f ca="1">'[2]Monthly Curve Calc.'!C109</f>
        <v>191.84275925948691</v>
      </c>
      <c r="D106" s="1103">
        <f ca="1">'[2]Monthly Curve Calc.'!D109</f>
        <v>155.34385984731071</v>
      </c>
      <c r="E106" s="1103">
        <f ca="1">'[2]Monthly Curve Calc.'!E109</f>
        <v>20.010104166666668</v>
      </c>
      <c r="F106" s="1104">
        <f ca="1">'[2]Monthly Curve Calc.'!F109</f>
        <v>2.2159118431940779</v>
      </c>
      <c r="G106" s="812">
        <f t="shared" ca="1" si="17"/>
        <v>1.0833307665948395</v>
      </c>
      <c r="H106" s="810">
        <f t="shared" ca="1" si="18"/>
        <v>1.0301154037813975</v>
      </c>
      <c r="I106" s="810">
        <f t="shared" ca="1" si="19"/>
        <v>1.0276154037813976</v>
      </c>
      <c r="J106" s="810">
        <f t="shared" ca="1" si="20"/>
        <v>1.027916505652358</v>
      </c>
      <c r="K106" s="813">
        <f t="shared" ca="1" si="21"/>
        <v>20.499479166666671</v>
      </c>
      <c r="L106" s="921">
        <f t="shared" si="13"/>
        <v>94</v>
      </c>
      <c r="M106" s="809">
        <f t="shared" ca="1" si="14"/>
        <v>1.0301154037813975</v>
      </c>
      <c r="N106" s="810">
        <f t="shared" si="22"/>
        <v>1.0049999999999999</v>
      </c>
      <c r="O106" s="813">
        <f t="shared" ca="1" si="23"/>
        <v>1.166287045927733</v>
      </c>
      <c r="Q106" s="809">
        <f t="shared" ca="1" si="15"/>
        <v>1.0301154037813975</v>
      </c>
      <c r="R106" s="810">
        <f t="shared" si="24"/>
        <v>0</v>
      </c>
      <c r="S106" s="813">
        <f t="shared" ca="1" si="25"/>
        <v>1.0981160095105944</v>
      </c>
    </row>
    <row r="107" spans="1:19">
      <c r="A107" s="811">
        <f t="shared" si="16"/>
        <v>38078</v>
      </c>
      <c r="B107" s="1102">
        <f ca="1">'[2]Monthly Curve Calc.'!B110</f>
        <v>252.99857157567746</v>
      </c>
      <c r="C107" s="1103">
        <f ca="1">'[2]Monthly Curve Calc.'!C110</f>
        <v>192.29596335336203</v>
      </c>
      <c r="D107" s="1103">
        <f ca="1">'[2]Monthly Curve Calc.'!D110</f>
        <v>155.67749220299174</v>
      </c>
      <c r="E107" s="1103">
        <f ca="1">'[2]Monthly Curve Calc.'!E110</f>
        <v>19.978750000000002</v>
      </c>
      <c r="F107" s="1104">
        <f ca="1">'[2]Monthly Curve Calc.'!F110</f>
        <v>2.2216383543457656</v>
      </c>
      <c r="G107" s="812">
        <f t="shared" ca="1" si="17"/>
        <v>1.0833307665948395</v>
      </c>
      <c r="H107" s="810">
        <f t="shared" ca="1" si="18"/>
        <v>1.0301154037813975</v>
      </c>
      <c r="I107" s="810">
        <f t="shared" ca="1" si="19"/>
        <v>1.0276154037813976</v>
      </c>
      <c r="J107" s="810">
        <f t="shared" ca="1" si="20"/>
        <v>1.027916505652358</v>
      </c>
      <c r="K107" s="813">
        <f t="shared" ca="1" si="21"/>
        <v>20.499479166666671</v>
      </c>
      <c r="L107" s="921">
        <f t="shared" si="13"/>
        <v>95</v>
      </c>
      <c r="M107" s="809">
        <f t="shared" ca="1" si="14"/>
        <v>1.0301154037813975</v>
      </c>
      <c r="N107" s="810">
        <f t="shared" si="22"/>
        <v>1.0049999999999999</v>
      </c>
      <c r="O107" s="813">
        <f t="shared" ca="1" si="23"/>
        <v>1.166287045927733</v>
      </c>
      <c r="Q107" s="809">
        <f t="shared" ca="1" si="15"/>
        <v>1.0301154037813975</v>
      </c>
      <c r="R107" s="810">
        <f t="shared" si="24"/>
        <v>0</v>
      </c>
      <c r="S107" s="813">
        <f t="shared" ca="1" si="25"/>
        <v>1.0981160095105944</v>
      </c>
    </row>
    <row r="108" spans="1:19">
      <c r="A108" s="811">
        <f t="shared" si="16"/>
        <v>38108</v>
      </c>
      <c r="B108" s="1102">
        <f ca="1">'[2]Monthly Curve Calc.'!B111</f>
        <v>254.62637200298323</v>
      </c>
      <c r="C108" s="1103">
        <f ca="1">'[2]Monthly Curve Calc.'!C111</f>
        <v>192.75023808420826</v>
      </c>
      <c r="D108" s="1103">
        <f ca="1">'[2]Monthly Curve Calc.'!D111</f>
        <v>156.01184110163021</v>
      </c>
      <c r="E108" s="1103">
        <f ca="1">'[2]Monthly Curve Calc.'!E111</f>
        <v>19.947395833333335</v>
      </c>
      <c r="F108" s="1104">
        <f ca="1">'[2]Monthly Curve Calc.'!F111</f>
        <v>2.227379664339777</v>
      </c>
      <c r="G108" s="812">
        <f t="shared" ca="1" si="17"/>
        <v>1.0799999999999996</v>
      </c>
      <c r="H108" s="810">
        <f t="shared" ca="1" si="18"/>
        <v>1.0292057504041141</v>
      </c>
      <c r="I108" s="810">
        <f t="shared" ca="1" si="19"/>
        <v>1.0267057504041142</v>
      </c>
      <c r="J108" s="810">
        <f t="shared" ca="1" si="20"/>
        <v>1.027916505652358</v>
      </c>
      <c r="K108" s="813">
        <f t="shared" ca="1" si="21"/>
        <v>20.499479166666671</v>
      </c>
      <c r="L108" s="921">
        <f t="shared" si="13"/>
        <v>96</v>
      </c>
      <c r="M108" s="809">
        <f t="shared" ca="1" si="14"/>
        <v>1.0292057504041141</v>
      </c>
      <c r="N108" s="810">
        <f t="shared" si="22"/>
        <v>1.0049999999999999</v>
      </c>
      <c r="O108" s="813">
        <f t="shared" ca="1" si="23"/>
        <v>1.2003493342906499</v>
      </c>
      <c r="Q108" s="809">
        <f t="shared" ca="1" si="15"/>
        <v>1.0292057504041141</v>
      </c>
      <c r="R108" s="810">
        <f t="shared" si="24"/>
        <v>0</v>
      </c>
      <c r="S108" s="813">
        <f t="shared" ca="1" si="25"/>
        <v>1.0981160095105944</v>
      </c>
    </row>
    <row r="109" spans="1:19">
      <c r="A109" s="811">
        <f t="shared" si="16"/>
        <v>38139</v>
      </c>
      <c r="B109" s="1102">
        <f ca="1">'[2]Monthly Curve Calc.'!B112</f>
        <v>256.26464574725134</v>
      </c>
      <c r="C109" s="1103">
        <f ca="1">'[2]Monthly Curve Calc.'!C112</f>
        <v>193.20558598126917</v>
      </c>
      <c r="D109" s="1103">
        <f ca="1">'[2]Monthly Curve Calc.'!D112</f>
        <v>156.34690808214705</v>
      </c>
      <c r="E109" s="1103">
        <f ca="1">'[2]Monthly Curve Calc.'!E112</f>
        <v>19.916041666666668</v>
      </c>
      <c r="F109" s="1104">
        <f ca="1">'[2]Monthly Curve Calc.'!F112</f>
        <v>2.2331358114202935</v>
      </c>
      <c r="G109" s="812">
        <f t="shared" ca="1" si="17"/>
        <v>1.0799999999999996</v>
      </c>
      <c r="H109" s="810">
        <f t="shared" ca="1" si="18"/>
        <v>1.0292057504041141</v>
      </c>
      <c r="I109" s="810">
        <f t="shared" ca="1" si="19"/>
        <v>1.0267057504041142</v>
      </c>
      <c r="J109" s="810">
        <f t="shared" ca="1" si="20"/>
        <v>1.027916505652358</v>
      </c>
      <c r="K109" s="813">
        <f t="shared" ca="1" si="21"/>
        <v>20.499479166666671</v>
      </c>
      <c r="L109" s="921">
        <f t="shared" si="13"/>
        <v>97</v>
      </c>
      <c r="M109" s="809">
        <f t="shared" ca="1" si="14"/>
        <v>1.0292057504041141</v>
      </c>
      <c r="N109" s="810">
        <f t="shared" si="22"/>
        <v>1.0049999999999999</v>
      </c>
      <c r="O109" s="813">
        <f t="shared" ca="1" si="23"/>
        <v>1.2003493342906499</v>
      </c>
      <c r="Q109" s="809">
        <f t="shared" ca="1" si="15"/>
        <v>1.0292057504041141</v>
      </c>
      <c r="R109" s="810">
        <f t="shared" si="24"/>
        <v>0</v>
      </c>
      <c r="S109" s="813">
        <f t="shared" ca="1" si="25"/>
        <v>1.1301873115991226</v>
      </c>
    </row>
    <row r="110" spans="1:19">
      <c r="A110" s="811">
        <f t="shared" si="16"/>
        <v>38169</v>
      </c>
      <c r="B110" s="1102">
        <f ca="1">'[2]Monthly Curve Calc.'!B113</f>
        <v>257.9134601941185</v>
      </c>
      <c r="C110" s="1103">
        <f ca="1">'[2]Monthly Curve Calc.'!C113</f>
        <v>193.66200957976326</v>
      </c>
      <c r="D110" s="1103">
        <f ca="1">'[2]Monthly Curve Calc.'!D113</f>
        <v>156.68269468676831</v>
      </c>
      <c r="E110" s="1103">
        <f ca="1">'[2]Monthly Curve Calc.'!E113</f>
        <v>19.884687500000002</v>
      </c>
      <c r="F110" s="1104">
        <f ca="1">'[2]Monthly Curve Calc.'!F113</f>
        <v>2.2389068339303306</v>
      </c>
      <c r="G110" s="812">
        <f t="shared" ca="1" si="17"/>
        <v>1.0799999999999996</v>
      </c>
      <c r="H110" s="810">
        <f t="shared" ca="1" si="18"/>
        <v>1.0292057504041141</v>
      </c>
      <c r="I110" s="810">
        <f t="shared" ca="1" si="19"/>
        <v>1.0267057504041142</v>
      </c>
      <c r="J110" s="810">
        <f t="shared" ca="1" si="20"/>
        <v>1.027916505652358</v>
      </c>
      <c r="K110" s="813">
        <f t="shared" ca="1" si="21"/>
        <v>20.499479166666671</v>
      </c>
      <c r="L110" s="921">
        <f t="shared" si="13"/>
        <v>98</v>
      </c>
      <c r="M110" s="809">
        <f t="shared" ca="1" si="14"/>
        <v>1.0292057504041141</v>
      </c>
      <c r="N110" s="810">
        <f t="shared" si="22"/>
        <v>1.0049999999999999</v>
      </c>
      <c r="O110" s="813">
        <f t="shared" ca="1" si="23"/>
        <v>1.2003493342906499</v>
      </c>
      <c r="Q110" s="809">
        <f t="shared" ca="1" si="15"/>
        <v>1.0292057504041141</v>
      </c>
      <c r="R110" s="810">
        <f t="shared" si="24"/>
        <v>0</v>
      </c>
      <c r="S110" s="813">
        <f t="shared" ca="1" si="25"/>
        <v>1.1301873115991226</v>
      </c>
    </row>
    <row r="111" spans="1:19">
      <c r="A111" s="811">
        <f t="shared" si="16"/>
        <v>38200</v>
      </c>
      <c r="B111" s="1102">
        <f ca="1">'[2]Monthly Curve Calc.'!B114</f>
        <v>259.5728831627826</v>
      </c>
      <c r="C111" s="1103">
        <f ca="1">'[2]Monthly Curve Calc.'!C114</f>
        <v>194.11951142089825</v>
      </c>
      <c r="D111" s="1103">
        <f ca="1">'[2]Monthly Curve Calc.'!D114</f>
        <v>157.01920246103231</v>
      </c>
      <c r="E111" s="1103">
        <f ca="1">'[2]Monthly Curve Calc.'!E114</f>
        <v>19.853333333333335</v>
      </c>
      <c r="F111" s="1104">
        <f ca="1">'[2]Monthly Curve Calc.'!F114</f>
        <v>2.2446927703119925</v>
      </c>
      <c r="G111" s="812">
        <f t="shared" ca="1" si="17"/>
        <v>1.0799999999999996</v>
      </c>
      <c r="H111" s="810">
        <f t="shared" ca="1" si="18"/>
        <v>1.0292057504041141</v>
      </c>
      <c r="I111" s="810">
        <f t="shared" ca="1" si="19"/>
        <v>1.0267057504041142</v>
      </c>
      <c r="J111" s="810">
        <f t="shared" ca="1" si="20"/>
        <v>1.027916505652358</v>
      </c>
      <c r="K111" s="813">
        <f t="shared" ca="1" si="21"/>
        <v>20.499479166666671</v>
      </c>
      <c r="L111" s="921">
        <f t="shared" si="13"/>
        <v>99</v>
      </c>
      <c r="M111" s="809">
        <f t="shared" ca="1" si="14"/>
        <v>1.0292057504041141</v>
      </c>
      <c r="N111" s="810">
        <f t="shared" si="22"/>
        <v>1.0049999999999999</v>
      </c>
      <c r="O111" s="813">
        <f t="shared" ca="1" si="23"/>
        <v>1.2003493342906499</v>
      </c>
      <c r="Q111" s="809">
        <f t="shared" ca="1" si="15"/>
        <v>1.0292057504041141</v>
      </c>
      <c r="R111" s="810">
        <f t="shared" si="24"/>
        <v>0</v>
      </c>
      <c r="S111" s="813">
        <f t="shared" ca="1" si="25"/>
        <v>1.1301873115991226</v>
      </c>
    </row>
    <row r="112" spans="1:19">
      <c r="A112" s="811">
        <f t="shared" si="16"/>
        <v>38231</v>
      </c>
      <c r="B112" s="1102">
        <f ca="1">'[2]Monthly Curve Calc.'!B115</f>
        <v>261.24298290879233</v>
      </c>
      <c r="C112" s="1103">
        <f ca="1">'[2]Monthly Curve Calc.'!C115</f>
        <v>194.57809405188507</v>
      </c>
      <c r="D112" s="1103">
        <f ca="1">'[2]Monthly Curve Calc.'!D115</f>
        <v>157.35643295379668</v>
      </c>
      <c r="E112" s="1103">
        <f ca="1">'[2]Monthly Curve Calc.'!E115</f>
        <v>19.821979166666669</v>
      </c>
      <c r="F112" s="1104">
        <f ca="1">'[2]Monthly Curve Calc.'!F115</f>
        <v>2.2504936591067271</v>
      </c>
      <c r="G112" s="812">
        <f t="shared" ca="1" si="17"/>
        <v>1.0799999999999996</v>
      </c>
      <c r="H112" s="810">
        <f t="shared" ca="1" si="18"/>
        <v>1.0292057504041141</v>
      </c>
      <c r="I112" s="810">
        <f t="shared" ca="1" si="19"/>
        <v>1.0267057504041142</v>
      </c>
      <c r="J112" s="810">
        <f t="shared" ca="1" si="20"/>
        <v>1.027916505652358</v>
      </c>
      <c r="K112" s="813">
        <f t="shared" ca="1" si="21"/>
        <v>20.499479166666671</v>
      </c>
      <c r="L112" s="921">
        <f t="shared" si="13"/>
        <v>100</v>
      </c>
      <c r="M112" s="809">
        <f t="shared" ca="1" si="14"/>
        <v>1.0292057504041141</v>
      </c>
      <c r="N112" s="810">
        <f t="shared" si="22"/>
        <v>1.0049999999999999</v>
      </c>
      <c r="O112" s="813">
        <f t="shared" ca="1" si="23"/>
        <v>1.2003493342906499</v>
      </c>
      <c r="Q112" s="809">
        <f t="shared" ca="1" si="15"/>
        <v>1.0292057504041141</v>
      </c>
      <c r="R112" s="810">
        <f t="shared" si="24"/>
        <v>0</v>
      </c>
      <c r="S112" s="813">
        <f t="shared" ca="1" si="25"/>
        <v>1.1301873115991226</v>
      </c>
    </row>
    <row r="113" spans="1:19">
      <c r="A113" s="811">
        <f t="shared" si="16"/>
        <v>38261</v>
      </c>
      <c r="B113" s="1102">
        <f ca="1">'[2]Monthly Curve Calc.'!B116</f>
        <v>262.92382812685463</v>
      </c>
      <c r="C113" s="1103">
        <f ca="1">'[2]Monthly Curve Calc.'!C116</f>
        <v>195.03776002595217</v>
      </c>
      <c r="D113" s="1103">
        <f ca="1">'[2]Monthly Curve Calc.'!D116</f>
        <v>157.6943877172456</v>
      </c>
      <c r="E113" s="1103">
        <f ca="1">'[2]Monthly Curve Calc.'!E116</f>
        <v>19.790625000000002</v>
      </c>
      <c r="F113" s="1104">
        <f ca="1">'[2]Monthly Curve Calc.'!F116</f>
        <v>2.2563095389555845</v>
      </c>
      <c r="G113" s="812">
        <f t="shared" ca="1" si="17"/>
        <v>1.0799999999999996</v>
      </c>
      <c r="H113" s="810">
        <f t="shared" ca="1" si="18"/>
        <v>1.0292057504041141</v>
      </c>
      <c r="I113" s="810">
        <f t="shared" ca="1" si="19"/>
        <v>1.0267057504041142</v>
      </c>
      <c r="J113" s="810">
        <f t="shared" ca="1" si="20"/>
        <v>1.027916505652358</v>
      </c>
      <c r="K113" s="813">
        <f t="shared" ca="1" si="21"/>
        <v>20.499479166666671</v>
      </c>
      <c r="L113" s="921">
        <f t="shared" si="13"/>
        <v>101</v>
      </c>
      <c r="M113" s="809">
        <f t="shared" ca="1" si="14"/>
        <v>1.0292057504041141</v>
      </c>
      <c r="N113" s="810">
        <f t="shared" si="22"/>
        <v>1.0049999999999999</v>
      </c>
      <c r="O113" s="813">
        <f t="shared" ca="1" si="23"/>
        <v>1.2003493342906499</v>
      </c>
      <c r="Q113" s="809">
        <f t="shared" ca="1" si="15"/>
        <v>1.0292057504041141</v>
      </c>
      <c r="R113" s="810">
        <f t="shared" si="24"/>
        <v>0</v>
      </c>
      <c r="S113" s="813">
        <f t="shared" ca="1" si="25"/>
        <v>1.1301873115991226</v>
      </c>
    </row>
    <row r="114" spans="1:19">
      <c r="A114" s="811">
        <f t="shared" si="16"/>
        <v>38292</v>
      </c>
      <c r="B114" s="1102">
        <f ca="1">'[2]Monthly Curve Calc.'!B117</f>
        <v>264.61548795366019</v>
      </c>
      <c r="C114" s="1103">
        <f ca="1">'[2]Monthly Curve Calc.'!C117</f>
        <v>195.49851190235964</v>
      </c>
      <c r="D114" s="1103">
        <f ca="1">'[2]Monthly Curve Calc.'!D117</f>
        <v>158.03306830689681</v>
      </c>
      <c r="E114" s="1103">
        <f ca="1">'[2]Monthly Curve Calc.'!E117</f>
        <v>19.759270833333336</v>
      </c>
      <c r="F114" s="1104">
        <f ca="1">'[2]Monthly Curve Calc.'!F117</f>
        <v>2.2621404485994736</v>
      </c>
      <c r="G114" s="812">
        <f t="shared" ca="1" si="17"/>
        <v>1.0799999999999996</v>
      </c>
      <c r="H114" s="810">
        <f t="shared" ca="1" si="18"/>
        <v>1.0292057504041141</v>
      </c>
      <c r="I114" s="810">
        <f t="shared" ca="1" si="19"/>
        <v>1.0267057504041142</v>
      </c>
      <c r="J114" s="810">
        <f t="shared" ca="1" si="20"/>
        <v>1.027916505652358</v>
      </c>
      <c r="K114" s="813">
        <f t="shared" ca="1" si="21"/>
        <v>20.499479166666671</v>
      </c>
      <c r="L114" s="921">
        <f t="shared" si="13"/>
        <v>102</v>
      </c>
      <c r="M114" s="809">
        <f t="shared" ca="1" si="14"/>
        <v>1.0292057504041141</v>
      </c>
      <c r="N114" s="810">
        <f t="shared" si="22"/>
        <v>1.0049999999999999</v>
      </c>
      <c r="O114" s="813">
        <f t="shared" ca="1" si="23"/>
        <v>1.2003493342906499</v>
      </c>
      <c r="Q114" s="809">
        <f t="shared" ca="1" si="15"/>
        <v>1.0292057504041141</v>
      </c>
      <c r="R114" s="810">
        <f t="shared" si="24"/>
        <v>0</v>
      </c>
      <c r="S114" s="813">
        <f t="shared" ca="1" si="25"/>
        <v>1.1301873115991226</v>
      </c>
    </row>
    <row r="115" spans="1:19">
      <c r="A115" s="811">
        <f t="shared" si="16"/>
        <v>38322</v>
      </c>
      <c r="B115" s="1102">
        <f ca="1">'[2]Monthly Curve Calc.'!B118</f>
        <v>266.3180319707273</v>
      </c>
      <c r="C115" s="1103">
        <f ca="1">'[2]Monthly Curve Calc.'!C118</f>
        <v>195.96035224641349</v>
      </c>
      <c r="D115" s="1103">
        <f ca="1">'[2]Monthly Curve Calc.'!D118</f>
        <v>158.37247628160887</v>
      </c>
      <c r="E115" s="1103">
        <f ca="1">'[2]Monthly Curve Calc.'!E118</f>
        <v>19.727916666666669</v>
      </c>
      <c r="F115" s="1104">
        <f ca="1">'[2]Monthly Curve Calc.'!F118</f>
        <v>2.2679864268794208</v>
      </c>
      <c r="G115" s="812">
        <f t="shared" ca="1" si="17"/>
        <v>1.0799999999999996</v>
      </c>
      <c r="H115" s="810">
        <f t="shared" ca="1" si="18"/>
        <v>1.0292057504041141</v>
      </c>
      <c r="I115" s="810">
        <f t="shared" ca="1" si="19"/>
        <v>1.0267057504041142</v>
      </c>
      <c r="J115" s="810">
        <f t="shared" ca="1" si="20"/>
        <v>1.027916505652358</v>
      </c>
      <c r="K115" s="813">
        <f t="shared" ca="1" si="21"/>
        <v>20.499479166666671</v>
      </c>
      <c r="L115" s="921">
        <f t="shared" si="13"/>
        <v>103</v>
      </c>
      <c r="M115" s="809">
        <f t="shared" ca="1" si="14"/>
        <v>1.0292057504041141</v>
      </c>
      <c r="N115" s="810">
        <f t="shared" si="22"/>
        <v>1.0049999999999999</v>
      </c>
      <c r="O115" s="813">
        <f t="shared" ca="1" si="23"/>
        <v>1.2003493342906499</v>
      </c>
      <c r="Q115" s="809">
        <f t="shared" ca="1" si="15"/>
        <v>1.0292057504041141</v>
      </c>
      <c r="R115" s="810">
        <f t="shared" si="24"/>
        <v>0</v>
      </c>
      <c r="S115" s="813">
        <f t="shared" ca="1" si="25"/>
        <v>1.1301873115991226</v>
      </c>
    </row>
    <row r="116" spans="1:19">
      <c r="A116" s="811">
        <f t="shared" si="16"/>
        <v>38353</v>
      </c>
      <c r="B116" s="1102">
        <f ca="1">'[2]Monthly Curve Calc.'!B119</f>
        <v>267.92790290869908</v>
      </c>
      <c r="C116" s="1103">
        <f ca="1">'[2]Monthly Curve Calc.'!C119</f>
        <v>196.41532611484243</v>
      </c>
      <c r="D116" s="1103">
        <f ca="1">'[2]Monthly Curve Calc.'!D119</f>
        <v>158.69348113586753</v>
      </c>
      <c r="E116" s="1103">
        <f ca="1">'[2]Monthly Curve Calc.'!E119</f>
        <v>19.718263888888892</v>
      </c>
      <c r="F116" s="1104">
        <f ca="1">'[2]Monthly Curve Calc.'!F119</f>
        <v>2.2732944230483629</v>
      </c>
      <c r="G116" s="812">
        <f t="shared" ca="1" si="17"/>
        <v>1.0799999999999996</v>
      </c>
      <c r="H116" s="810">
        <f t="shared" ca="1" si="18"/>
        <v>1.0292057504041141</v>
      </c>
      <c r="I116" s="810">
        <f t="shared" ca="1" si="19"/>
        <v>1.0267057504041142</v>
      </c>
      <c r="J116" s="810">
        <f t="shared" ca="1" si="20"/>
        <v>1.0260790501255066</v>
      </c>
      <c r="K116" s="813">
        <f t="shared" ca="1" si="21"/>
        <v>19.900364583333335</v>
      </c>
      <c r="L116" s="921">
        <f t="shared" si="13"/>
        <v>104</v>
      </c>
      <c r="M116" s="809">
        <f t="shared" ca="1" si="14"/>
        <v>1.0292057504041141</v>
      </c>
      <c r="N116" s="810">
        <f t="shared" si="22"/>
        <v>1.0049999999999999</v>
      </c>
      <c r="O116" s="813">
        <f t="shared" ca="1" si="23"/>
        <v>1.2003493342906499</v>
      </c>
      <c r="Q116" s="809">
        <f t="shared" ca="1" si="15"/>
        <v>1.0292057504041141</v>
      </c>
      <c r="R116" s="810">
        <f t="shared" si="24"/>
        <v>0</v>
      </c>
      <c r="S116" s="813">
        <f t="shared" ca="1" si="25"/>
        <v>1.1301873115991226</v>
      </c>
    </row>
    <row r="117" spans="1:19">
      <c r="A117" s="811">
        <f t="shared" si="16"/>
        <v>38384</v>
      </c>
      <c r="B117" s="1102">
        <f ca="1">'[2]Monthly Curve Calc.'!B120</f>
        <v>269.54750538613047</v>
      </c>
      <c r="C117" s="1103">
        <f ca="1">'[2]Monthly Curve Calc.'!C120</f>
        <v>196.87135632563133</v>
      </c>
      <c r="D117" s="1103">
        <f ca="1">'[2]Monthly Curve Calc.'!D120</f>
        <v>159.01513663422091</v>
      </c>
      <c r="E117" s="1103">
        <f ca="1">'[2]Monthly Curve Calc.'!E120</f>
        <v>19.708611111111114</v>
      </c>
      <c r="F117" s="1104">
        <f ca="1">'[2]Monthly Curve Calc.'!F120</f>
        <v>2.2786148420532601</v>
      </c>
      <c r="G117" s="812">
        <f t="shared" ca="1" si="17"/>
        <v>1.0799999999999996</v>
      </c>
      <c r="H117" s="810">
        <f t="shared" ca="1" si="18"/>
        <v>1.0292057504041141</v>
      </c>
      <c r="I117" s="810">
        <f t="shared" ca="1" si="19"/>
        <v>1.0267057504041142</v>
      </c>
      <c r="J117" s="810">
        <f t="shared" ca="1" si="20"/>
        <v>1.0260790501255066</v>
      </c>
      <c r="K117" s="813">
        <f t="shared" ca="1" si="21"/>
        <v>19.900364583333335</v>
      </c>
      <c r="L117" s="921">
        <f t="shared" si="13"/>
        <v>105</v>
      </c>
      <c r="M117" s="809">
        <f t="shared" ca="1" si="14"/>
        <v>1.0292057504041141</v>
      </c>
      <c r="N117" s="810">
        <f t="shared" si="22"/>
        <v>1.0049999999999999</v>
      </c>
      <c r="O117" s="813">
        <f t="shared" ca="1" si="23"/>
        <v>1.2003493342906499</v>
      </c>
      <c r="Q117" s="809">
        <f t="shared" ca="1" si="15"/>
        <v>1.0292057504041141</v>
      </c>
      <c r="R117" s="810">
        <f t="shared" si="24"/>
        <v>0</v>
      </c>
      <c r="S117" s="813">
        <f t="shared" ca="1" si="25"/>
        <v>1.1301873115991226</v>
      </c>
    </row>
    <row r="118" spans="1:19">
      <c r="A118" s="811">
        <f t="shared" si="16"/>
        <v>38412</v>
      </c>
      <c r="B118" s="1102">
        <f ca="1">'[2]Monthly Curve Calc.'!B121</f>
        <v>271.17689822938945</v>
      </c>
      <c r="C118" s="1103">
        <f ca="1">'[2]Monthly Curve Calc.'!C121</f>
        <v>197.32844533135884</v>
      </c>
      <c r="D118" s="1103">
        <f ca="1">'[2]Monthly Curve Calc.'!D121</f>
        <v>159.33744409545821</v>
      </c>
      <c r="E118" s="1103">
        <f ca="1">'[2]Monthly Curve Calc.'!E121</f>
        <v>19.698958333333337</v>
      </c>
      <c r="F118" s="1104">
        <f ca="1">'[2]Monthly Curve Calc.'!F121</f>
        <v>2.2839477129685219</v>
      </c>
      <c r="G118" s="812">
        <f t="shared" ca="1" si="17"/>
        <v>1.0799999999999996</v>
      </c>
      <c r="H118" s="810">
        <f t="shared" ca="1" si="18"/>
        <v>1.0292057504041141</v>
      </c>
      <c r="I118" s="810">
        <f t="shared" ca="1" si="19"/>
        <v>1.0267057504041142</v>
      </c>
      <c r="J118" s="810">
        <f t="shared" ca="1" si="20"/>
        <v>1.0260790501255066</v>
      </c>
      <c r="K118" s="813">
        <f t="shared" ca="1" si="21"/>
        <v>19.900364583333335</v>
      </c>
      <c r="L118" s="921">
        <f t="shared" si="13"/>
        <v>106</v>
      </c>
      <c r="M118" s="809">
        <f t="shared" ca="1" si="14"/>
        <v>1.0292057504041141</v>
      </c>
      <c r="N118" s="810">
        <f t="shared" si="22"/>
        <v>1.0049999999999999</v>
      </c>
      <c r="O118" s="813">
        <f t="shared" ca="1" si="23"/>
        <v>1.2003493342906499</v>
      </c>
      <c r="Q118" s="809">
        <f t="shared" ca="1" si="15"/>
        <v>1.0292057504041141</v>
      </c>
      <c r="R118" s="810">
        <f t="shared" si="24"/>
        <v>0</v>
      </c>
      <c r="S118" s="813">
        <f t="shared" ca="1" si="25"/>
        <v>1.1301873115991226</v>
      </c>
    </row>
    <row r="119" spans="1:19">
      <c r="A119" s="811">
        <f t="shared" si="16"/>
        <v>38443</v>
      </c>
      <c r="B119" s="1102">
        <f ca="1">'[2]Monthly Curve Calc.'!B122</f>
        <v>272.81614062044468</v>
      </c>
      <c r="C119" s="1103">
        <f ca="1">'[2]Monthly Curve Calc.'!C122</f>
        <v>197.78659559029785</v>
      </c>
      <c r="D119" s="1103">
        <f ca="1">'[2]Monthly Curve Calc.'!D122</f>
        <v>159.6604048410417</v>
      </c>
      <c r="E119" s="1103">
        <f ca="1">'[2]Monthly Curve Calc.'!E122</f>
        <v>19.68930555555556</v>
      </c>
      <c r="F119" s="1104">
        <f ca="1">'[2]Monthly Curve Calc.'!F122</f>
        <v>2.289293064936603</v>
      </c>
      <c r="G119" s="812">
        <f t="shared" ca="1" si="17"/>
        <v>1.0799999999999996</v>
      </c>
      <c r="H119" s="810">
        <f t="shared" ca="1" si="18"/>
        <v>1.0292057504041141</v>
      </c>
      <c r="I119" s="810">
        <f t="shared" ca="1" si="19"/>
        <v>1.0267057504041142</v>
      </c>
      <c r="J119" s="810">
        <f t="shared" ca="1" si="20"/>
        <v>1.0260790501255066</v>
      </c>
      <c r="K119" s="813">
        <f t="shared" ca="1" si="21"/>
        <v>19.900364583333335</v>
      </c>
      <c r="L119" s="921">
        <f t="shared" si="13"/>
        <v>107</v>
      </c>
      <c r="M119" s="809">
        <f t="shared" ca="1" si="14"/>
        <v>1.0292057504041141</v>
      </c>
      <c r="N119" s="810">
        <f t="shared" si="22"/>
        <v>1.0049999999999999</v>
      </c>
      <c r="O119" s="813">
        <f t="shared" ca="1" si="23"/>
        <v>1.2003493342906499</v>
      </c>
      <c r="Q119" s="809">
        <f t="shared" ca="1" si="15"/>
        <v>1.0292057504041141</v>
      </c>
      <c r="R119" s="810">
        <f t="shared" si="24"/>
        <v>0</v>
      </c>
      <c r="S119" s="813">
        <f t="shared" ca="1" si="25"/>
        <v>1.1301873115991226</v>
      </c>
    </row>
    <row r="120" spans="1:19">
      <c r="A120" s="811">
        <f t="shared" si="16"/>
        <v>38473</v>
      </c>
      <c r="B120" s="1102">
        <f ca="1">'[2]Monthly Curve Calc.'!B123</f>
        <v>274.46529209901507</v>
      </c>
      <c r="C120" s="1103">
        <f ca="1">'[2]Monthly Curve Calc.'!C123</f>
        <v>198.24580956642885</v>
      </c>
      <c r="D120" s="1103">
        <f ca="1">'[2]Monthly Curve Calc.'!D123</f>
        <v>159.98402019511209</v>
      </c>
      <c r="E120" s="1103">
        <f ca="1">'[2]Monthly Curve Calc.'!E123</f>
        <v>19.679652777777783</v>
      </c>
      <c r="F120" s="1104">
        <f ca="1">'[2]Monthly Curve Calc.'!F123</f>
        <v>2.2946509271681639</v>
      </c>
      <c r="G120" s="812">
        <f t="shared" ca="1" si="17"/>
        <v>1.0783307546811163</v>
      </c>
      <c r="H120" s="810">
        <f t="shared" ca="1" si="18"/>
        <v>1.0285530290973726</v>
      </c>
      <c r="I120" s="810">
        <f t="shared" ca="1" si="19"/>
        <v>1.0260530290973726</v>
      </c>
      <c r="J120" s="810">
        <f t="shared" ca="1" si="20"/>
        <v>1.0260790501255066</v>
      </c>
      <c r="K120" s="813">
        <f t="shared" ca="1" si="21"/>
        <v>19.900364583333335</v>
      </c>
      <c r="L120" s="921">
        <f t="shared" si="13"/>
        <v>108</v>
      </c>
      <c r="M120" s="809">
        <f t="shared" ca="1" si="14"/>
        <v>1.0285530290973726</v>
      </c>
      <c r="N120" s="810">
        <f t="shared" si="22"/>
        <v>1.0049999999999999</v>
      </c>
      <c r="O120" s="813">
        <f t="shared" ca="1" si="23"/>
        <v>1.2346229437596627</v>
      </c>
      <c r="Q120" s="809">
        <f t="shared" ca="1" si="15"/>
        <v>1.0285530290973726</v>
      </c>
      <c r="R120" s="810">
        <f t="shared" si="24"/>
        <v>0</v>
      </c>
      <c r="S120" s="813">
        <f t="shared" ca="1" si="25"/>
        <v>1.1301873115991226</v>
      </c>
    </row>
    <row r="121" spans="1:19">
      <c r="A121" s="811">
        <f t="shared" si="16"/>
        <v>38504</v>
      </c>
      <c r="B121" s="1102">
        <f ca="1">'[2]Monthly Curve Calc.'!B124</f>
        <v>276.12441256473221</v>
      </c>
      <c r="C121" s="1103">
        <f ca="1">'[2]Monthly Curve Calc.'!C124</f>
        <v>198.70608972945308</v>
      </c>
      <c r="D121" s="1103">
        <f ca="1">'[2]Monthly Curve Calc.'!D124</f>
        <v>160.30829148449402</v>
      </c>
      <c r="E121" s="1103">
        <f ca="1">'[2]Monthly Curve Calc.'!E124</f>
        <v>19.670000000000005</v>
      </c>
      <c r="F121" s="1104">
        <f ca="1">'[2]Monthly Curve Calc.'!F124</f>
        <v>2.3000213289422287</v>
      </c>
      <c r="G121" s="812">
        <f t="shared" ca="1" si="17"/>
        <v>1.0783307546811163</v>
      </c>
      <c r="H121" s="810">
        <f t="shared" ca="1" si="18"/>
        <v>1.0285530290973726</v>
      </c>
      <c r="I121" s="810">
        <f t="shared" ca="1" si="19"/>
        <v>1.0260530290973726</v>
      </c>
      <c r="J121" s="810">
        <f t="shared" ca="1" si="20"/>
        <v>1.0260790501255066</v>
      </c>
      <c r="K121" s="813">
        <f t="shared" ca="1" si="21"/>
        <v>19.900364583333335</v>
      </c>
      <c r="L121" s="921">
        <f t="shared" si="13"/>
        <v>109</v>
      </c>
      <c r="M121" s="809">
        <f t="shared" ca="1" si="14"/>
        <v>1.0285530290973726</v>
      </c>
      <c r="N121" s="810">
        <f t="shared" si="22"/>
        <v>1.0049999999999999</v>
      </c>
      <c r="O121" s="813">
        <f t="shared" ca="1" si="23"/>
        <v>1.2346229437596627</v>
      </c>
      <c r="Q121" s="809">
        <f t="shared" ca="1" si="15"/>
        <v>1.0285530290973726</v>
      </c>
      <c r="R121" s="810">
        <f t="shared" si="24"/>
        <v>0</v>
      </c>
      <c r="S121" s="813">
        <f t="shared" ca="1" si="25"/>
        <v>1.1624575827926935</v>
      </c>
    </row>
    <row r="122" spans="1:19">
      <c r="A122" s="811">
        <f t="shared" si="16"/>
        <v>38534</v>
      </c>
      <c r="B122" s="1102">
        <f ca="1">'[2]Monthly Curve Calc.'!B125</f>
        <v>277.79356227931612</v>
      </c>
      <c r="C122" s="1103">
        <f ca="1">'[2]Monthly Curve Calc.'!C125</f>
        <v>199.16743855480584</v>
      </c>
      <c r="D122" s="1103">
        <f ca="1">'[2]Monthly Curve Calc.'!D125</f>
        <v>160.63322003870147</v>
      </c>
      <c r="E122" s="1103">
        <f ca="1">'[2]Monthly Curve Calc.'!E125</f>
        <v>19.660347222222228</v>
      </c>
      <c r="F122" s="1104">
        <f ca="1">'[2]Monthly Curve Calc.'!F125</f>
        <v>2.3054042996063471</v>
      </c>
      <c r="G122" s="812">
        <f t="shared" ca="1" si="17"/>
        <v>1.0783307546811163</v>
      </c>
      <c r="H122" s="810">
        <f t="shared" ca="1" si="18"/>
        <v>1.0285530290973726</v>
      </c>
      <c r="I122" s="810">
        <f t="shared" ca="1" si="19"/>
        <v>1.0260530290973726</v>
      </c>
      <c r="J122" s="810">
        <f t="shared" ca="1" si="20"/>
        <v>1.0260790501255066</v>
      </c>
      <c r="K122" s="813">
        <f t="shared" ca="1" si="21"/>
        <v>19.900364583333335</v>
      </c>
      <c r="L122" s="921">
        <f t="shared" si="13"/>
        <v>110</v>
      </c>
      <c r="M122" s="809">
        <f t="shared" ca="1" si="14"/>
        <v>1.0285530290973726</v>
      </c>
      <c r="N122" s="810">
        <f t="shared" si="22"/>
        <v>1.0049999999999999</v>
      </c>
      <c r="O122" s="813">
        <f t="shared" ca="1" si="23"/>
        <v>1.2346229437596627</v>
      </c>
      <c r="Q122" s="809">
        <f t="shared" ca="1" si="15"/>
        <v>1.0285530290973726</v>
      </c>
      <c r="R122" s="810">
        <f t="shared" si="24"/>
        <v>0</v>
      </c>
      <c r="S122" s="813">
        <f t="shared" ca="1" si="25"/>
        <v>1.1624575827926935</v>
      </c>
    </row>
    <row r="123" spans="1:19">
      <c r="A123" s="811">
        <f t="shared" si="16"/>
        <v>38565</v>
      </c>
      <c r="B123" s="1102">
        <f ca="1">'[2]Monthly Curve Calc.'!B126</f>
        <v>279.47280186876412</v>
      </c>
      <c r="C123" s="1103">
        <f ca="1">'[2]Monthly Curve Calc.'!C126</f>
        <v>199.62985852366984</v>
      </c>
      <c r="D123" s="1103">
        <f ca="1">'[2]Monthly Curve Calc.'!D126</f>
        <v>160.95880718994317</v>
      </c>
      <c r="E123" s="1103">
        <f ca="1">'[2]Monthly Curve Calc.'!E126</f>
        <v>19.650694444444451</v>
      </c>
      <c r="F123" s="1104">
        <f ca="1">'[2]Monthly Curve Calc.'!F126</f>
        <v>2.3107998685767535</v>
      </c>
      <c r="G123" s="812">
        <f t="shared" ca="1" si="17"/>
        <v>1.0783307546811163</v>
      </c>
      <c r="H123" s="810">
        <f t="shared" ca="1" si="18"/>
        <v>1.0285530290973726</v>
      </c>
      <c r="I123" s="810">
        <f t="shared" ca="1" si="19"/>
        <v>1.0260530290973726</v>
      </c>
      <c r="J123" s="810">
        <f t="shared" ca="1" si="20"/>
        <v>1.0260790501255066</v>
      </c>
      <c r="K123" s="813">
        <f t="shared" ca="1" si="21"/>
        <v>19.900364583333335</v>
      </c>
      <c r="L123" s="921">
        <f t="shared" si="13"/>
        <v>111</v>
      </c>
      <c r="M123" s="809">
        <f t="shared" ca="1" si="14"/>
        <v>1.0285530290973726</v>
      </c>
      <c r="N123" s="810">
        <f t="shared" si="22"/>
        <v>1.0049999999999999</v>
      </c>
      <c r="O123" s="813">
        <f t="shared" ca="1" si="23"/>
        <v>1.2346229437596627</v>
      </c>
      <c r="Q123" s="809">
        <f t="shared" ca="1" si="15"/>
        <v>1.0285530290973726</v>
      </c>
      <c r="R123" s="810">
        <f t="shared" si="24"/>
        <v>0</v>
      </c>
      <c r="S123" s="813">
        <f t="shared" ca="1" si="25"/>
        <v>1.1624575827926935</v>
      </c>
    </row>
    <row r="124" spans="1:19">
      <c r="A124" s="811">
        <f t="shared" si="16"/>
        <v>38596</v>
      </c>
      <c r="B124" s="1102">
        <f ca="1">'[2]Monthly Curve Calc.'!B127</f>
        <v>281.16219232555272</v>
      </c>
      <c r="C124" s="1103">
        <f ca="1">'[2]Monthly Curve Calc.'!C127</f>
        <v>200.09335212298845</v>
      </c>
      <c r="D124" s="1103">
        <f ca="1">'[2]Monthly Curve Calc.'!D127</f>
        <v>161.28505427312814</v>
      </c>
      <c r="E124" s="1103">
        <f ca="1">'[2]Monthly Curve Calc.'!E127</f>
        <v>19.641041666666673</v>
      </c>
      <c r="F124" s="1104">
        <f ca="1">'[2]Monthly Curve Calc.'!F127</f>
        <v>2.316208065338528</v>
      </c>
      <c r="G124" s="812">
        <f t="shared" ca="1" si="17"/>
        <v>1.0783307546811163</v>
      </c>
      <c r="H124" s="810">
        <f t="shared" ca="1" si="18"/>
        <v>1.0285530290973726</v>
      </c>
      <c r="I124" s="810">
        <f t="shared" ca="1" si="19"/>
        <v>1.0260530290973726</v>
      </c>
      <c r="J124" s="810">
        <f t="shared" ca="1" si="20"/>
        <v>1.0260790501255066</v>
      </c>
      <c r="K124" s="813">
        <f t="shared" ca="1" si="21"/>
        <v>19.900364583333335</v>
      </c>
      <c r="L124" s="921">
        <f t="shared" si="13"/>
        <v>112</v>
      </c>
      <c r="M124" s="809">
        <f t="shared" ca="1" si="14"/>
        <v>1.0285530290973726</v>
      </c>
      <c r="N124" s="810">
        <f t="shared" si="22"/>
        <v>1.0049999999999999</v>
      </c>
      <c r="O124" s="813">
        <f t="shared" ca="1" si="23"/>
        <v>1.2346229437596627</v>
      </c>
      <c r="Q124" s="809">
        <f t="shared" ca="1" si="15"/>
        <v>1.0285530290973726</v>
      </c>
      <c r="R124" s="810">
        <f t="shared" si="24"/>
        <v>0</v>
      </c>
      <c r="S124" s="813">
        <f t="shared" ca="1" si="25"/>
        <v>1.1624575827926935</v>
      </c>
    </row>
    <row r="125" spans="1:19">
      <c r="A125" s="811">
        <f t="shared" si="16"/>
        <v>38626</v>
      </c>
      <c r="B125" s="1102">
        <f ca="1">'[2]Monthly Curve Calc.'!B128</f>
        <v>282.86179501085303</v>
      </c>
      <c r="C125" s="1103">
        <f ca="1">'[2]Monthly Curve Calc.'!C128</f>
        <v>200.5579218454792</v>
      </c>
      <c r="D125" s="1103">
        <f ca="1">'[2]Monthly Curve Calc.'!D128</f>
        <v>161.61196262587112</v>
      </c>
      <c r="E125" s="1103">
        <f ca="1">'[2]Monthly Curve Calc.'!E128</f>
        <v>19.631388888888896</v>
      </c>
      <c r="F125" s="1104">
        <f ca="1">'[2]Monthly Curve Calc.'!F128</f>
        <v>2.3216289194457573</v>
      </c>
      <c r="G125" s="812">
        <f t="shared" ca="1" si="17"/>
        <v>1.0783307546811163</v>
      </c>
      <c r="H125" s="810">
        <f t="shared" ca="1" si="18"/>
        <v>1.0285530290973726</v>
      </c>
      <c r="I125" s="810">
        <f t="shared" ca="1" si="19"/>
        <v>1.0260530290973726</v>
      </c>
      <c r="J125" s="810">
        <f t="shared" ca="1" si="20"/>
        <v>1.0260790501255066</v>
      </c>
      <c r="K125" s="813">
        <f t="shared" ca="1" si="21"/>
        <v>19.900364583333335</v>
      </c>
      <c r="L125" s="921">
        <f t="shared" si="13"/>
        <v>113</v>
      </c>
      <c r="M125" s="809">
        <f t="shared" ca="1" si="14"/>
        <v>1.0285530290973726</v>
      </c>
      <c r="N125" s="810">
        <f t="shared" si="22"/>
        <v>1.0049999999999999</v>
      </c>
      <c r="O125" s="813">
        <f t="shared" ca="1" si="23"/>
        <v>1.2346229437596627</v>
      </c>
      <c r="Q125" s="809">
        <f t="shared" ca="1" si="15"/>
        <v>1.0285530290973726</v>
      </c>
      <c r="R125" s="810">
        <f t="shared" si="24"/>
        <v>0</v>
      </c>
      <c r="S125" s="813">
        <f t="shared" ca="1" si="25"/>
        <v>1.1624575827926935</v>
      </c>
    </row>
    <row r="126" spans="1:19">
      <c r="A126" s="811">
        <f t="shared" si="16"/>
        <v>38657</v>
      </c>
      <c r="B126" s="1102">
        <f ca="1">'[2]Monthly Curve Calc.'!B129</f>
        <v>284.57167165675946</v>
      </c>
      <c r="C126" s="1103">
        <f ca="1">'[2]Monthly Curve Calc.'!C129</f>
        <v>201.02357018964713</v>
      </c>
      <c r="D126" s="1103">
        <f ca="1">'[2]Monthly Curve Calc.'!D129</f>
        <v>161.93953358849802</v>
      </c>
      <c r="E126" s="1103">
        <f ca="1">'[2]Monthly Curve Calc.'!E129</f>
        <v>19.621736111111119</v>
      </c>
      <c r="F126" s="1104">
        <f ca="1">'[2]Monthly Curve Calc.'!F129</f>
        <v>2.3270624605216974</v>
      </c>
      <c r="G126" s="812">
        <f t="shared" ca="1" si="17"/>
        <v>1.0783307546811163</v>
      </c>
      <c r="H126" s="810">
        <f t="shared" ca="1" si="18"/>
        <v>1.0285530290973726</v>
      </c>
      <c r="I126" s="810">
        <f t="shared" ca="1" si="19"/>
        <v>1.0260530290973726</v>
      </c>
      <c r="J126" s="810">
        <f t="shared" ca="1" si="20"/>
        <v>1.0260790501255066</v>
      </c>
      <c r="K126" s="813">
        <f t="shared" ca="1" si="21"/>
        <v>19.900364583333335</v>
      </c>
      <c r="L126" s="921">
        <f t="shared" si="13"/>
        <v>114</v>
      </c>
      <c r="M126" s="809">
        <f t="shared" ca="1" si="14"/>
        <v>1.0285530290973726</v>
      </c>
      <c r="N126" s="810">
        <f t="shared" si="22"/>
        <v>1.0049999999999999</v>
      </c>
      <c r="O126" s="813">
        <f t="shared" ca="1" si="23"/>
        <v>1.2346229437596627</v>
      </c>
      <c r="Q126" s="809">
        <f t="shared" ca="1" si="15"/>
        <v>1.0285530290973726</v>
      </c>
      <c r="R126" s="810">
        <f t="shared" si="24"/>
        <v>0</v>
      </c>
      <c r="S126" s="813">
        <f t="shared" ca="1" si="25"/>
        <v>1.1624575827926935</v>
      </c>
    </row>
    <row r="127" spans="1:19">
      <c r="A127" s="811">
        <f t="shared" si="16"/>
        <v>38687</v>
      </c>
      <c r="B127" s="1102">
        <f ca="1">'[2]Monthly Curve Calc.'!B130</f>
        <v>286.2918843685319</v>
      </c>
      <c r="C127" s="1103">
        <f ca="1">'[2]Monthly Curve Calc.'!C130</f>
        <v>201.49029965979815</v>
      </c>
      <c r="D127" s="1103">
        <f ca="1">'[2]Monthly Curve Calc.'!D130</f>
        <v>162.2677685040515</v>
      </c>
      <c r="E127" s="1103">
        <f ca="1">'[2]Monthly Curve Calc.'!E130</f>
        <v>19.612083333333334</v>
      </c>
      <c r="F127" s="1104">
        <f ca="1">'[2]Monthly Curve Calc.'!F130</f>
        <v>2.3325087182589361</v>
      </c>
      <c r="G127" s="812">
        <f t="shared" ca="1" si="17"/>
        <v>1.0783307546811163</v>
      </c>
      <c r="H127" s="810">
        <f t="shared" ca="1" si="18"/>
        <v>1.0285530290973726</v>
      </c>
      <c r="I127" s="810">
        <f t="shared" ca="1" si="19"/>
        <v>1.0260530290973726</v>
      </c>
      <c r="J127" s="810">
        <f t="shared" ca="1" si="20"/>
        <v>1.0260790501255066</v>
      </c>
      <c r="K127" s="813">
        <f t="shared" ca="1" si="21"/>
        <v>19.900364583333335</v>
      </c>
      <c r="L127" s="921">
        <f t="shared" si="13"/>
        <v>115</v>
      </c>
      <c r="M127" s="809">
        <f t="shared" ca="1" si="14"/>
        <v>1.0285530290973726</v>
      </c>
      <c r="N127" s="810">
        <f t="shared" si="22"/>
        <v>1.0049999999999999</v>
      </c>
      <c r="O127" s="813">
        <f t="shared" ca="1" si="23"/>
        <v>1.2346229437596627</v>
      </c>
      <c r="Q127" s="809">
        <f t="shared" ca="1" si="15"/>
        <v>1.0285530290973726</v>
      </c>
      <c r="R127" s="810">
        <f t="shared" si="24"/>
        <v>0</v>
      </c>
      <c r="S127" s="813">
        <f t="shared" ca="1" si="25"/>
        <v>1.1624575827926935</v>
      </c>
    </row>
    <row r="128" spans="1:19">
      <c r="A128" s="811">
        <f t="shared" si="16"/>
        <v>38718</v>
      </c>
      <c r="B128" s="1102">
        <f ca="1">'[2]Monthly Curve Calc.'!B131</f>
        <v>288.02249562685154</v>
      </c>
      <c r="C128" s="1103">
        <f ca="1">'[2]Monthly Curve Calc.'!C131</f>
        <v>201.94726564185683</v>
      </c>
      <c r="D128" s="1103">
        <f ca="1">'[2]Monthly Curve Calc.'!D131</f>
        <v>162.57803223037317</v>
      </c>
      <c r="E128" s="1103">
        <f ca="1">'[2]Monthly Curve Calc.'!E131</f>
        <v>19.609409722222225</v>
      </c>
      <c r="F128" s="1104">
        <f ca="1">'[2]Monthly Curve Calc.'!F131</f>
        <v>2.3378826174225127</v>
      </c>
      <c r="G128" s="812">
        <f t="shared" ca="1" si="17"/>
        <v>1.0783307546811163</v>
      </c>
      <c r="H128" s="810">
        <f t="shared" ca="1" si="18"/>
        <v>1.0285530290973726</v>
      </c>
      <c r="I128" s="810">
        <f t="shared" ca="1" si="19"/>
        <v>1.0260530290973726</v>
      </c>
      <c r="J128" s="810">
        <f t="shared" ca="1" si="20"/>
        <v>1.0245957650843083</v>
      </c>
      <c r="K128" s="813">
        <f t="shared" ca="1" si="21"/>
        <v>19.665173611111115</v>
      </c>
      <c r="L128" s="921">
        <f t="shared" si="13"/>
        <v>116</v>
      </c>
      <c r="M128" s="809">
        <f t="shared" ca="1" si="14"/>
        <v>1.0285530290973726</v>
      </c>
      <c r="N128" s="810">
        <f t="shared" si="22"/>
        <v>1.0049999999999999</v>
      </c>
      <c r="O128" s="813">
        <f t="shared" ca="1" si="23"/>
        <v>1.2346229437596627</v>
      </c>
      <c r="Q128" s="809">
        <f t="shared" ca="1" si="15"/>
        <v>1.0285530290973726</v>
      </c>
      <c r="R128" s="810">
        <f t="shared" si="24"/>
        <v>0</v>
      </c>
      <c r="S128" s="813">
        <f t="shared" ca="1" si="25"/>
        <v>1.1624575827926935</v>
      </c>
    </row>
    <row r="129" spans="1:19">
      <c r="A129" s="811">
        <f t="shared" si="16"/>
        <v>38749</v>
      </c>
      <c r="B129" s="1102">
        <f ca="1">'[2]Monthly Curve Calc.'!B132</f>
        <v>289.76356829009029</v>
      </c>
      <c r="C129" s="1103">
        <f ca="1">'[2]Monthly Curve Calc.'!C132</f>
        <v>202.40526799097196</v>
      </c>
      <c r="D129" s="1103">
        <f ca="1">'[2]Monthly Curve Calc.'!D132</f>
        <v>162.88888919576357</v>
      </c>
      <c r="E129" s="1103">
        <f ca="1">'[2]Monthly Curve Calc.'!E132</f>
        <v>19.606736111111111</v>
      </c>
      <c r="F129" s="1104">
        <f ca="1">'[2]Monthly Curve Calc.'!F132</f>
        <v>2.3432688975868521</v>
      </c>
      <c r="G129" s="812">
        <f t="shared" ca="1" si="17"/>
        <v>1.0783307546811163</v>
      </c>
      <c r="H129" s="810">
        <f t="shared" ca="1" si="18"/>
        <v>1.0285530290973726</v>
      </c>
      <c r="I129" s="810">
        <f t="shared" ca="1" si="19"/>
        <v>1.0260530290973726</v>
      </c>
      <c r="J129" s="810">
        <f t="shared" ca="1" si="20"/>
        <v>1.0245957650843083</v>
      </c>
      <c r="K129" s="813">
        <f t="shared" ca="1" si="21"/>
        <v>19.665173611111115</v>
      </c>
      <c r="L129" s="921">
        <f t="shared" si="13"/>
        <v>117</v>
      </c>
      <c r="M129" s="809">
        <f t="shared" ca="1" si="14"/>
        <v>1.0285530290973726</v>
      </c>
      <c r="N129" s="810">
        <f t="shared" si="22"/>
        <v>1.0049999999999999</v>
      </c>
      <c r="O129" s="813">
        <f t="shared" ca="1" si="23"/>
        <v>1.2346229437596627</v>
      </c>
      <c r="Q129" s="809">
        <f t="shared" ca="1" si="15"/>
        <v>1.0285530290973726</v>
      </c>
      <c r="R129" s="810">
        <f t="shared" si="24"/>
        <v>0</v>
      </c>
      <c r="S129" s="813">
        <f t="shared" ca="1" si="25"/>
        <v>1.1624575827926935</v>
      </c>
    </row>
    <row r="130" spans="1:19">
      <c r="A130" s="811">
        <f t="shared" si="16"/>
        <v>38777</v>
      </c>
      <c r="B130" s="1102">
        <f ca="1">'[2]Monthly Curve Calc.'!B133</f>
        <v>291.5151655965937</v>
      </c>
      <c r="C130" s="1103">
        <f ca="1">'[2]Monthly Curve Calc.'!C133</f>
        <v>202.86430905755191</v>
      </c>
      <c r="D130" s="1103">
        <f ca="1">'[2]Monthly Curve Calc.'!D133</f>
        <v>163.20034053452412</v>
      </c>
      <c r="E130" s="1103">
        <f ca="1">'[2]Monthly Curve Calc.'!E133</f>
        <v>19.604062499999998</v>
      </c>
      <c r="F130" s="1104">
        <f ca="1">'[2]Monthly Curve Calc.'!F133</f>
        <v>2.3486675872767138</v>
      </c>
      <c r="G130" s="812">
        <f t="shared" ca="1" si="17"/>
        <v>1.0783307546811163</v>
      </c>
      <c r="H130" s="810">
        <f t="shared" ca="1" si="18"/>
        <v>1.0285530290973726</v>
      </c>
      <c r="I130" s="810">
        <f t="shared" ca="1" si="19"/>
        <v>1.0260530290973726</v>
      </c>
      <c r="J130" s="810">
        <f t="shared" ca="1" si="20"/>
        <v>1.0245957650843083</v>
      </c>
      <c r="K130" s="813">
        <f t="shared" ca="1" si="21"/>
        <v>19.665173611111115</v>
      </c>
      <c r="L130" s="921">
        <f t="shared" si="13"/>
        <v>118</v>
      </c>
      <c r="M130" s="809">
        <f t="shared" ca="1" si="14"/>
        <v>1.0285530290973726</v>
      </c>
      <c r="N130" s="810">
        <f t="shared" si="22"/>
        <v>1.0049999999999999</v>
      </c>
      <c r="O130" s="813">
        <f t="shared" ca="1" si="23"/>
        <v>1.2346229437596627</v>
      </c>
      <c r="Q130" s="809">
        <f t="shared" ca="1" si="15"/>
        <v>1.0285530290973726</v>
      </c>
      <c r="R130" s="810">
        <f t="shared" si="24"/>
        <v>0</v>
      </c>
      <c r="S130" s="813">
        <f t="shared" ca="1" si="25"/>
        <v>1.1624575827926935</v>
      </c>
    </row>
    <row r="131" spans="1:19">
      <c r="A131" s="811">
        <f t="shared" si="16"/>
        <v>38808</v>
      </c>
      <c r="B131" s="1102">
        <f ca="1">'[2]Monthly Curve Calc.'!B134</f>
        <v>293.27735116697812</v>
      </c>
      <c r="C131" s="1103">
        <f ca="1">'[2]Monthly Curve Calc.'!C134</f>
        <v>203.32439119733561</v>
      </c>
      <c r="D131" s="1103">
        <f ca="1">'[2]Monthly Curve Calc.'!D134</f>
        <v>163.51238738312512</v>
      </c>
      <c r="E131" s="1103">
        <f ca="1">'[2]Monthly Curve Calc.'!E134</f>
        <v>19.601388888888884</v>
      </c>
      <c r="F131" s="1104">
        <f ca="1">'[2]Monthly Curve Calc.'!F134</f>
        <v>2.3540787150825753</v>
      </c>
      <c r="G131" s="812">
        <f t="shared" ca="1" si="17"/>
        <v>1.0783307546811163</v>
      </c>
      <c r="H131" s="810">
        <f t="shared" ca="1" si="18"/>
        <v>1.0285530290973726</v>
      </c>
      <c r="I131" s="810">
        <f t="shared" ca="1" si="19"/>
        <v>1.0260530290973726</v>
      </c>
      <c r="J131" s="810">
        <f t="shared" ca="1" si="20"/>
        <v>1.0245957650843083</v>
      </c>
      <c r="K131" s="813">
        <f t="shared" ca="1" si="21"/>
        <v>19.665173611111115</v>
      </c>
      <c r="L131" s="921">
        <f t="shared" si="13"/>
        <v>119</v>
      </c>
      <c r="M131" s="809">
        <f t="shared" ca="1" si="14"/>
        <v>1.0285530290973726</v>
      </c>
      <c r="N131" s="810">
        <f t="shared" si="22"/>
        <v>1.0049999999999999</v>
      </c>
      <c r="O131" s="813">
        <f t="shared" ca="1" si="23"/>
        <v>1.2346229437596627</v>
      </c>
      <c r="Q131" s="809">
        <f t="shared" ca="1" si="15"/>
        <v>1.0285530290973726</v>
      </c>
      <c r="R131" s="810">
        <f t="shared" si="24"/>
        <v>0</v>
      </c>
      <c r="S131" s="813">
        <f t="shared" ca="1" si="25"/>
        <v>1.1624575827926935</v>
      </c>
    </row>
    <row r="132" spans="1:19">
      <c r="A132" s="811">
        <f t="shared" si="16"/>
        <v>38838</v>
      </c>
      <c r="B132" s="1102">
        <f ca="1">'[2]Monthly Curve Calc.'!B135</f>
        <v>295.05018900644126</v>
      </c>
      <c r="C132" s="1103">
        <f ca="1">'[2]Monthly Curve Calc.'!C135</f>
        <v>203.7855167714047</v>
      </c>
      <c r="D132" s="1103">
        <f ca="1">'[2]Monthly Curve Calc.'!D135</f>
        <v>163.82503088020982</v>
      </c>
      <c r="E132" s="1103">
        <f ca="1">'[2]Monthly Curve Calc.'!E135</f>
        <v>19.598715277777771</v>
      </c>
      <c r="F132" s="1104">
        <f ca="1">'[2]Monthly Curve Calc.'!F135</f>
        <v>2.3595023096607846</v>
      </c>
      <c r="G132" s="812">
        <f t="shared" ca="1" si="17"/>
        <v>1.0750000000000004</v>
      </c>
      <c r="H132" s="810">
        <f t="shared" ca="1" si="18"/>
        <v>1.0279988418351107</v>
      </c>
      <c r="I132" s="810">
        <f t="shared" ca="1" si="19"/>
        <v>1.0254988418351108</v>
      </c>
      <c r="J132" s="810">
        <f t="shared" ca="1" si="20"/>
        <v>1.0245957650843083</v>
      </c>
      <c r="K132" s="813">
        <f t="shared" ca="1" si="21"/>
        <v>19.665173611111115</v>
      </c>
      <c r="L132" s="921">
        <f t="shared" si="13"/>
        <v>120</v>
      </c>
      <c r="M132" s="809">
        <f t="shared" ca="1" si="14"/>
        <v>1.0279988418351107</v>
      </c>
      <c r="N132" s="810">
        <f t="shared" si="22"/>
        <v>1.0049999999999999</v>
      </c>
      <c r="O132" s="813">
        <f t="shared" ca="1" si="23"/>
        <v>1.2691909562879884</v>
      </c>
      <c r="Q132" s="809">
        <f t="shared" ca="1" si="15"/>
        <v>1.0279988418351107</v>
      </c>
      <c r="R132" s="810">
        <f t="shared" si="24"/>
        <v>0</v>
      </c>
      <c r="S132" s="813">
        <f t="shared" ca="1" si="25"/>
        <v>1.1624575827926935</v>
      </c>
    </row>
    <row r="133" spans="1:19">
      <c r="A133" s="811">
        <f t="shared" si="16"/>
        <v>38869</v>
      </c>
      <c r="B133" s="1102">
        <f ca="1">'[2]Monthly Curve Calc.'!B136</f>
        <v>296.83374350708715</v>
      </c>
      <c r="C133" s="1103">
        <f ca="1">'[2]Monthly Curve Calc.'!C136</f>
        <v>204.24768814619551</v>
      </c>
      <c r="D133" s="1103">
        <f ca="1">'[2]Monthly Curve Calc.'!D136</f>
        <v>164.13827216659865</v>
      </c>
      <c r="E133" s="1103">
        <f ca="1">'[2]Monthly Curve Calc.'!E136</f>
        <v>19.596041666666657</v>
      </c>
      <c r="F133" s="1104">
        <f ca="1">'[2]Monthly Curve Calc.'!F136</f>
        <v>2.3649383997337114</v>
      </c>
      <c r="G133" s="812">
        <f t="shared" ca="1" si="17"/>
        <v>1.0750000000000004</v>
      </c>
      <c r="H133" s="810">
        <f t="shared" ca="1" si="18"/>
        <v>1.0279988418351107</v>
      </c>
      <c r="I133" s="810">
        <f t="shared" ca="1" si="19"/>
        <v>1.0254988418351108</v>
      </c>
      <c r="J133" s="810">
        <f t="shared" ca="1" si="20"/>
        <v>1.0245957650843083</v>
      </c>
      <c r="K133" s="813">
        <f t="shared" ca="1" si="21"/>
        <v>19.665173611111115</v>
      </c>
      <c r="L133" s="921">
        <f t="shared" si="13"/>
        <v>121</v>
      </c>
      <c r="M133" s="809">
        <f t="shared" ca="1" si="14"/>
        <v>1.0279988418351107</v>
      </c>
      <c r="N133" s="810">
        <f t="shared" si="22"/>
        <v>1.0049999999999999</v>
      </c>
      <c r="O133" s="813">
        <f t="shared" ca="1" si="23"/>
        <v>1.2691909562879884</v>
      </c>
      <c r="Q133" s="809">
        <f t="shared" ca="1" si="15"/>
        <v>1.0279988418351107</v>
      </c>
      <c r="R133" s="810">
        <f t="shared" si="24"/>
        <v>0</v>
      </c>
      <c r="S133" s="813">
        <f t="shared" ca="1" si="25"/>
        <v>1.1950050487933312</v>
      </c>
    </row>
    <row r="134" spans="1:19">
      <c r="A134" s="811">
        <f t="shared" si="16"/>
        <v>38899</v>
      </c>
      <c r="B134" s="1102">
        <f ca="1">'[2]Monthly Curve Calc.'!B137</f>
        <v>298.62807945026486</v>
      </c>
      <c r="C134" s="1103">
        <f ca="1">'[2]Monthly Curve Calc.'!C137</f>
        <v>204.71090769351133</v>
      </c>
      <c r="D134" s="1103">
        <f ca="1">'[2]Monthly Curve Calc.'!D137</f>
        <v>164.45211238529333</v>
      </c>
      <c r="E134" s="1103">
        <f ca="1">'[2]Monthly Curve Calc.'!E137</f>
        <v>19.593368055555544</v>
      </c>
      <c r="F134" s="1104">
        <f ca="1">'[2]Monthly Curve Calc.'!F137</f>
        <v>2.370387014089899</v>
      </c>
      <c r="G134" s="812">
        <f t="shared" ca="1" si="17"/>
        <v>1.0750000000000004</v>
      </c>
      <c r="H134" s="810">
        <f t="shared" ca="1" si="18"/>
        <v>1.0279988418351107</v>
      </c>
      <c r="I134" s="810">
        <f t="shared" ca="1" si="19"/>
        <v>1.0254988418351108</v>
      </c>
      <c r="J134" s="810">
        <f t="shared" ca="1" si="20"/>
        <v>1.0245957650843083</v>
      </c>
      <c r="K134" s="813">
        <f t="shared" ca="1" si="21"/>
        <v>19.665173611111115</v>
      </c>
      <c r="L134" s="921">
        <f t="shared" si="13"/>
        <v>122</v>
      </c>
      <c r="M134" s="809">
        <f t="shared" ca="1" si="14"/>
        <v>1.0279988418351107</v>
      </c>
      <c r="N134" s="810">
        <f t="shared" si="22"/>
        <v>1.0049999999999999</v>
      </c>
      <c r="O134" s="813">
        <f t="shared" ca="1" si="23"/>
        <v>1.2691909562879884</v>
      </c>
      <c r="Q134" s="809">
        <f t="shared" ca="1" si="15"/>
        <v>1.0279988418351107</v>
      </c>
      <c r="R134" s="810">
        <f t="shared" si="24"/>
        <v>0</v>
      </c>
      <c r="S134" s="813">
        <f t="shared" ca="1" si="25"/>
        <v>1.1950050487933312</v>
      </c>
    </row>
    <row r="135" spans="1:19">
      <c r="A135" s="811">
        <f t="shared" si="16"/>
        <v>38930</v>
      </c>
      <c r="B135" s="1102">
        <f ca="1">'[2]Monthly Curve Calc.'!B138</f>
        <v>300.43326200892147</v>
      </c>
      <c r="C135" s="1103">
        <f ca="1">'[2]Monthly Curve Calc.'!C138</f>
        <v>205.17517779053455</v>
      </c>
      <c r="D135" s="1103">
        <f ca="1">'[2]Monthly Curve Calc.'!D138</f>
        <v>164.76655268148102</v>
      </c>
      <c r="E135" s="1103">
        <f ca="1">'[2]Monthly Curve Calc.'!E138</f>
        <v>19.590694444444431</v>
      </c>
      <c r="F135" s="1104">
        <f ca="1">'[2]Monthly Curve Calc.'!F138</f>
        <v>2.3758481815842174</v>
      </c>
      <c r="G135" s="812">
        <f t="shared" ca="1" si="17"/>
        <v>1.0750000000000004</v>
      </c>
      <c r="H135" s="810">
        <f t="shared" ca="1" si="18"/>
        <v>1.0279988418351107</v>
      </c>
      <c r="I135" s="810">
        <f t="shared" ca="1" si="19"/>
        <v>1.0254988418351108</v>
      </c>
      <c r="J135" s="810">
        <f t="shared" ca="1" si="20"/>
        <v>1.0245957650843083</v>
      </c>
      <c r="K135" s="813">
        <f t="shared" ca="1" si="21"/>
        <v>19.665173611111115</v>
      </c>
      <c r="L135" s="921">
        <f t="shared" si="13"/>
        <v>123</v>
      </c>
      <c r="M135" s="809">
        <f t="shared" ca="1" si="14"/>
        <v>1.0279988418351107</v>
      </c>
      <c r="N135" s="810">
        <f t="shared" si="22"/>
        <v>1.0049999999999999</v>
      </c>
      <c r="O135" s="813">
        <f t="shared" ca="1" si="23"/>
        <v>1.2691909562879884</v>
      </c>
      <c r="Q135" s="809">
        <f t="shared" ca="1" si="15"/>
        <v>1.0279988418351107</v>
      </c>
      <c r="R135" s="810">
        <f t="shared" si="24"/>
        <v>0</v>
      </c>
      <c r="S135" s="813">
        <f t="shared" ca="1" si="25"/>
        <v>1.1950050487933312</v>
      </c>
    </row>
    <row r="136" spans="1:19">
      <c r="A136" s="811">
        <f t="shared" si="16"/>
        <v>38961</v>
      </c>
      <c r="B136" s="1102">
        <f ca="1">'[2]Monthly Curve Calc.'!B139</f>
        <v>302.24935674996919</v>
      </c>
      <c r="C136" s="1103">
        <f ca="1">'[2]Monthly Curve Calc.'!C139</f>
        <v>205.64050081983879</v>
      </c>
      <c r="D136" s="1103">
        <f ca="1">'[2]Monthly Curve Calc.'!D139</f>
        <v>165.08159420253855</v>
      </c>
      <c r="E136" s="1103">
        <f ca="1">'[2]Monthly Curve Calc.'!E139</f>
        <v>19.588020833333317</v>
      </c>
      <c r="F136" s="1104">
        <f ca="1">'[2]Monthly Curve Calc.'!F139</f>
        <v>2.3813219311380154</v>
      </c>
      <c r="G136" s="812">
        <f t="shared" ca="1" si="17"/>
        <v>1.0750000000000004</v>
      </c>
      <c r="H136" s="810">
        <f t="shared" ca="1" si="18"/>
        <v>1.0279988418351107</v>
      </c>
      <c r="I136" s="810">
        <f t="shared" ca="1" si="19"/>
        <v>1.0254988418351108</v>
      </c>
      <c r="J136" s="810">
        <f t="shared" ca="1" si="20"/>
        <v>1.0245957650843083</v>
      </c>
      <c r="K136" s="813">
        <f t="shared" ca="1" si="21"/>
        <v>19.665173611111115</v>
      </c>
      <c r="L136" s="921">
        <f t="shared" si="13"/>
        <v>124</v>
      </c>
      <c r="M136" s="809">
        <f t="shared" ca="1" si="14"/>
        <v>1.0279988418351107</v>
      </c>
      <c r="N136" s="810">
        <f t="shared" si="22"/>
        <v>1.0049999999999999</v>
      </c>
      <c r="O136" s="813">
        <f t="shared" ca="1" si="23"/>
        <v>1.2691909562879884</v>
      </c>
      <c r="Q136" s="809">
        <f t="shared" ca="1" si="15"/>
        <v>1.0279988418351107</v>
      </c>
      <c r="R136" s="810">
        <f t="shared" si="24"/>
        <v>0</v>
      </c>
      <c r="S136" s="813">
        <f t="shared" ca="1" si="25"/>
        <v>1.1950050487933312</v>
      </c>
    </row>
    <row r="137" spans="1:19">
      <c r="A137" s="811">
        <f t="shared" si="16"/>
        <v>38991</v>
      </c>
      <c r="B137" s="1102">
        <f ca="1">'[2]Monthly Curve Calc.'!B140</f>
        <v>304.076429636667</v>
      </c>
      <c r="C137" s="1103">
        <f ca="1">'[2]Monthly Curve Calc.'!C140</f>
        <v>206.10687916940122</v>
      </c>
      <c r="D137" s="1103">
        <f ca="1">'[2]Monthly Curve Calc.'!D140</f>
        <v>165.39723809803664</v>
      </c>
      <c r="E137" s="1103">
        <f ca="1">'[2]Monthly Curve Calc.'!E140</f>
        <v>19.585347222222204</v>
      </c>
      <c r="F137" s="1104">
        <f ca="1">'[2]Monthly Curve Calc.'!F140</f>
        <v>2.3868082917392743</v>
      </c>
      <c r="G137" s="812">
        <f t="shared" ca="1" si="17"/>
        <v>1.0750000000000004</v>
      </c>
      <c r="H137" s="810">
        <f t="shared" ca="1" si="18"/>
        <v>1.0279988418351107</v>
      </c>
      <c r="I137" s="810">
        <f t="shared" ca="1" si="19"/>
        <v>1.0254988418351108</v>
      </c>
      <c r="J137" s="810">
        <f t="shared" ca="1" si="20"/>
        <v>1.0245957650843083</v>
      </c>
      <c r="K137" s="813">
        <f t="shared" ca="1" si="21"/>
        <v>19.665173611111115</v>
      </c>
      <c r="L137" s="921">
        <f t="shared" si="13"/>
        <v>125</v>
      </c>
      <c r="M137" s="809">
        <f t="shared" ca="1" si="14"/>
        <v>1.0279988418351107</v>
      </c>
      <c r="N137" s="810">
        <f t="shared" si="22"/>
        <v>1.0049999999999999</v>
      </c>
      <c r="O137" s="813">
        <f t="shared" ca="1" si="23"/>
        <v>1.2691909562879884</v>
      </c>
      <c r="Q137" s="809">
        <f t="shared" ca="1" si="15"/>
        <v>1.0279988418351107</v>
      </c>
      <c r="R137" s="810">
        <f t="shared" si="24"/>
        <v>0</v>
      </c>
      <c r="S137" s="813">
        <f t="shared" ca="1" si="25"/>
        <v>1.1950050487933312</v>
      </c>
    </row>
    <row r="138" spans="1:19">
      <c r="A138" s="811">
        <f t="shared" si="16"/>
        <v>39022</v>
      </c>
      <c r="B138" s="1102">
        <f ca="1">'[2]Monthly Curve Calc.'!B141</f>
        <v>305.91454703101641</v>
      </c>
      <c r="C138" s="1103">
        <f ca="1">'[2]Monthly Curve Calc.'!C141</f>
        <v>206.57431523261479</v>
      </c>
      <c r="D138" s="1103">
        <f ca="1">'[2]Monthly Curve Calc.'!D141</f>
        <v>165.71348551974395</v>
      </c>
      <c r="E138" s="1103">
        <f ca="1">'[2]Monthly Curve Calc.'!E141</f>
        <v>19.58267361111109</v>
      </c>
      <c r="F138" s="1104">
        <f ca="1">'[2]Monthly Curve Calc.'!F141</f>
        <v>2.3923072924427613</v>
      </c>
      <c r="G138" s="812">
        <f t="shared" ca="1" si="17"/>
        <v>1.0750000000000004</v>
      </c>
      <c r="H138" s="810">
        <f t="shared" ca="1" si="18"/>
        <v>1.0279988418351107</v>
      </c>
      <c r="I138" s="810">
        <f t="shared" ca="1" si="19"/>
        <v>1.0254988418351108</v>
      </c>
      <c r="J138" s="810">
        <f t="shared" ca="1" si="20"/>
        <v>1.0245957650843083</v>
      </c>
      <c r="K138" s="813">
        <f t="shared" ca="1" si="21"/>
        <v>19.665173611111115</v>
      </c>
      <c r="L138" s="921">
        <f t="shared" si="13"/>
        <v>126</v>
      </c>
      <c r="M138" s="809">
        <f t="shared" ca="1" si="14"/>
        <v>1.0279988418351107</v>
      </c>
      <c r="N138" s="810">
        <f t="shared" si="22"/>
        <v>1.0049999999999999</v>
      </c>
      <c r="O138" s="813">
        <f t="shared" ca="1" si="23"/>
        <v>1.2691909562879884</v>
      </c>
      <c r="Q138" s="809">
        <f t="shared" ca="1" si="15"/>
        <v>1.0279988418351107</v>
      </c>
      <c r="R138" s="810">
        <f t="shared" si="24"/>
        <v>0</v>
      </c>
      <c r="S138" s="813">
        <f t="shared" ca="1" si="25"/>
        <v>1.1950050487933312</v>
      </c>
    </row>
    <row r="139" spans="1:19">
      <c r="A139" s="811">
        <f t="shared" si="16"/>
        <v>39052</v>
      </c>
      <c r="B139" s="1102">
        <f ca="1">'[2]Monthly Curve Calc.'!B142</f>
        <v>307.76377569617176</v>
      </c>
      <c r="C139" s="1103">
        <f ca="1">'[2]Monthly Curve Calc.'!C142</f>
        <v>207.04281140830045</v>
      </c>
      <c r="D139" s="1103">
        <f ca="1">'[2]Monthly Curve Calc.'!D142</f>
        <v>166.03033762163147</v>
      </c>
      <c r="E139" s="1103">
        <f ca="1">'[2]Monthly Curve Calc.'!E142</f>
        <v>19.579999999999995</v>
      </c>
      <c r="F139" s="1104">
        <f ca="1">'[2]Monthly Curve Calc.'!F142</f>
        <v>2.39781896237018</v>
      </c>
      <c r="G139" s="812">
        <f t="shared" ca="1" si="17"/>
        <v>1.0750000000000004</v>
      </c>
      <c r="H139" s="810">
        <f t="shared" ca="1" si="18"/>
        <v>1.0279988418351107</v>
      </c>
      <c r="I139" s="810">
        <f t="shared" ca="1" si="19"/>
        <v>1.0254988418351108</v>
      </c>
      <c r="J139" s="810">
        <f t="shared" ca="1" si="20"/>
        <v>1.0245957650843083</v>
      </c>
      <c r="K139" s="813">
        <f t="shared" ca="1" si="21"/>
        <v>19.665173611111115</v>
      </c>
      <c r="L139" s="921">
        <f t="shared" si="13"/>
        <v>127</v>
      </c>
      <c r="M139" s="809">
        <f t="shared" ca="1" si="14"/>
        <v>1.0279988418351107</v>
      </c>
      <c r="N139" s="810">
        <f t="shared" si="22"/>
        <v>1.0049999999999999</v>
      </c>
      <c r="O139" s="813">
        <f t="shared" ca="1" si="23"/>
        <v>1.2691909562879884</v>
      </c>
      <c r="Q139" s="809">
        <f t="shared" ca="1" si="15"/>
        <v>1.0279988418351107</v>
      </c>
      <c r="R139" s="810">
        <f t="shared" si="24"/>
        <v>0</v>
      </c>
      <c r="S139" s="813">
        <f t="shared" ca="1" si="25"/>
        <v>1.1950050487933312</v>
      </c>
    </row>
    <row r="140" spans="1:19">
      <c r="A140" s="811">
        <f t="shared" si="16"/>
        <v>39083</v>
      </c>
      <c r="B140" s="1102">
        <f ca="1">'[2]Monthly Curve Calc.'!B143</f>
        <v>309.62418279886538</v>
      </c>
      <c r="C140" s="1103">
        <f ca="1">'[2]Monthly Curve Calc.'!C143</f>
        <v>207.50163896315578</v>
      </c>
      <c r="D140" s="1103">
        <f ca="1">'[2]Monthly Curve Calc.'!D143</f>
        <v>166.32745963630512</v>
      </c>
      <c r="E140" s="1103">
        <f ca="1">'[2]Monthly Curve Calc.'!E143</f>
        <v>19.604999999999997</v>
      </c>
      <c r="F140" s="1104">
        <f ca="1">'[2]Monthly Curve Calc.'!F143</f>
        <v>2.4031820782557931</v>
      </c>
      <c r="G140" s="812">
        <f t="shared" ca="1" si="17"/>
        <v>1.0750000000000004</v>
      </c>
      <c r="H140" s="810">
        <f t="shared" ca="1" si="18"/>
        <v>1.0279988418351107</v>
      </c>
      <c r="I140" s="810">
        <f t="shared" ca="1" si="19"/>
        <v>1.0254988418351108</v>
      </c>
      <c r="J140" s="810">
        <f t="shared" ca="1" si="20"/>
        <v>1.0231874090108415</v>
      </c>
      <c r="K140" s="813">
        <f t="shared" ca="1" si="21"/>
        <v>19.594704861111101</v>
      </c>
      <c r="L140" s="921">
        <f t="shared" si="13"/>
        <v>128</v>
      </c>
      <c r="M140" s="809">
        <f t="shared" ca="1" si="14"/>
        <v>1.0279988418351107</v>
      </c>
      <c r="N140" s="810">
        <f t="shared" si="22"/>
        <v>1.0049999999999999</v>
      </c>
      <c r="O140" s="813">
        <f t="shared" ca="1" si="23"/>
        <v>1.2691909562879884</v>
      </c>
      <c r="Q140" s="809">
        <f t="shared" ca="1" si="15"/>
        <v>1.0279988418351107</v>
      </c>
      <c r="R140" s="810">
        <f t="shared" si="24"/>
        <v>0</v>
      </c>
      <c r="S140" s="813">
        <f t="shared" ca="1" si="25"/>
        <v>1.1950050487933312</v>
      </c>
    </row>
    <row r="141" spans="1:19">
      <c r="A141" s="811">
        <f t="shared" si="16"/>
        <v>39114</v>
      </c>
      <c r="B141" s="1102">
        <f ca="1">'[2]Monthly Curve Calc.'!B144</f>
        <v>311.495835911847</v>
      </c>
      <c r="C141" s="1103">
        <f ca="1">'[2]Monthly Curve Calc.'!C144</f>
        <v>207.96148332571221</v>
      </c>
      <c r="D141" s="1103">
        <f ca="1">'[2]Monthly Curve Calc.'!D144</f>
        <v>166.625113370018</v>
      </c>
      <c r="E141" s="1103">
        <f ca="1">'[2]Monthly Curve Calc.'!E144</f>
        <v>19.629999999999995</v>
      </c>
      <c r="F141" s="1104">
        <f ca="1">'[2]Monthly Curve Calc.'!F144</f>
        <v>2.4085571896308298</v>
      </c>
      <c r="G141" s="812">
        <f t="shared" ca="1" si="17"/>
        <v>1.0750000000000004</v>
      </c>
      <c r="H141" s="810">
        <f t="shared" ca="1" si="18"/>
        <v>1.0279988418351107</v>
      </c>
      <c r="I141" s="810">
        <f t="shared" ca="1" si="19"/>
        <v>1.0254988418351108</v>
      </c>
      <c r="J141" s="810">
        <f t="shared" ca="1" si="20"/>
        <v>1.0231874090108415</v>
      </c>
      <c r="K141" s="813">
        <f t="shared" ca="1" si="21"/>
        <v>19.594704861111101</v>
      </c>
      <c r="L141" s="921">
        <f t="shared" ref="L141:L204" si="26">L140+1</f>
        <v>129</v>
      </c>
      <c r="M141" s="809">
        <f t="shared" ca="1" si="14"/>
        <v>1.0279988418351107</v>
      </c>
      <c r="N141" s="810">
        <f t="shared" si="22"/>
        <v>1.0049999999999999</v>
      </c>
      <c r="O141" s="813">
        <f t="shared" ca="1" si="23"/>
        <v>1.2691909562879884</v>
      </c>
      <c r="Q141" s="809">
        <f t="shared" ca="1" si="15"/>
        <v>1.0279988418351107</v>
      </c>
      <c r="R141" s="810">
        <f t="shared" si="24"/>
        <v>0</v>
      </c>
      <c r="S141" s="813">
        <f t="shared" ca="1" si="25"/>
        <v>1.1950050487933312</v>
      </c>
    </row>
    <row r="142" spans="1:19">
      <c r="A142" s="811">
        <f t="shared" si="16"/>
        <v>39142</v>
      </c>
      <c r="B142" s="1102">
        <f ca="1">'[2]Monthly Curve Calc.'!B145</f>
        <v>313.37880301633817</v>
      </c>
      <c r="C142" s="1103">
        <f ca="1">'[2]Monthly Curve Calc.'!C145</f>
        <v>208.42234674931717</v>
      </c>
      <c r="D142" s="1103">
        <f ca="1">'[2]Monthly Curve Calc.'!D145</f>
        <v>166.92329977431569</v>
      </c>
      <c r="E142" s="1103">
        <f ca="1">'[2]Monthly Curve Calc.'!E145</f>
        <v>19.654999999999994</v>
      </c>
      <c r="F142" s="1104">
        <f ca="1">'[2]Monthly Curve Calc.'!F145</f>
        <v>2.4139443233251718</v>
      </c>
      <c r="G142" s="812">
        <f t="shared" ca="1" si="17"/>
        <v>1.0750000000000004</v>
      </c>
      <c r="H142" s="810">
        <f t="shared" ca="1" si="18"/>
        <v>1.0279988418351107</v>
      </c>
      <c r="I142" s="810">
        <f t="shared" ca="1" si="19"/>
        <v>1.0254988418351108</v>
      </c>
      <c r="J142" s="810">
        <f t="shared" ca="1" si="20"/>
        <v>1.0231874090108415</v>
      </c>
      <c r="K142" s="813">
        <f t="shared" ca="1" si="21"/>
        <v>19.594704861111101</v>
      </c>
      <c r="L142" s="921">
        <f t="shared" si="26"/>
        <v>130</v>
      </c>
      <c r="M142" s="809">
        <f t="shared" ca="1" si="14"/>
        <v>1.0279988418351107</v>
      </c>
      <c r="N142" s="810">
        <f t="shared" si="22"/>
        <v>1.0049999999999999</v>
      </c>
      <c r="O142" s="813">
        <f t="shared" ca="1" si="23"/>
        <v>1.2691909562879884</v>
      </c>
      <c r="Q142" s="809">
        <f t="shared" ca="1" si="15"/>
        <v>1.0279988418351107</v>
      </c>
      <c r="R142" s="810">
        <f t="shared" si="24"/>
        <v>0</v>
      </c>
      <c r="S142" s="813">
        <f t="shared" ca="1" si="25"/>
        <v>1.1950050487933312</v>
      </c>
    </row>
    <row r="143" spans="1:19">
      <c r="A143" s="811">
        <f t="shared" si="16"/>
        <v>39173</v>
      </c>
      <c r="B143" s="1102">
        <f ca="1">'[2]Monthly Curve Calc.'!B146</f>
        <v>315.27315250450141</v>
      </c>
      <c r="C143" s="1103">
        <f ca="1">'[2]Monthly Curve Calc.'!C146</f>
        <v>208.88423149231176</v>
      </c>
      <c r="D143" s="1103">
        <f ca="1">'[2]Monthly Curve Calc.'!D146</f>
        <v>167.2220198024466</v>
      </c>
      <c r="E143" s="1103">
        <f ca="1">'[2]Monthly Curve Calc.'!E146</f>
        <v>19.679999999999993</v>
      </c>
      <c r="F143" s="1104">
        <f ca="1">'[2]Monthly Curve Calc.'!F146</f>
        <v>2.419343506228711</v>
      </c>
      <c r="G143" s="812">
        <f t="shared" ca="1" si="17"/>
        <v>1.0750000000000004</v>
      </c>
      <c r="H143" s="810">
        <f t="shared" ca="1" si="18"/>
        <v>1.0279988418351107</v>
      </c>
      <c r="I143" s="810">
        <f t="shared" ca="1" si="19"/>
        <v>1.0254988418351108</v>
      </c>
      <c r="J143" s="810">
        <f t="shared" ca="1" si="20"/>
        <v>1.0231874090108415</v>
      </c>
      <c r="K143" s="813">
        <f t="shared" ca="1" si="21"/>
        <v>19.594704861111101</v>
      </c>
      <c r="L143" s="921">
        <f t="shared" si="26"/>
        <v>131</v>
      </c>
      <c r="M143" s="809">
        <f t="shared" ca="1" si="14"/>
        <v>1.0279988418351107</v>
      </c>
      <c r="N143" s="810">
        <f t="shared" si="22"/>
        <v>1.0049999999999999</v>
      </c>
      <c r="O143" s="813">
        <f t="shared" ca="1" si="23"/>
        <v>1.2691909562879884</v>
      </c>
      <c r="Q143" s="809">
        <f t="shared" ca="1" si="15"/>
        <v>1.0279988418351107</v>
      </c>
      <c r="R143" s="810">
        <f t="shared" si="24"/>
        <v>0</v>
      </c>
      <c r="S143" s="813">
        <f t="shared" ca="1" si="25"/>
        <v>1.1950050487933312</v>
      </c>
    </row>
    <row r="144" spans="1:19">
      <c r="A144" s="811">
        <f t="shared" si="16"/>
        <v>39203</v>
      </c>
      <c r="B144" s="1102">
        <f ca="1">'[2]Monthly Curve Calc.'!B147</f>
        <v>317.17895318192427</v>
      </c>
      <c r="C144" s="1103">
        <f ca="1">'[2]Monthly Curve Calc.'!C147</f>
        <v>209.3471398180418</v>
      </c>
      <c r="D144" s="1103">
        <f ca="1">'[2]Monthly Curve Calc.'!D147</f>
        <v>167.52127440936505</v>
      </c>
      <c r="E144" s="1103">
        <f ca="1">'[2]Monthly Curve Calc.'!E147</f>
        <v>19.704999999999991</v>
      </c>
      <c r="F144" s="1104">
        <f ca="1">'[2]Monthly Curve Calc.'!F147</f>
        <v>2.4247547652914823</v>
      </c>
      <c r="G144" s="812">
        <f t="shared" ca="1" si="17"/>
        <v>1.0749999999999997</v>
      </c>
      <c r="H144" s="810">
        <f t="shared" ca="1" si="18"/>
        <v>1.0273446794171393</v>
      </c>
      <c r="I144" s="810">
        <f t="shared" ca="1" si="19"/>
        <v>1.0248446794171393</v>
      </c>
      <c r="J144" s="810">
        <f t="shared" ca="1" si="20"/>
        <v>1.0231874090108415</v>
      </c>
      <c r="K144" s="813">
        <f t="shared" ca="1" si="21"/>
        <v>19.594704861111101</v>
      </c>
      <c r="L144" s="921">
        <f t="shared" si="26"/>
        <v>132</v>
      </c>
      <c r="M144" s="809">
        <f t="shared" ca="1" si="14"/>
        <v>1.0273446794171393</v>
      </c>
      <c r="N144" s="810">
        <f t="shared" si="22"/>
        <v>1.0049999999999999</v>
      </c>
      <c r="O144" s="813">
        <f t="shared" ca="1" si="23"/>
        <v>1.3038965761068158</v>
      </c>
      <c r="Q144" s="809">
        <f t="shared" ca="1" si="15"/>
        <v>1.0273446794171393</v>
      </c>
      <c r="R144" s="810">
        <f t="shared" si="24"/>
        <v>0</v>
      </c>
      <c r="S144" s="813">
        <f t="shared" ca="1" si="25"/>
        <v>1.1950050487933312</v>
      </c>
    </row>
    <row r="145" spans="1:19">
      <c r="A145" s="811">
        <f t="shared" si="16"/>
        <v>39234</v>
      </c>
      <c r="B145" s="1102">
        <f ca="1">'[2]Monthly Curve Calc.'!B148</f>
        <v>319.09627427011861</v>
      </c>
      <c r="C145" s="1103">
        <f ca="1">'[2]Monthly Curve Calc.'!C148</f>
        <v>209.81107399486888</v>
      </c>
      <c r="D145" s="1103">
        <f ca="1">'[2]Monthly Curve Calc.'!D148</f>
        <v>167.82106455173434</v>
      </c>
      <c r="E145" s="1103">
        <f ca="1">'[2]Monthly Curve Calc.'!E148</f>
        <v>19.72999999999999</v>
      </c>
      <c r="F145" s="1104">
        <f ca="1">'[2]Monthly Curve Calc.'!F148</f>
        <v>2.4301781275237988</v>
      </c>
      <c r="G145" s="812">
        <f t="shared" ca="1" si="17"/>
        <v>1.0749999999999997</v>
      </c>
      <c r="H145" s="810">
        <f t="shared" ca="1" si="18"/>
        <v>1.0273446794171393</v>
      </c>
      <c r="I145" s="810">
        <f t="shared" ca="1" si="19"/>
        <v>1.0248446794171393</v>
      </c>
      <c r="J145" s="810">
        <f t="shared" ca="1" si="20"/>
        <v>1.0231874090108415</v>
      </c>
      <c r="K145" s="813">
        <f t="shared" ca="1" si="21"/>
        <v>19.594704861111101</v>
      </c>
      <c r="L145" s="921">
        <f t="shared" si="26"/>
        <v>133</v>
      </c>
      <c r="M145" s="809">
        <f t="shared" ref="M145:M208" ca="1" si="27">HLOOKUP(M$14,Dec_Change,$L145)</f>
        <v>1.0273446794171393</v>
      </c>
      <c r="N145" s="810">
        <f t="shared" si="22"/>
        <v>1.0049999999999999</v>
      </c>
      <c r="O145" s="813">
        <f t="shared" ca="1" si="23"/>
        <v>1.3038965761068158</v>
      </c>
      <c r="Q145" s="809">
        <f t="shared" ref="Q145:Q208" ca="1" si="28">HLOOKUP(Q$14,Dec_Change,$L145)</f>
        <v>1.0273446794171393</v>
      </c>
      <c r="R145" s="810">
        <f t="shared" si="24"/>
        <v>0</v>
      </c>
      <c r="S145" s="813">
        <f t="shared" ca="1" si="25"/>
        <v>1.2276820787544478</v>
      </c>
    </row>
    <row r="146" spans="1:19">
      <c r="A146" s="811">
        <f t="shared" si="16"/>
        <v>39264</v>
      </c>
      <c r="B146" s="1102">
        <f ca="1">'[2]Monthly Curve Calc.'!B149</f>
        <v>321.02518540903463</v>
      </c>
      <c r="C146" s="1103">
        <f ca="1">'[2]Monthly Curve Calc.'!C149</f>
        <v>210.2760362961815</v>
      </c>
      <c r="D146" s="1103">
        <f ca="1">'[2]Monthly Curve Calc.'!D149</f>
        <v>168.12139118792973</v>
      </c>
      <c r="E146" s="1103">
        <f ca="1">'[2]Monthly Curve Calc.'!E149</f>
        <v>19.754999999999988</v>
      </c>
      <c r="F146" s="1104">
        <f ca="1">'[2]Monthly Curve Calc.'!F149</f>
        <v>2.4356136199963871</v>
      </c>
      <c r="G146" s="812">
        <f t="shared" ca="1" si="17"/>
        <v>1.0749999999999997</v>
      </c>
      <c r="H146" s="810">
        <f t="shared" ca="1" si="18"/>
        <v>1.0273446794171393</v>
      </c>
      <c r="I146" s="810">
        <f t="shared" ca="1" si="19"/>
        <v>1.0248446794171393</v>
      </c>
      <c r="J146" s="810">
        <f t="shared" ca="1" si="20"/>
        <v>1.0231874090108415</v>
      </c>
      <c r="K146" s="813">
        <f t="shared" ca="1" si="21"/>
        <v>19.594704861111101</v>
      </c>
      <c r="L146" s="921">
        <f t="shared" si="26"/>
        <v>134</v>
      </c>
      <c r="M146" s="809">
        <f t="shared" ca="1" si="27"/>
        <v>1.0273446794171393</v>
      </c>
      <c r="N146" s="810">
        <f t="shared" si="22"/>
        <v>1.0049999999999999</v>
      </c>
      <c r="O146" s="813">
        <f t="shared" ca="1" si="23"/>
        <v>1.3038965761068158</v>
      </c>
      <c r="Q146" s="809">
        <f t="shared" ca="1" si="28"/>
        <v>1.0273446794171393</v>
      </c>
      <c r="R146" s="810">
        <f t="shared" si="24"/>
        <v>0</v>
      </c>
      <c r="S146" s="813">
        <f t="shared" ca="1" si="25"/>
        <v>1.2276820787544478</v>
      </c>
    </row>
    <row r="147" spans="1:19">
      <c r="A147" s="811">
        <f t="shared" si="16"/>
        <v>39295</v>
      </c>
      <c r="B147" s="1102">
        <f ca="1">'[2]Monthly Curve Calc.'!B150</f>
        <v>322.96575665959051</v>
      </c>
      <c r="C147" s="1103">
        <f ca="1">'[2]Monthly Curve Calc.'!C150</f>
        <v>210.74202900040626</v>
      </c>
      <c r="D147" s="1103">
        <f ca="1">'[2]Monthly Curve Calc.'!D150</f>
        <v>168.42225527804158</v>
      </c>
      <c r="E147" s="1103">
        <f ca="1">'[2]Monthly Curve Calc.'!E150</f>
        <v>19.779999999999987</v>
      </c>
      <c r="F147" s="1104">
        <f ca="1">'[2]Monthly Curve Calc.'!F150</f>
        <v>2.4410612698405219</v>
      </c>
      <c r="G147" s="812">
        <f t="shared" ca="1" si="17"/>
        <v>1.0749999999999997</v>
      </c>
      <c r="H147" s="810">
        <f t="shared" ca="1" si="18"/>
        <v>1.0273446794171393</v>
      </c>
      <c r="I147" s="810">
        <f t="shared" ca="1" si="19"/>
        <v>1.0248446794171393</v>
      </c>
      <c r="J147" s="810">
        <f t="shared" ca="1" si="20"/>
        <v>1.0231874090108415</v>
      </c>
      <c r="K147" s="813">
        <f t="shared" ca="1" si="21"/>
        <v>19.594704861111101</v>
      </c>
      <c r="L147" s="921">
        <f t="shared" si="26"/>
        <v>135</v>
      </c>
      <c r="M147" s="809">
        <f t="shared" ca="1" si="27"/>
        <v>1.0273446794171393</v>
      </c>
      <c r="N147" s="810">
        <f t="shared" si="22"/>
        <v>1.0049999999999999</v>
      </c>
      <c r="O147" s="813">
        <f t="shared" ca="1" si="23"/>
        <v>1.3038965761068158</v>
      </c>
      <c r="Q147" s="809">
        <f t="shared" ca="1" si="28"/>
        <v>1.0273446794171393</v>
      </c>
      <c r="R147" s="810">
        <f t="shared" si="24"/>
        <v>0</v>
      </c>
      <c r="S147" s="813">
        <f t="shared" ca="1" si="25"/>
        <v>1.2276820787544478</v>
      </c>
    </row>
    <row r="148" spans="1:19">
      <c r="A148" s="811">
        <f t="shared" ref="A148:A211" si="29">EDATE(A147,1)</f>
        <v>39326</v>
      </c>
      <c r="B148" s="1102">
        <f ca="1">'[2]Monthly Curve Calc.'!B151</f>
        <v>324.91805850621682</v>
      </c>
      <c r="C148" s="1103">
        <f ca="1">'[2]Monthly Curve Calc.'!C151</f>
        <v>211.20905439101895</v>
      </c>
      <c r="D148" s="1103">
        <f ca="1">'[2]Monthly Curve Calc.'!D151</f>
        <v>168.72365778387839</v>
      </c>
      <c r="E148" s="1103">
        <f ca="1">'[2]Monthly Curve Calc.'!E151</f>
        <v>19.804999999999986</v>
      </c>
      <c r="F148" s="1104">
        <f ca="1">'[2]Monthly Curve Calc.'!F151</f>
        <v>2.4465211042481605</v>
      </c>
      <c r="G148" s="812">
        <f t="shared" ca="1" si="17"/>
        <v>1.0749999999999997</v>
      </c>
      <c r="H148" s="810">
        <f t="shared" ca="1" si="18"/>
        <v>1.0273446794171393</v>
      </c>
      <c r="I148" s="810">
        <f t="shared" ca="1" si="19"/>
        <v>1.0248446794171393</v>
      </c>
      <c r="J148" s="810">
        <f t="shared" ca="1" si="20"/>
        <v>1.0231874090108415</v>
      </c>
      <c r="K148" s="813">
        <f t="shared" ca="1" si="21"/>
        <v>19.594704861111101</v>
      </c>
      <c r="L148" s="921">
        <f t="shared" si="26"/>
        <v>136</v>
      </c>
      <c r="M148" s="809">
        <f t="shared" ca="1" si="27"/>
        <v>1.0273446794171393</v>
      </c>
      <c r="N148" s="810">
        <f t="shared" si="22"/>
        <v>1.0049999999999999</v>
      </c>
      <c r="O148" s="813">
        <f t="shared" ca="1" si="23"/>
        <v>1.3038965761068158</v>
      </c>
      <c r="Q148" s="809">
        <f t="shared" ca="1" si="28"/>
        <v>1.0273446794171393</v>
      </c>
      <c r="R148" s="810">
        <f t="shared" si="24"/>
        <v>0</v>
      </c>
      <c r="S148" s="813">
        <f t="shared" ca="1" si="25"/>
        <v>1.2276820787544478</v>
      </c>
    </row>
    <row r="149" spans="1:19">
      <c r="A149" s="811">
        <f t="shared" si="29"/>
        <v>39356</v>
      </c>
      <c r="B149" s="1102">
        <f ca="1">'[2]Monthly Curve Calc.'!B152</f>
        <v>326.88216185941701</v>
      </c>
      <c r="C149" s="1103">
        <f ca="1">'[2]Monthly Curve Calc.'!C152</f>
        <v>211.67711475655577</v>
      </c>
      <c r="D149" s="1103">
        <f ca="1">'[2]Monthly Curve Calc.'!D152</f>
        <v>169.0255996689699</v>
      </c>
      <c r="E149" s="1103">
        <f ca="1">'[2]Monthly Curve Calc.'!E152</f>
        <v>19.829999999999984</v>
      </c>
      <c r="F149" s="1104">
        <f ca="1">'[2]Monthly Curve Calc.'!F152</f>
        <v>2.4519931504720804</v>
      </c>
      <c r="G149" s="812">
        <f t="shared" ref="G149:G212" ca="1" si="30">IF(AND($A149&gt;G$16,MONTH($A149)=MONTH(G$16)),B148/B136,G148)</f>
        <v>1.0749999999999997</v>
      </c>
      <c r="H149" s="810">
        <f t="shared" ref="H149:H212" ca="1" si="31">IF(AND($A149&gt;H$16,MONTH($A149)=MONTH(H$16)),C148/C136,H148)</f>
        <v>1.0273446794171393</v>
      </c>
      <c r="I149" s="810">
        <f t="shared" ref="I149:I212" ca="1" si="32">IF(AND($A149&gt;I$16,MONTH($A149)=MONTH(I$16)),C148/C136-I$18,I148)</f>
        <v>1.0248446794171393</v>
      </c>
      <c r="J149" s="810">
        <f t="shared" ref="J149:J212" ca="1" si="33">IF(AND($A149&gt;J$16,MONTH($A149)=MONTH(J$16)),D148/D136,J148)</f>
        <v>1.0231874090108415</v>
      </c>
      <c r="K149" s="813">
        <f t="shared" ref="K149:K212" ca="1" si="34">IF($A149&gt;=K$16,IF(MONTH($A149)=MONTH(K$16),AVERAGE(E137:E148),K148),K148)</f>
        <v>19.594704861111101</v>
      </c>
      <c r="L149" s="921">
        <f t="shared" si="26"/>
        <v>137</v>
      </c>
      <c r="M149" s="809">
        <f t="shared" ca="1" si="27"/>
        <v>1.0273446794171393</v>
      </c>
      <c r="N149" s="810">
        <f t="shared" ref="N149:N212" si="35">N148</f>
        <v>1.0049999999999999</v>
      </c>
      <c r="O149" s="813">
        <f t="shared" ref="O149:O212" ca="1" si="36">IF(AND($A149&gt;=O$16,MONTH($A149)=MONTH(O$16)),MAX(M149,N149)*O148,O148)</f>
        <v>1.3038965761068158</v>
      </c>
      <c r="Q149" s="809">
        <f t="shared" ca="1" si="28"/>
        <v>1.0273446794171393</v>
      </c>
      <c r="R149" s="810">
        <f t="shared" ref="R149:R212" si="37">R148</f>
        <v>0</v>
      </c>
      <c r="S149" s="813">
        <f t="shared" ref="S149:S212" ca="1" si="38">IF(AND($A149&gt;=S$16,MONTH($A149)=MONTH(S$16)),MAX(Q149,R149)*S148,S148)</f>
        <v>1.2276820787544478</v>
      </c>
    </row>
    <row r="150" spans="1:19">
      <c r="A150" s="811">
        <f t="shared" si="29"/>
        <v>39387</v>
      </c>
      <c r="B150" s="1102">
        <f ca="1">'[2]Monthly Curve Calc.'!B153</f>
        <v>328.8581380583426</v>
      </c>
      <c r="C150" s="1103">
        <f ca="1">'[2]Monthly Curve Calc.'!C153</f>
        <v>212.14621239062456</v>
      </c>
      <c r="D150" s="1103">
        <f ca="1">'[2]Monthly Curve Calc.'!D153</f>
        <v>169.3280818985701</v>
      </c>
      <c r="E150" s="1103">
        <f ca="1">'[2]Monthly Curve Calc.'!E153</f>
        <v>19.854999999999983</v>
      </c>
      <c r="F150" s="1104">
        <f ca="1">'[2]Monthly Curve Calc.'!F153</f>
        <v>2.4574774358260143</v>
      </c>
      <c r="G150" s="812">
        <f t="shared" ca="1" si="30"/>
        <v>1.0749999999999997</v>
      </c>
      <c r="H150" s="810">
        <f t="shared" ca="1" si="31"/>
        <v>1.0273446794171393</v>
      </c>
      <c r="I150" s="810">
        <f t="shared" ca="1" si="32"/>
        <v>1.0248446794171393</v>
      </c>
      <c r="J150" s="810">
        <f t="shared" ca="1" si="33"/>
        <v>1.0231874090108415</v>
      </c>
      <c r="K150" s="813">
        <f t="shared" ca="1" si="34"/>
        <v>19.594704861111101</v>
      </c>
      <c r="L150" s="921">
        <f t="shared" si="26"/>
        <v>138</v>
      </c>
      <c r="M150" s="809">
        <f t="shared" ca="1" si="27"/>
        <v>1.0273446794171393</v>
      </c>
      <c r="N150" s="810">
        <f t="shared" si="35"/>
        <v>1.0049999999999999</v>
      </c>
      <c r="O150" s="813">
        <f t="shared" ca="1" si="36"/>
        <v>1.3038965761068158</v>
      </c>
      <c r="Q150" s="809">
        <f t="shared" ca="1" si="28"/>
        <v>1.0273446794171393</v>
      </c>
      <c r="R150" s="810">
        <f t="shared" si="37"/>
        <v>0</v>
      </c>
      <c r="S150" s="813">
        <f t="shared" ca="1" si="38"/>
        <v>1.2276820787544478</v>
      </c>
    </row>
    <row r="151" spans="1:19">
      <c r="A151" s="811">
        <f t="shared" si="29"/>
        <v>39417</v>
      </c>
      <c r="B151" s="1102">
        <f ca="1">'[2]Monthly Curve Calc.'!B154</f>
        <v>330.84605887338461</v>
      </c>
      <c r="C151" s="1103">
        <f ca="1">'[2]Monthly Curve Calc.'!C154</f>
        <v>212.61634959191602</v>
      </c>
      <c r="D151" s="1103">
        <f ca="1">'[2]Monthly Curve Calc.'!D154</f>
        <v>169.63110543966042</v>
      </c>
      <c r="E151" s="1103">
        <f ca="1">'[2]Monthly Curve Calc.'!E154</f>
        <v>19.88</v>
      </c>
      <c r="F151" s="1104">
        <f ca="1">'[2]Monthly Curve Calc.'!F154</f>
        <v>2.4629739876847867</v>
      </c>
      <c r="G151" s="812">
        <f t="shared" ca="1" si="30"/>
        <v>1.0749999999999997</v>
      </c>
      <c r="H151" s="810">
        <f t="shared" ca="1" si="31"/>
        <v>1.0273446794171393</v>
      </c>
      <c r="I151" s="810">
        <f t="shared" ca="1" si="32"/>
        <v>1.0248446794171393</v>
      </c>
      <c r="J151" s="810">
        <f t="shared" ca="1" si="33"/>
        <v>1.0231874090108415</v>
      </c>
      <c r="K151" s="813">
        <f t="shared" ca="1" si="34"/>
        <v>19.594704861111101</v>
      </c>
      <c r="L151" s="921">
        <f t="shared" si="26"/>
        <v>139</v>
      </c>
      <c r="M151" s="809">
        <f t="shared" ca="1" si="27"/>
        <v>1.0273446794171393</v>
      </c>
      <c r="N151" s="810">
        <f t="shared" si="35"/>
        <v>1.0049999999999999</v>
      </c>
      <c r="O151" s="813">
        <f t="shared" ca="1" si="36"/>
        <v>1.3038965761068158</v>
      </c>
      <c r="Q151" s="809">
        <f t="shared" ca="1" si="28"/>
        <v>1.0273446794171393</v>
      </c>
      <c r="R151" s="810">
        <f t="shared" si="37"/>
        <v>0</v>
      </c>
      <c r="S151" s="813">
        <f t="shared" ca="1" si="38"/>
        <v>1.2276820787544478</v>
      </c>
    </row>
    <row r="152" spans="1:19">
      <c r="A152" s="811">
        <f t="shared" si="29"/>
        <v>39448</v>
      </c>
      <c r="B152" s="1102">
        <f ca="1">'[2]Monthly Curve Calc.'!B155</f>
        <v>332.84599650878027</v>
      </c>
      <c r="C152" s="1103">
        <f ca="1">'[2]Monthly Curve Calc.'!C155</f>
        <v>213.07888091182747</v>
      </c>
      <c r="D152" s="1103">
        <f ca="1">'[2]Monthly Curve Calc.'!D155</f>
        <v>169.91762554703541</v>
      </c>
      <c r="E152" s="1103">
        <f ca="1">'[2]Monthly Curve Calc.'!E155</f>
        <v>19.932083333333331</v>
      </c>
      <c r="F152" s="1104">
        <f ca="1">'[2]Monthly Curve Calc.'!F155</f>
        <v>2.4681826378384035</v>
      </c>
      <c r="G152" s="812">
        <f t="shared" ca="1" si="30"/>
        <v>1.0749999999999997</v>
      </c>
      <c r="H152" s="810">
        <f t="shared" ca="1" si="31"/>
        <v>1.0273446794171393</v>
      </c>
      <c r="I152" s="810">
        <f t="shared" ca="1" si="32"/>
        <v>1.0248446794171393</v>
      </c>
      <c r="J152" s="810">
        <f t="shared" ca="1" si="33"/>
        <v>1.0216874088772545</v>
      </c>
      <c r="K152" s="813">
        <f t="shared" ca="1" si="34"/>
        <v>19.742499999999993</v>
      </c>
      <c r="L152" s="921">
        <f t="shared" si="26"/>
        <v>140</v>
      </c>
      <c r="M152" s="809">
        <f t="shared" ca="1" si="27"/>
        <v>1.0273446794171393</v>
      </c>
      <c r="N152" s="810">
        <f t="shared" si="35"/>
        <v>1.0049999999999999</v>
      </c>
      <c r="O152" s="813">
        <f t="shared" ca="1" si="36"/>
        <v>1.3038965761068158</v>
      </c>
      <c r="Q152" s="809">
        <f t="shared" ca="1" si="28"/>
        <v>1.0273446794171393</v>
      </c>
      <c r="R152" s="810">
        <f t="shared" si="37"/>
        <v>0</v>
      </c>
      <c r="S152" s="813">
        <f t="shared" ca="1" si="38"/>
        <v>1.2276820787544478</v>
      </c>
    </row>
    <row r="153" spans="1:19">
      <c r="A153" s="811">
        <f t="shared" si="29"/>
        <v>39479</v>
      </c>
      <c r="B153" s="1102">
        <f ca="1">'[2]Monthly Curve Calc.'!B156</f>
        <v>334.85802360523553</v>
      </c>
      <c r="C153" s="1103">
        <f ca="1">'[2]Monthly Curve Calc.'!C156</f>
        <v>213.54241843480051</v>
      </c>
      <c r="D153" s="1103">
        <f ca="1">'[2]Monthly Curve Calc.'!D156</f>
        <v>170.2046296091174</v>
      </c>
      <c r="E153" s="1103">
        <f ca="1">'[2]Monthly Curve Calc.'!E156</f>
        <v>19.984166666666663</v>
      </c>
      <c r="F153" s="1104">
        <f ca="1">'[2]Monthly Curve Calc.'!F156</f>
        <v>2.4734023031454724</v>
      </c>
      <c r="G153" s="812">
        <f t="shared" ca="1" si="30"/>
        <v>1.0749999999999997</v>
      </c>
      <c r="H153" s="810">
        <f t="shared" ca="1" si="31"/>
        <v>1.0273446794171393</v>
      </c>
      <c r="I153" s="810">
        <f t="shared" ca="1" si="32"/>
        <v>1.0248446794171393</v>
      </c>
      <c r="J153" s="810">
        <f t="shared" ca="1" si="33"/>
        <v>1.0216874088772545</v>
      </c>
      <c r="K153" s="813">
        <f t="shared" ca="1" si="34"/>
        <v>19.742499999999993</v>
      </c>
      <c r="L153" s="921">
        <f t="shared" si="26"/>
        <v>141</v>
      </c>
      <c r="M153" s="809">
        <f t="shared" ca="1" si="27"/>
        <v>1.0273446794171393</v>
      </c>
      <c r="N153" s="810">
        <f t="shared" si="35"/>
        <v>1.0049999999999999</v>
      </c>
      <c r="O153" s="813">
        <f t="shared" ca="1" si="36"/>
        <v>1.3038965761068158</v>
      </c>
      <c r="Q153" s="809">
        <f t="shared" ca="1" si="28"/>
        <v>1.0273446794171393</v>
      </c>
      <c r="R153" s="810">
        <f t="shared" si="37"/>
        <v>0</v>
      </c>
      <c r="S153" s="813">
        <f t="shared" ca="1" si="38"/>
        <v>1.2276820787544478</v>
      </c>
    </row>
    <row r="154" spans="1:19">
      <c r="A154" s="811">
        <f t="shared" si="29"/>
        <v>39508</v>
      </c>
      <c r="B154" s="1102">
        <f ca="1">'[2]Monthly Curve Calc.'!B157</f>
        <v>336.88221324256352</v>
      </c>
      <c r="C154" s="1103">
        <f ca="1">'[2]Monthly Curve Calc.'!C157</f>
        <v>214.00696434975629</v>
      </c>
      <c r="D154" s="1103">
        <f ca="1">'[2]Monthly Curve Calc.'!D157</f>
        <v>170.49211844334346</v>
      </c>
      <c r="E154" s="1103">
        <f ca="1">'[2]Monthly Curve Calc.'!E157</f>
        <v>20.036249999999995</v>
      </c>
      <c r="F154" s="1104">
        <f ca="1">'[2]Monthly Curve Calc.'!F157</f>
        <v>2.4786330069006288</v>
      </c>
      <c r="G154" s="812">
        <f t="shared" ca="1" si="30"/>
        <v>1.0749999999999997</v>
      </c>
      <c r="H154" s="810">
        <f t="shared" ca="1" si="31"/>
        <v>1.0273446794171393</v>
      </c>
      <c r="I154" s="810">
        <f t="shared" ca="1" si="32"/>
        <v>1.0248446794171393</v>
      </c>
      <c r="J154" s="810">
        <f t="shared" ca="1" si="33"/>
        <v>1.0216874088772545</v>
      </c>
      <c r="K154" s="813">
        <f t="shared" ca="1" si="34"/>
        <v>19.742499999999993</v>
      </c>
      <c r="L154" s="921">
        <f t="shared" si="26"/>
        <v>142</v>
      </c>
      <c r="M154" s="809">
        <f t="shared" ca="1" si="27"/>
        <v>1.0273446794171393</v>
      </c>
      <c r="N154" s="810">
        <f t="shared" si="35"/>
        <v>1.0049999999999999</v>
      </c>
      <c r="O154" s="813">
        <f t="shared" ca="1" si="36"/>
        <v>1.3038965761068158</v>
      </c>
      <c r="Q154" s="809">
        <f t="shared" ca="1" si="28"/>
        <v>1.0273446794171393</v>
      </c>
      <c r="R154" s="810">
        <f t="shared" si="37"/>
        <v>0</v>
      </c>
      <c r="S154" s="813">
        <f t="shared" ca="1" si="38"/>
        <v>1.2276820787544478</v>
      </c>
    </row>
    <row r="155" spans="1:19">
      <c r="A155" s="811">
        <f t="shared" si="29"/>
        <v>39539</v>
      </c>
      <c r="B155" s="1102">
        <f ca="1">'[2]Monthly Curve Calc.'!B158</f>
        <v>338.91863894233899</v>
      </c>
      <c r="C155" s="1103">
        <f ca="1">'[2]Monthly Curve Calc.'!C158</f>
        <v>214.47252085037783</v>
      </c>
      <c r="D155" s="1103">
        <f ca="1">'[2]Monthly Curve Calc.'!D158</f>
        <v>170.78009286853137</v>
      </c>
      <c r="E155" s="1103">
        <f ca="1">'[2]Monthly Curve Calc.'!E158</f>
        <v>20.088333333333328</v>
      </c>
      <c r="F155" s="1104">
        <f ca="1">'[2]Monthly Curve Calc.'!F158</f>
        <v>2.4838747724477708</v>
      </c>
      <c r="G155" s="812">
        <f t="shared" ca="1" si="30"/>
        <v>1.0749999999999997</v>
      </c>
      <c r="H155" s="810">
        <f t="shared" ca="1" si="31"/>
        <v>1.0273446794171393</v>
      </c>
      <c r="I155" s="810">
        <f t="shared" ca="1" si="32"/>
        <v>1.0248446794171393</v>
      </c>
      <c r="J155" s="810">
        <f t="shared" ca="1" si="33"/>
        <v>1.0216874088772545</v>
      </c>
      <c r="K155" s="813">
        <f t="shared" ca="1" si="34"/>
        <v>19.742499999999993</v>
      </c>
      <c r="L155" s="921">
        <f t="shared" si="26"/>
        <v>143</v>
      </c>
      <c r="M155" s="809">
        <f t="shared" ca="1" si="27"/>
        <v>1.0273446794171393</v>
      </c>
      <c r="N155" s="810">
        <f t="shared" si="35"/>
        <v>1.0049999999999999</v>
      </c>
      <c r="O155" s="813">
        <f t="shared" ca="1" si="36"/>
        <v>1.3038965761068158</v>
      </c>
      <c r="Q155" s="809">
        <f t="shared" ca="1" si="28"/>
        <v>1.0273446794171393</v>
      </c>
      <c r="R155" s="810">
        <f t="shared" si="37"/>
        <v>0</v>
      </c>
      <c r="S155" s="813">
        <f t="shared" ca="1" si="38"/>
        <v>1.2276820787544478</v>
      </c>
    </row>
    <row r="156" spans="1:19">
      <c r="A156" s="811">
        <f t="shared" si="29"/>
        <v>39569</v>
      </c>
      <c r="B156" s="1102">
        <f ca="1">'[2]Monthly Curve Calc.'!B159</f>
        <v>340.96737467056857</v>
      </c>
      <c r="C156" s="1103">
        <f ca="1">'[2]Monthly Curve Calc.'!C159</f>
        <v>214.93909013512035</v>
      </c>
      <c r="D156" s="1103">
        <f ca="1">'[2]Monthly Curve Calc.'!D159</f>
        <v>171.06855370488196</v>
      </c>
      <c r="E156" s="1103">
        <f ca="1">'[2]Monthly Curve Calc.'!E159</f>
        <v>20.14041666666666</v>
      </c>
      <c r="F156" s="1104">
        <f ca="1">'[2]Monthly Curve Calc.'!F159</f>
        <v>2.4891276231801638</v>
      </c>
      <c r="G156" s="812">
        <f t="shared" ca="1" si="30"/>
        <v>1.075</v>
      </c>
      <c r="H156" s="810">
        <f t="shared" ca="1" si="31"/>
        <v>1.0267530455417444</v>
      </c>
      <c r="I156" s="810">
        <f t="shared" ca="1" si="32"/>
        <v>1.0242530455417445</v>
      </c>
      <c r="J156" s="810">
        <f t="shared" ca="1" si="33"/>
        <v>1.0216874088772545</v>
      </c>
      <c r="K156" s="813">
        <f t="shared" ca="1" si="34"/>
        <v>19.742499999999993</v>
      </c>
      <c r="L156" s="921">
        <f t="shared" si="26"/>
        <v>144</v>
      </c>
      <c r="M156" s="809">
        <f t="shared" ca="1" si="27"/>
        <v>1.0267530455417444</v>
      </c>
      <c r="N156" s="810">
        <f t="shared" si="35"/>
        <v>1.0049999999999999</v>
      </c>
      <c r="O156" s="813">
        <f t="shared" ca="1" si="36"/>
        <v>1.3387797805891259</v>
      </c>
      <c r="Q156" s="809">
        <f t="shared" ca="1" si="28"/>
        <v>1.0267530455417444</v>
      </c>
      <c r="R156" s="810">
        <f t="shared" si="37"/>
        <v>0</v>
      </c>
      <c r="S156" s="813">
        <f t="shared" ca="1" si="38"/>
        <v>1.2276820787544478</v>
      </c>
    </row>
    <row r="157" spans="1:19">
      <c r="A157" s="811">
        <f t="shared" si="29"/>
        <v>39600</v>
      </c>
      <c r="B157" s="1102">
        <f ca="1">'[2]Monthly Curve Calc.'!B160</f>
        <v>343.0284948403775</v>
      </c>
      <c r="C157" s="1103">
        <f ca="1">'[2]Monthly Curve Calc.'!C160</f>
        <v>215.40667440722163</v>
      </c>
      <c r="D157" s="1103">
        <f ca="1">'[2]Monthly Curve Calc.'!D160</f>
        <v>171.35750177398148</v>
      </c>
      <c r="E157" s="1103">
        <f ca="1">'[2]Monthly Curve Calc.'!E160</f>
        <v>20.192499999999992</v>
      </c>
      <c r="F157" s="1104">
        <f ca="1">'[2]Monthly Curve Calc.'!F160</f>
        <v>2.4943915825405454</v>
      </c>
      <c r="G157" s="812">
        <f t="shared" ca="1" si="30"/>
        <v>1.075</v>
      </c>
      <c r="H157" s="810">
        <f t="shared" ca="1" si="31"/>
        <v>1.0267530455417444</v>
      </c>
      <c r="I157" s="810">
        <f t="shared" ca="1" si="32"/>
        <v>1.0242530455417445</v>
      </c>
      <c r="J157" s="810">
        <f t="shared" ca="1" si="33"/>
        <v>1.0216874088772545</v>
      </c>
      <c r="K157" s="813">
        <f t="shared" ca="1" si="34"/>
        <v>19.742499999999993</v>
      </c>
      <c r="L157" s="921">
        <f t="shared" si="26"/>
        <v>145</v>
      </c>
      <c r="M157" s="809">
        <f t="shared" ca="1" si="27"/>
        <v>1.0267530455417444</v>
      </c>
      <c r="N157" s="810">
        <f t="shared" si="35"/>
        <v>1.0049999999999999</v>
      </c>
      <c r="O157" s="813">
        <f t="shared" ca="1" si="36"/>
        <v>1.3387797805891259</v>
      </c>
      <c r="Q157" s="809">
        <f t="shared" ca="1" si="28"/>
        <v>1.0267530455417444</v>
      </c>
      <c r="R157" s="810">
        <f t="shared" si="37"/>
        <v>0</v>
      </c>
      <c r="S157" s="813">
        <f t="shared" ca="1" si="38"/>
        <v>1.260526313318149</v>
      </c>
    </row>
    <row r="158" spans="1:19">
      <c r="A158" s="811">
        <f t="shared" si="29"/>
        <v>39630</v>
      </c>
      <c r="B158" s="1102">
        <f ca="1">'[2]Monthly Curve Calc.'!B161</f>
        <v>345.10207431471224</v>
      </c>
      <c r="C158" s="1103">
        <f ca="1">'[2]Monthly Curve Calc.'!C161</f>
        <v>215.87527587471243</v>
      </c>
      <c r="D158" s="1103">
        <f ca="1">'[2]Monthly Curve Calc.'!D161</f>
        <v>171.64693789880386</v>
      </c>
      <c r="E158" s="1103">
        <f ca="1">'[2]Monthly Curve Calc.'!E161</f>
        <v>20.244583333333324</v>
      </c>
      <c r="F158" s="1104">
        <f ca="1">'[2]Monthly Curve Calc.'!F161</f>
        <v>2.4996666740212286</v>
      </c>
      <c r="G158" s="812">
        <f t="shared" ca="1" si="30"/>
        <v>1.075</v>
      </c>
      <c r="H158" s="810">
        <f t="shared" ca="1" si="31"/>
        <v>1.0267530455417444</v>
      </c>
      <c r="I158" s="810">
        <f t="shared" ca="1" si="32"/>
        <v>1.0242530455417445</v>
      </c>
      <c r="J158" s="810">
        <f t="shared" ca="1" si="33"/>
        <v>1.0216874088772545</v>
      </c>
      <c r="K158" s="813">
        <f t="shared" ca="1" si="34"/>
        <v>19.742499999999993</v>
      </c>
      <c r="L158" s="921">
        <f t="shared" si="26"/>
        <v>146</v>
      </c>
      <c r="M158" s="809">
        <f t="shared" ca="1" si="27"/>
        <v>1.0267530455417444</v>
      </c>
      <c r="N158" s="810">
        <f t="shared" si="35"/>
        <v>1.0049999999999999</v>
      </c>
      <c r="O158" s="813">
        <f t="shared" ca="1" si="36"/>
        <v>1.3387797805891259</v>
      </c>
      <c r="Q158" s="809">
        <f t="shared" ca="1" si="28"/>
        <v>1.0267530455417444</v>
      </c>
      <c r="R158" s="810">
        <f t="shared" si="37"/>
        <v>0</v>
      </c>
      <c r="S158" s="813">
        <f t="shared" ca="1" si="38"/>
        <v>1.260526313318149</v>
      </c>
    </row>
    <row r="159" spans="1:19">
      <c r="A159" s="811">
        <f t="shared" si="29"/>
        <v>39661</v>
      </c>
      <c r="B159" s="1102">
        <f ca="1">'[2]Monthly Curve Calc.'!B162</f>
        <v>347.18818840905976</v>
      </c>
      <c r="C159" s="1103">
        <f ca="1">'[2]Monthly Curve Calc.'!C162</f>
        <v>216.34489675042695</v>
      </c>
      <c r="D159" s="1103">
        <f ca="1">'[2]Monthly Curve Calc.'!D162</f>
        <v>171.93686290371309</v>
      </c>
      <c r="E159" s="1103">
        <f ca="1">'[2]Monthly Curve Calc.'!E162</f>
        <v>20.296666666666656</v>
      </c>
      <c r="F159" s="1104">
        <f ca="1">'[2]Monthly Curve Calc.'!F162</f>
        <v>2.5049529211642083</v>
      </c>
      <c r="G159" s="812">
        <f t="shared" ca="1" si="30"/>
        <v>1.075</v>
      </c>
      <c r="H159" s="810">
        <f t="shared" ca="1" si="31"/>
        <v>1.0267530455417444</v>
      </c>
      <c r="I159" s="810">
        <f t="shared" ca="1" si="32"/>
        <v>1.0242530455417445</v>
      </c>
      <c r="J159" s="810">
        <f t="shared" ca="1" si="33"/>
        <v>1.0216874088772545</v>
      </c>
      <c r="K159" s="813">
        <f t="shared" ca="1" si="34"/>
        <v>19.742499999999993</v>
      </c>
      <c r="L159" s="921">
        <f t="shared" si="26"/>
        <v>147</v>
      </c>
      <c r="M159" s="809">
        <f t="shared" ca="1" si="27"/>
        <v>1.0267530455417444</v>
      </c>
      <c r="N159" s="810">
        <f t="shared" si="35"/>
        <v>1.0049999999999999</v>
      </c>
      <c r="O159" s="813">
        <f t="shared" ca="1" si="36"/>
        <v>1.3387797805891259</v>
      </c>
      <c r="Q159" s="809">
        <f t="shared" ca="1" si="28"/>
        <v>1.0267530455417444</v>
      </c>
      <c r="R159" s="810">
        <f t="shared" si="37"/>
        <v>0</v>
      </c>
      <c r="S159" s="813">
        <f t="shared" ca="1" si="38"/>
        <v>1.260526313318149</v>
      </c>
    </row>
    <row r="160" spans="1:19">
      <c r="A160" s="811">
        <f t="shared" si="29"/>
        <v>39692</v>
      </c>
      <c r="B160" s="1102">
        <f ca="1">'[2]Monthly Curve Calc.'!B163</f>
        <v>349.28691289418305</v>
      </c>
      <c r="C160" s="1103">
        <f ca="1">'[2]Monthly Curve Calc.'!C163</f>
        <v>216.81553925201325</v>
      </c>
      <c r="D160" s="1103">
        <f ca="1">'[2]Monthly Curve Calc.'!D163</f>
        <v>172.22727761446561</v>
      </c>
      <c r="E160" s="1103">
        <f ca="1">'[2]Monthly Curve Calc.'!E163</f>
        <v>20.348749999999988</v>
      </c>
      <c r="F160" s="1104">
        <f ca="1">'[2]Monthly Curve Calc.'!F163</f>
        <v>2.5102503475612647</v>
      </c>
      <c r="G160" s="812">
        <f t="shared" ca="1" si="30"/>
        <v>1.075</v>
      </c>
      <c r="H160" s="810">
        <f t="shared" ca="1" si="31"/>
        <v>1.0267530455417444</v>
      </c>
      <c r="I160" s="810">
        <f t="shared" ca="1" si="32"/>
        <v>1.0242530455417445</v>
      </c>
      <c r="J160" s="810">
        <f t="shared" ca="1" si="33"/>
        <v>1.0216874088772545</v>
      </c>
      <c r="K160" s="813">
        <f t="shared" ca="1" si="34"/>
        <v>19.742499999999993</v>
      </c>
      <c r="L160" s="921">
        <f t="shared" si="26"/>
        <v>148</v>
      </c>
      <c r="M160" s="809">
        <f t="shared" ca="1" si="27"/>
        <v>1.0267530455417444</v>
      </c>
      <c r="N160" s="810">
        <f t="shared" si="35"/>
        <v>1.0049999999999999</v>
      </c>
      <c r="O160" s="813">
        <f t="shared" ca="1" si="36"/>
        <v>1.3387797805891259</v>
      </c>
      <c r="Q160" s="809">
        <f t="shared" ca="1" si="28"/>
        <v>1.0267530455417444</v>
      </c>
      <c r="R160" s="810">
        <f t="shared" si="37"/>
        <v>0</v>
      </c>
      <c r="S160" s="813">
        <f t="shared" ca="1" si="38"/>
        <v>1.260526313318149</v>
      </c>
    </row>
    <row r="161" spans="1:19">
      <c r="A161" s="811">
        <f t="shared" si="29"/>
        <v>39722</v>
      </c>
      <c r="B161" s="1102">
        <f ca="1">'[2]Monthly Curve Calc.'!B164</f>
        <v>351.3983239988732</v>
      </c>
      <c r="C161" s="1103">
        <f ca="1">'[2]Monthly Curve Calc.'!C164</f>
        <v>217.28720560194367</v>
      </c>
      <c r="D161" s="1103">
        <f ca="1">'[2]Monthly Curve Calc.'!D164</f>
        <v>172.51818285821261</v>
      </c>
      <c r="E161" s="1103">
        <f ca="1">'[2]Monthly Curve Calc.'!E164</f>
        <v>20.40083333333332</v>
      </c>
      <c r="F161" s="1104">
        <f ca="1">'[2]Monthly Curve Calc.'!F164</f>
        <v>2.5155589768540705</v>
      </c>
      <c r="G161" s="812">
        <f t="shared" ca="1" si="30"/>
        <v>1.075</v>
      </c>
      <c r="H161" s="810">
        <f t="shared" ca="1" si="31"/>
        <v>1.0267530455417444</v>
      </c>
      <c r="I161" s="810">
        <f t="shared" ca="1" si="32"/>
        <v>1.0242530455417445</v>
      </c>
      <c r="J161" s="810">
        <f t="shared" ca="1" si="33"/>
        <v>1.0216874088772545</v>
      </c>
      <c r="K161" s="813">
        <f t="shared" ca="1" si="34"/>
        <v>19.742499999999993</v>
      </c>
      <c r="L161" s="921">
        <f t="shared" si="26"/>
        <v>149</v>
      </c>
      <c r="M161" s="809">
        <f t="shared" ca="1" si="27"/>
        <v>1.0267530455417444</v>
      </c>
      <c r="N161" s="810">
        <f t="shared" si="35"/>
        <v>1.0049999999999999</v>
      </c>
      <c r="O161" s="813">
        <f t="shared" ca="1" si="36"/>
        <v>1.3387797805891259</v>
      </c>
      <c r="Q161" s="809">
        <f t="shared" ca="1" si="28"/>
        <v>1.0267530455417444</v>
      </c>
      <c r="R161" s="810">
        <f t="shared" si="37"/>
        <v>0</v>
      </c>
      <c r="S161" s="813">
        <f t="shared" ca="1" si="38"/>
        <v>1.260526313318149</v>
      </c>
    </row>
    <row r="162" spans="1:19">
      <c r="A162" s="811">
        <f t="shared" si="29"/>
        <v>39753</v>
      </c>
      <c r="B162" s="1102">
        <f ca="1">'[2]Monthly Curve Calc.'!B165</f>
        <v>353.52249841271822</v>
      </c>
      <c r="C162" s="1103">
        <f ca="1">'[2]Monthly Curve Calc.'!C165</f>
        <v>217.75989802752542</v>
      </c>
      <c r="D162" s="1103">
        <f ca="1">'[2]Monthly Curve Calc.'!D165</f>
        <v>172.80957946350242</v>
      </c>
      <c r="E162" s="1103">
        <f ca="1">'[2]Monthly Curve Calc.'!E165</f>
        <v>20.452916666666653</v>
      </c>
      <c r="F162" s="1104">
        <f ca="1">'[2]Monthly Curve Calc.'!F165</f>
        <v>2.5208788327342946</v>
      </c>
      <c r="G162" s="812">
        <f t="shared" ca="1" si="30"/>
        <v>1.075</v>
      </c>
      <c r="H162" s="810">
        <f t="shared" ca="1" si="31"/>
        <v>1.0267530455417444</v>
      </c>
      <c r="I162" s="810">
        <f t="shared" ca="1" si="32"/>
        <v>1.0242530455417445</v>
      </c>
      <c r="J162" s="810">
        <f t="shared" ca="1" si="33"/>
        <v>1.0216874088772545</v>
      </c>
      <c r="K162" s="813">
        <f t="shared" ca="1" si="34"/>
        <v>19.742499999999993</v>
      </c>
      <c r="L162" s="921">
        <f t="shared" si="26"/>
        <v>150</v>
      </c>
      <c r="M162" s="809">
        <f t="shared" ca="1" si="27"/>
        <v>1.0267530455417444</v>
      </c>
      <c r="N162" s="810">
        <f t="shared" si="35"/>
        <v>1.0049999999999999</v>
      </c>
      <c r="O162" s="813">
        <f t="shared" ca="1" si="36"/>
        <v>1.3387797805891259</v>
      </c>
      <c r="Q162" s="809">
        <f t="shared" ca="1" si="28"/>
        <v>1.0267530455417444</v>
      </c>
      <c r="R162" s="810">
        <f t="shared" si="37"/>
        <v>0</v>
      </c>
      <c r="S162" s="813">
        <f t="shared" ca="1" si="38"/>
        <v>1.260526313318149</v>
      </c>
    </row>
    <row r="163" spans="1:19">
      <c r="A163" s="811">
        <f t="shared" si="29"/>
        <v>39783</v>
      </c>
      <c r="B163" s="1102">
        <f ca="1">'[2]Monthly Curve Calc.'!B166</f>
        <v>355.65951328888838</v>
      </c>
      <c r="C163" s="1103">
        <f ca="1">'[2]Monthly Curve Calc.'!C166</f>
        <v>218.23361876091104</v>
      </c>
      <c r="D163" s="1103">
        <f ca="1">'[2]Monthly Curve Calc.'!D166</f>
        <v>173.10146826028279</v>
      </c>
      <c r="E163" s="1103">
        <f ca="1">'[2]Monthly Curve Calc.'!E166</f>
        <v>20.504999999999999</v>
      </c>
      <c r="F163" s="1104">
        <f ca="1">'[2]Monthly Curve Calc.'!F166</f>
        <v>2.5262099389437069</v>
      </c>
      <c r="G163" s="812">
        <f t="shared" ca="1" si="30"/>
        <v>1.075</v>
      </c>
      <c r="H163" s="810">
        <f t="shared" ca="1" si="31"/>
        <v>1.0267530455417444</v>
      </c>
      <c r="I163" s="810">
        <f t="shared" ca="1" si="32"/>
        <v>1.0242530455417445</v>
      </c>
      <c r="J163" s="810">
        <f t="shared" ca="1" si="33"/>
        <v>1.0216874088772545</v>
      </c>
      <c r="K163" s="813">
        <f t="shared" ca="1" si="34"/>
        <v>19.742499999999993</v>
      </c>
      <c r="L163" s="921">
        <f t="shared" si="26"/>
        <v>151</v>
      </c>
      <c r="M163" s="809">
        <f t="shared" ca="1" si="27"/>
        <v>1.0267530455417444</v>
      </c>
      <c r="N163" s="810">
        <f t="shared" si="35"/>
        <v>1.0049999999999999</v>
      </c>
      <c r="O163" s="813">
        <f t="shared" ca="1" si="36"/>
        <v>1.3387797805891259</v>
      </c>
      <c r="Q163" s="809">
        <f t="shared" ca="1" si="28"/>
        <v>1.0267530455417444</v>
      </c>
      <c r="R163" s="810">
        <f t="shared" si="37"/>
        <v>0</v>
      </c>
      <c r="S163" s="813">
        <f t="shared" ca="1" si="38"/>
        <v>1.260526313318149</v>
      </c>
    </row>
    <row r="164" spans="1:19">
      <c r="A164" s="811">
        <f t="shared" si="29"/>
        <v>39814</v>
      </c>
      <c r="B164" s="1102">
        <f ca="1">'[2]Monthly Curve Calc.'!B167</f>
        <v>357.72612812434687</v>
      </c>
      <c r="C164" s="1103">
        <f ca="1">'[2]Monthly Curve Calc.'!C167</f>
        <v>218.70045212737875</v>
      </c>
      <c r="D164" s="1103">
        <f ca="1">'[2]Monthly Curve Calc.'!D167</f>
        <v>173.38121940356976</v>
      </c>
      <c r="E164" s="1103">
        <f ca="1">'[2]Monthly Curve Calc.'!E167</f>
        <v>20.555</v>
      </c>
      <c r="F164" s="1104">
        <f ca="1">'[2]Monthly Curve Calc.'!F167</f>
        <v>2.5314135178011798</v>
      </c>
      <c r="G164" s="812">
        <f t="shared" ca="1" si="30"/>
        <v>1.075</v>
      </c>
      <c r="H164" s="810">
        <f t="shared" ca="1" si="31"/>
        <v>1.0267530455417444</v>
      </c>
      <c r="I164" s="810">
        <f t="shared" ca="1" si="32"/>
        <v>1.0242530455417445</v>
      </c>
      <c r="J164" s="810">
        <f t="shared" ca="1" si="33"/>
        <v>1.0204582927855577</v>
      </c>
      <c r="K164" s="813">
        <f t="shared" ca="1" si="34"/>
        <v>20.218541666666656</v>
      </c>
      <c r="L164" s="921">
        <f t="shared" si="26"/>
        <v>152</v>
      </c>
      <c r="M164" s="809">
        <f t="shared" ca="1" si="27"/>
        <v>1.0267530455417444</v>
      </c>
      <c r="N164" s="810">
        <f t="shared" si="35"/>
        <v>1.0049999999999999</v>
      </c>
      <c r="O164" s="813">
        <f t="shared" ca="1" si="36"/>
        <v>1.3387797805891259</v>
      </c>
      <c r="Q164" s="809">
        <f t="shared" ca="1" si="28"/>
        <v>1.0267530455417444</v>
      </c>
      <c r="R164" s="810">
        <f t="shared" si="37"/>
        <v>0</v>
      </c>
      <c r="S164" s="813">
        <f t="shared" ca="1" si="38"/>
        <v>1.260526313318149</v>
      </c>
    </row>
    <row r="165" spans="1:19">
      <c r="A165" s="811">
        <f t="shared" si="29"/>
        <v>39845</v>
      </c>
      <c r="B165" s="1102">
        <f ca="1">'[2]Monthly Curve Calc.'!B168</f>
        <v>359.80475134624959</v>
      </c>
      <c r="C165" s="1103">
        <f ca="1">'[2]Monthly Curve Calc.'!C168</f>
        <v>219.16828411813398</v>
      </c>
      <c r="D165" s="1103">
        <f ca="1">'[2]Monthly Curve Calc.'!D168</f>
        <v>173.66142265568607</v>
      </c>
      <c r="E165" s="1103">
        <f ca="1">'[2]Monthly Curve Calc.'!E168</f>
        <v>20.605</v>
      </c>
      <c r="F165" s="1104">
        <f ca="1">'[2]Monthly Curve Calc.'!F168</f>
        <v>2.5366278151791164</v>
      </c>
      <c r="G165" s="812">
        <f t="shared" ca="1" si="30"/>
        <v>1.075</v>
      </c>
      <c r="H165" s="810">
        <f t="shared" ca="1" si="31"/>
        <v>1.0267530455417444</v>
      </c>
      <c r="I165" s="810">
        <f t="shared" ca="1" si="32"/>
        <v>1.0242530455417445</v>
      </c>
      <c r="J165" s="810">
        <f t="shared" ca="1" si="33"/>
        <v>1.0204582927855577</v>
      </c>
      <c r="K165" s="813">
        <f t="shared" ca="1" si="34"/>
        <v>20.218541666666656</v>
      </c>
      <c r="L165" s="921">
        <f t="shared" si="26"/>
        <v>153</v>
      </c>
      <c r="M165" s="809">
        <f t="shared" ca="1" si="27"/>
        <v>1.0267530455417444</v>
      </c>
      <c r="N165" s="810">
        <f t="shared" si="35"/>
        <v>1.0049999999999999</v>
      </c>
      <c r="O165" s="813">
        <f t="shared" ca="1" si="36"/>
        <v>1.3387797805891259</v>
      </c>
      <c r="Q165" s="809">
        <f t="shared" ca="1" si="28"/>
        <v>1.0267530455417444</v>
      </c>
      <c r="R165" s="810">
        <f t="shared" si="37"/>
        <v>0</v>
      </c>
      <c r="S165" s="813">
        <f t="shared" ca="1" si="38"/>
        <v>1.260526313318149</v>
      </c>
    </row>
    <row r="166" spans="1:19">
      <c r="A166" s="811">
        <f t="shared" si="29"/>
        <v>39873</v>
      </c>
      <c r="B166" s="1102">
        <f ca="1">'[2]Monthly Curve Calc.'!B169</f>
        <v>361.89545273119086</v>
      </c>
      <c r="C166" s="1103">
        <f ca="1">'[2]Monthly Curve Calc.'!C169</f>
        <v>219.63711686937893</v>
      </c>
      <c r="D166" s="1103">
        <f ca="1">'[2]Monthly Curve Calc.'!D169</f>
        <v>173.94207874728966</v>
      </c>
      <c r="E166" s="1103">
        <f ca="1">'[2]Monthly Curve Calc.'!E169</f>
        <v>20.655000000000001</v>
      </c>
      <c r="F166" s="1104">
        <f ca="1">'[2]Monthly Curve Calc.'!F169</f>
        <v>2.5418528531559139</v>
      </c>
      <c r="G166" s="812">
        <f t="shared" ca="1" si="30"/>
        <v>1.075</v>
      </c>
      <c r="H166" s="810">
        <f t="shared" ca="1" si="31"/>
        <v>1.0267530455417444</v>
      </c>
      <c r="I166" s="810">
        <f t="shared" ca="1" si="32"/>
        <v>1.0242530455417445</v>
      </c>
      <c r="J166" s="810">
        <f t="shared" ca="1" si="33"/>
        <v>1.0204582927855577</v>
      </c>
      <c r="K166" s="813">
        <f t="shared" ca="1" si="34"/>
        <v>20.218541666666656</v>
      </c>
      <c r="L166" s="921">
        <f t="shared" si="26"/>
        <v>154</v>
      </c>
      <c r="M166" s="809">
        <f t="shared" ca="1" si="27"/>
        <v>1.0267530455417444</v>
      </c>
      <c r="N166" s="810">
        <f t="shared" si="35"/>
        <v>1.0049999999999999</v>
      </c>
      <c r="O166" s="813">
        <f t="shared" ca="1" si="36"/>
        <v>1.3387797805891259</v>
      </c>
      <c r="Q166" s="809">
        <f t="shared" ca="1" si="28"/>
        <v>1.0267530455417444</v>
      </c>
      <c r="R166" s="810">
        <f t="shared" si="37"/>
        <v>0</v>
      </c>
      <c r="S166" s="813">
        <f t="shared" ca="1" si="38"/>
        <v>1.260526313318149</v>
      </c>
    </row>
    <row r="167" spans="1:19">
      <c r="A167" s="811">
        <f t="shared" si="29"/>
        <v>39904</v>
      </c>
      <c r="B167" s="1102">
        <f ca="1">'[2]Monthly Curve Calc.'!B170</f>
        <v>363.99830246121275</v>
      </c>
      <c r="C167" s="1103">
        <f ca="1">'[2]Monthly Curve Calc.'!C170</f>
        <v>220.10695252188546</v>
      </c>
      <c r="D167" s="1103">
        <f ca="1">'[2]Monthly Curve Calc.'!D170</f>
        <v>174.22318841021925</v>
      </c>
      <c r="E167" s="1103">
        <f ca="1">'[2]Monthly Curve Calc.'!E170</f>
        <v>20.705000000000002</v>
      </c>
      <c r="F167" s="1104">
        <f ca="1">'[2]Monthly Curve Calc.'!F170</f>
        <v>2.5470886538554471</v>
      </c>
      <c r="G167" s="812">
        <f t="shared" ca="1" si="30"/>
        <v>1.075</v>
      </c>
      <c r="H167" s="810">
        <f t="shared" ca="1" si="31"/>
        <v>1.0267530455417444</v>
      </c>
      <c r="I167" s="810">
        <f t="shared" ca="1" si="32"/>
        <v>1.0242530455417445</v>
      </c>
      <c r="J167" s="810">
        <f t="shared" ca="1" si="33"/>
        <v>1.0204582927855577</v>
      </c>
      <c r="K167" s="813">
        <f t="shared" ca="1" si="34"/>
        <v>20.218541666666656</v>
      </c>
      <c r="L167" s="921">
        <f t="shared" si="26"/>
        <v>155</v>
      </c>
      <c r="M167" s="809">
        <f t="shared" ca="1" si="27"/>
        <v>1.0267530455417444</v>
      </c>
      <c r="N167" s="810">
        <f t="shared" si="35"/>
        <v>1.0049999999999999</v>
      </c>
      <c r="O167" s="813">
        <f t="shared" ca="1" si="36"/>
        <v>1.3387797805891259</v>
      </c>
      <c r="Q167" s="809">
        <f t="shared" ca="1" si="28"/>
        <v>1.0267530455417444</v>
      </c>
      <c r="R167" s="810">
        <f t="shared" si="37"/>
        <v>0</v>
      </c>
      <c r="S167" s="813">
        <f t="shared" ca="1" si="38"/>
        <v>1.260526313318149</v>
      </c>
    </row>
    <row r="168" spans="1:19">
      <c r="A168" s="811">
        <f t="shared" si="29"/>
        <v>39934</v>
      </c>
      <c r="B168" s="1102">
        <f ca="1">'[2]Monthly Curve Calc.'!B171</f>
        <v>366.11337112616093</v>
      </c>
      <c r="C168" s="1103">
        <f ca="1">'[2]Monthly Curve Calc.'!C171</f>
        <v>220.57779322100484</v>
      </c>
      <c r="D168" s="1103">
        <f ca="1">'[2]Monthly Curve Calc.'!D171</f>
        <v>174.50475237749637</v>
      </c>
      <c r="E168" s="1103">
        <f ca="1">'[2]Monthly Curve Calc.'!E171</f>
        <v>20.755000000000003</v>
      </c>
      <c r="F168" s="1104">
        <f ca="1">'[2]Monthly Curve Calc.'!F171</f>
        <v>2.5523352394471628</v>
      </c>
      <c r="G168" s="812">
        <f t="shared" ca="1" si="30"/>
        <v>1.0739990683225322</v>
      </c>
      <c r="H168" s="810">
        <f t="shared" ca="1" si="31"/>
        <v>1.0262711122579586</v>
      </c>
      <c r="I168" s="810">
        <f t="shared" ca="1" si="32"/>
        <v>1.0237711122579587</v>
      </c>
      <c r="J168" s="810">
        <f t="shared" ca="1" si="33"/>
        <v>1.0204582927855577</v>
      </c>
      <c r="K168" s="813">
        <f t="shared" ca="1" si="34"/>
        <v>20.218541666666656</v>
      </c>
      <c r="L168" s="921">
        <f t="shared" si="26"/>
        <v>156</v>
      </c>
      <c r="M168" s="809">
        <f t="shared" ca="1" si="27"/>
        <v>1.0262711122579586</v>
      </c>
      <c r="N168" s="810">
        <f t="shared" si="35"/>
        <v>1.0049999999999999</v>
      </c>
      <c r="O168" s="813">
        <f t="shared" ca="1" si="36"/>
        <v>1.3739510144936682</v>
      </c>
      <c r="Q168" s="809">
        <f t="shared" ca="1" si="28"/>
        <v>1.0262711122579586</v>
      </c>
      <c r="R168" s="810">
        <f t="shared" si="37"/>
        <v>0</v>
      </c>
      <c r="S168" s="813">
        <f t="shared" ca="1" si="38"/>
        <v>1.260526313318149</v>
      </c>
    </row>
    <row r="169" spans="1:19">
      <c r="A169" s="811">
        <f t="shared" si="29"/>
        <v>39965</v>
      </c>
      <c r="B169" s="1102">
        <f ca="1">'[2]Monthly Curve Calc.'!B172</f>
        <v>368.24072972605438</v>
      </c>
      <c r="C169" s="1103">
        <f ca="1">'[2]Monthly Curve Calc.'!C172</f>
        <v>221.04964111667758</v>
      </c>
      <c r="D169" s="1103">
        <f ca="1">'[2]Monthly Curve Calc.'!D172</f>
        <v>174.78677138332716</v>
      </c>
      <c r="E169" s="1103">
        <f ca="1">'[2]Monthly Curve Calc.'!E172</f>
        <v>20.805000000000003</v>
      </c>
      <c r="F169" s="1104">
        <f ca="1">'[2]Monthly Curve Calc.'!F172</f>
        <v>2.5575926321461733</v>
      </c>
      <c r="G169" s="812">
        <f t="shared" ca="1" si="30"/>
        <v>1.0739990683225322</v>
      </c>
      <c r="H169" s="810">
        <f t="shared" ca="1" si="31"/>
        <v>1.0262711122579586</v>
      </c>
      <c r="I169" s="810">
        <f t="shared" ca="1" si="32"/>
        <v>1.0237711122579587</v>
      </c>
      <c r="J169" s="810">
        <f t="shared" ca="1" si="33"/>
        <v>1.0204582927855577</v>
      </c>
      <c r="K169" s="813">
        <f t="shared" ca="1" si="34"/>
        <v>20.218541666666656</v>
      </c>
      <c r="L169" s="921">
        <f t="shared" si="26"/>
        <v>157</v>
      </c>
      <c r="M169" s="809">
        <f t="shared" ca="1" si="27"/>
        <v>1.0262711122579586</v>
      </c>
      <c r="N169" s="810">
        <f t="shared" si="35"/>
        <v>1.0049999999999999</v>
      </c>
      <c r="O169" s="813">
        <f t="shared" ca="1" si="36"/>
        <v>1.3739510144936682</v>
      </c>
      <c r="Q169" s="809">
        <f t="shared" ca="1" si="28"/>
        <v>1.0262711122579586</v>
      </c>
      <c r="R169" s="810">
        <f t="shared" si="37"/>
        <v>0</v>
      </c>
      <c r="S169" s="813">
        <f t="shared" ca="1" si="38"/>
        <v>1.2936417415994408</v>
      </c>
    </row>
    <row r="170" spans="1:19">
      <c r="A170" s="811">
        <f t="shared" si="29"/>
        <v>39995</v>
      </c>
      <c r="B170" s="1102">
        <f ca="1">'[2]Monthly Curve Calc.'!B173</f>
        <v>370.38044967346877</v>
      </c>
      <c r="C170" s="1103">
        <f ca="1">'[2]Monthly Curve Calc.'!C173</f>
        <v>221.52249836344316</v>
      </c>
      <c r="D170" s="1103">
        <f ca="1">'[2]Monthly Curve Calc.'!D173</f>
        <v>175.06924616310431</v>
      </c>
      <c r="E170" s="1103">
        <f ca="1">'[2]Monthly Curve Calc.'!E173</f>
        <v>20.855000000000004</v>
      </c>
      <c r="F170" s="1104">
        <f ca="1">'[2]Monthly Curve Calc.'!F173</f>
        <v>2.56286085421335</v>
      </c>
      <c r="G170" s="812">
        <f t="shared" ca="1" si="30"/>
        <v>1.0739990683225322</v>
      </c>
      <c r="H170" s="810">
        <f t="shared" ca="1" si="31"/>
        <v>1.0262711122579586</v>
      </c>
      <c r="I170" s="810">
        <f t="shared" ca="1" si="32"/>
        <v>1.0237711122579587</v>
      </c>
      <c r="J170" s="810">
        <f t="shared" ca="1" si="33"/>
        <v>1.0204582927855577</v>
      </c>
      <c r="K170" s="813">
        <f t="shared" ca="1" si="34"/>
        <v>20.218541666666656</v>
      </c>
      <c r="L170" s="921">
        <f t="shared" si="26"/>
        <v>158</v>
      </c>
      <c r="M170" s="809">
        <f t="shared" ca="1" si="27"/>
        <v>1.0262711122579586</v>
      </c>
      <c r="N170" s="810">
        <f t="shared" si="35"/>
        <v>1.0049999999999999</v>
      </c>
      <c r="O170" s="813">
        <f t="shared" ca="1" si="36"/>
        <v>1.3739510144936682</v>
      </c>
      <c r="Q170" s="809">
        <f t="shared" ca="1" si="28"/>
        <v>1.0262711122579586</v>
      </c>
      <c r="R170" s="810">
        <f t="shared" si="37"/>
        <v>0</v>
      </c>
      <c r="S170" s="813">
        <f t="shared" ca="1" si="38"/>
        <v>1.2936417415994408</v>
      </c>
    </row>
    <row r="171" spans="1:19">
      <c r="A171" s="811">
        <f t="shared" si="29"/>
        <v>40026</v>
      </c>
      <c r="B171" s="1102">
        <f ca="1">'[2]Monthly Curve Calc.'!B174</f>
        <v>372.53260279593354</v>
      </c>
      <c r="C171" s="1103">
        <f ca="1">'[2]Monthly Curve Calc.'!C174</f>
        <v>221.99636712045003</v>
      </c>
      <c r="D171" s="1103">
        <f ca="1">'[2]Monthly Curve Calc.'!D174</f>
        <v>175.35217745340901</v>
      </c>
      <c r="E171" s="1103">
        <f ca="1">'[2]Monthly Curve Calc.'!E174</f>
        <v>20.905000000000005</v>
      </c>
      <c r="F171" s="1104">
        <f ca="1">'[2]Monthly Curve Calc.'!F174</f>
        <v>2.5681399279554182</v>
      </c>
      <c r="G171" s="812">
        <f t="shared" ca="1" si="30"/>
        <v>1.0739990683225322</v>
      </c>
      <c r="H171" s="810">
        <f t="shared" ca="1" si="31"/>
        <v>1.0262711122579586</v>
      </c>
      <c r="I171" s="810">
        <f t="shared" ca="1" si="32"/>
        <v>1.0237711122579587</v>
      </c>
      <c r="J171" s="810">
        <f t="shared" ca="1" si="33"/>
        <v>1.0204582927855577</v>
      </c>
      <c r="K171" s="813">
        <f t="shared" ca="1" si="34"/>
        <v>20.218541666666656</v>
      </c>
      <c r="L171" s="921">
        <f t="shared" si="26"/>
        <v>159</v>
      </c>
      <c r="M171" s="809">
        <f t="shared" ca="1" si="27"/>
        <v>1.0262711122579586</v>
      </c>
      <c r="N171" s="810">
        <f t="shared" si="35"/>
        <v>1.0049999999999999</v>
      </c>
      <c r="O171" s="813">
        <f t="shared" ca="1" si="36"/>
        <v>1.3739510144936682</v>
      </c>
      <c r="Q171" s="809">
        <f t="shared" ca="1" si="28"/>
        <v>1.0262711122579586</v>
      </c>
      <c r="R171" s="810">
        <f t="shared" si="37"/>
        <v>0</v>
      </c>
      <c r="S171" s="813">
        <f t="shared" ca="1" si="38"/>
        <v>1.2936417415994408</v>
      </c>
    </row>
    <row r="172" spans="1:19">
      <c r="A172" s="811">
        <f t="shared" si="29"/>
        <v>40057</v>
      </c>
      <c r="B172" s="1102">
        <f ca="1">'[2]Monthly Curve Calc.'!B175</f>
        <v>374.69726133834314</v>
      </c>
      <c r="C172" s="1103">
        <f ca="1">'[2]Monthly Curve Calc.'!C175</f>
        <v>222.47124955146529</v>
      </c>
      <c r="D172" s="1103">
        <f ca="1">'[2]Monthly Curve Calc.'!D175</f>
        <v>175.6355659920128</v>
      </c>
      <c r="E172" s="1103">
        <f ca="1">'[2]Monthly Curve Calc.'!E175</f>
        <v>20.955000000000005</v>
      </c>
      <c r="F172" s="1104">
        <f ca="1">'[2]Monthly Curve Calc.'!F175</f>
        <v>2.5734298757250516</v>
      </c>
      <c r="G172" s="812">
        <f t="shared" ca="1" si="30"/>
        <v>1.0739990683225322</v>
      </c>
      <c r="H172" s="810">
        <f t="shared" ca="1" si="31"/>
        <v>1.0262711122579586</v>
      </c>
      <c r="I172" s="810">
        <f t="shared" ca="1" si="32"/>
        <v>1.0237711122579587</v>
      </c>
      <c r="J172" s="810">
        <f t="shared" ca="1" si="33"/>
        <v>1.0204582927855577</v>
      </c>
      <c r="K172" s="813">
        <f t="shared" ca="1" si="34"/>
        <v>20.218541666666656</v>
      </c>
      <c r="L172" s="921">
        <f t="shared" si="26"/>
        <v>160</v>
      </c>
      <c r="M172" s="809">
        <f t="shared" ca="1" si="27"/>
        <v>1.0262711122579586</v>
      </c>
      <c r="N172" s="810">
        <f t="shared" si="35"/>
        <v>1.0049999999999999</v>
      </c>
      <c r="O172" s="813">
        <f t="shared" ca="1" si="36"/>
        <v>1.3739510144936682</v>
      </c>
      <c r="Q172" s="809">
        <f t="shared" ca="1" si="28"/>
        <v>1.0262711122579586</v>
      </c>
      <c r="R172" s="810">
        <f t="shared" si="37"/>
        <v>0</v>
      </c>
      <c r="S172" s="813">
        <f t="shared" ca="1" si="38"/>
        <v>1.2936417415994408</v>
      </c>
    </row>
    <row r="173" spans="1:19">
      <c r="A173" s="811">
        <f t="shared" si="29"/>
        <v>40087</v>
      </c>
      <c r="B173" s="1102">
        <f ca="1">'[2]Monthly Curve Calc.'!B176</f>
        <v>376.87449796538232</v>
      </c>
      <c r="C173" s="1103">
        <f ca="1">'[2]Monthly Curve Calc.'!C176</f>
        <v>222.94714782488469</v>
      </c>
      <c r="D173" s="1103">
        <f ca="1">'[2]Monthly Curve Calc.'!D176</f>
        <v>175.91941251787958</v>
      </c>
      <c r="E173" s="1103">
        <f ca="1">'[2]Monthly Curve Calc.'!E176</f>
        <v>21.005000000000006</v>
      </c>
      <c r="F173" s="1104">
        <f ca="1">'[2]Monthly Curve Calc.'!F176</f>
        <v>2.5787307199209661</v>
      </c>
      <c r="G173" s="812">
        <f t="shared" ca="1" si="30"/>
        <v>1.0739990683225322</v>
      </c>
      <c r="H173" s="810">
        <f t="shared" ca="1" si="31"/>
        <v>1.0262711122579586</v>
      </c>
      <c r="I173" s="810">
        <f t="shared" ca="1" si="32"/>
        <v>1.0237711122579587</v>
      </c>
      <c r="J173" s="810">
        <f t="shared" ca="1" si="33"/>
        <v>1.0204582927855577</v>
      </c>
      <c r="K173" s="813">
        <f t="shared" ca="1" si="34"/>
        <v>20.218541666666656</v>
      </c>
      <c r="L173" s="921">
        <f t="shared" si="26"/>
        <v>161</v>
      </c>
      <c r="M173" s="809">
        <f t="shared" ca="1" si="27"/>
        <v>1.0262711122579586</v>
      </c>
      <c r="N173" s="810">
        <f t="shared" si="35"/>
        <v>1.0049999999999999</v>
      </c>
      <c r="O173" s="813">
        <f t="shared" ca="1" si="36"/>
        <v>1.3739510144936682</v>
      </c>
      <c r="Q173" s="809">
        <f t="shared" ca="1" si="28"/>
        <v>1.0262711122579586</v>
      </c>
      <c r="R173" s="810">
        <f t="shared" si="37"/>
        <v>0</v>
      </c>
      <c r="S173" s="813">
        <f t="shared" ca="1" si="38"/>
        <v>1.2936417415994408</v>
      </c>
    </row>
    <row r="174" spans="1:19">
      <c r="A174" s="811">
        <f t="shared" si="29"/>
        <v>40118</v>
      </c>
      <c r="B174" s="1102">
        <f ca="1">'[2]Monthly Curve Calc.'!B177</f>
        <v>379.06438576396511</v>
      </c>
      <c r="C174" s="1103">
        <f ca="1">'[2]Monthly Curve Calc.'!C177</f>
        <v>223.4240641137425</v>
      </c>
      <c r="D174" s="1103">
        <f ca="1">'[2]Monthly Curve Calc.'!D177</f>
        <v>176.2037177711675</v>
      </c>
      <c r="E174" s="1103">
        <f ca="1">'[2]Monthly Curve Calc.'!E177</f>
        <v>21.055000000000007</v>
      </c>
      <c r="F174" s="1104">
        <f ca="1">'[2]Monthly Curve Calc.'!F177</f>
        <v>2.5840424829880164</v>
      </c>
      <c r="G174" s="812">
        <f t="shared" ca="1" si="30"/>
        <v>1.0739990683225322</v>
      </c>
      <c r="H174" s="810">
        <f t="shared" ca="1" si="31"/>
        <v>1.0262711122579586</v>
      </c>
      <c r="I174" s="810">
        <f t="shared" ca="1" si="32"/>
        <v>1.0237711122579587</v>
      </c>
      <c r="J174" s="810">
        <f t="shared" ca="1" si="33"/>
        <v>1.0204582927855577</v>
      </c>
      <c r="K174" s="813">
        <f t="shared" ca="1" si="34"/>
        <v>20.218541666666656</v>
      </c>
      <c r="L174" s="921">
        <f t="shared" si="26"/>
        <v>162</v>
      </c>
      <c r="M174" s="809">
        <f t="shared" ca="1" si="27"/>
        <v>1.0262711122579586</v>
      </c>
      <c r="N174" s="810">
        <f t="shared" si="35"/>
        <v>1.0049999999999999</v>
      </c>
      <c r="O174" s="813">
        <f t="shared" ca="1" si="36"/>
        <v>1.3739510144936682</v>
      </c>
      <c r="Q174" s="809">
        <f t="shared" ca="1" si="28"/>
        <v>1.0262711122579586</v>
      </c>
      <c r="R174" s="810">
        <f t="shared" si="37"/>
        <v>0</v>
      </c>
      <c r="S174" s="813">
        <f t="shared" ca="1" si="38"/>
        <v>1.2936417415994408</v>
      </c>
    </row>
    <row r="175" spans="1:19">
      <c r="A175" s="811">
        <f t="shared" si="29"/>
        <v>40148</v>
      </c>
      <c r="B175" s="1102">
        <f ca="1">'[2]Monthly Curve Calc.'!B178</f>
        <v>381.26699824568851</v>
      </c>
      <c r="C175" s="1103">
        <f ca="1">'[2]Monthly Curve Calc.'!C178</f>
        <v>223.9020005957214</v>
      </c>
      <c r="D175" s="1103">
        <f ca="1">'[2]Monthly Curve Calc.'!D178</f>
        <v>176.48848249323086</v>
      </c>
      <c r="E175" s="1103">
        <f ca="1">'[2]Monthly Curve Calc.'!E178</f>
        <v>21.105</v>
      </c>
      <c r="F175" s="1104">
        <f ca="1">'[2]Monthly Curve Calc.'!F178</f>
        <v>2.5893651874172878</v>
      </c>
      <c r="G175" s="812">
        <f t="shared" ca="1" si="30"/>
        <v>1.0739990683225322</v>
      </c>
      <c r="H175" s="810">
        <f t="shared" ca="1" si="31"/>
        <v>1.0262711122579586</v>
      </c>
      <c r="I175" s="810">
        <f t="shared" ca="1" si="32"/>
        <v>1.0237711122579587</v>
      </c>
      <c r="J175" s="810">
        <f t="shared" ca="1" si="33"/>
        <v>1.0204582927855577</v>
      </c>
      <c r="K175" s="813">
        <f t="shared" ca="1" si="34"/>
        <v>20.218541666666656</v>
      </c>
      <c r="L175" s="921">
        <f t="shared" si="26"/>
        <v>163</v>
      </c>
      <c r="M175" s="809">
        <f t="shared" ca="1" si="27"/>
        <v>1.0262711122579586</v>
      </c>
      <c r="N175" s="810">
        <f t="shared" si="35"/>
        <v>1.0049999999999999</v>
      </c>
      <c r="O175" s="813">
        <f t="shared" ca="1" si="36"/>
        <v>1.3739510144936682</v>
      </c>
      <c r="Q175" s="809">
        <f t="shared" ca="1" si="28"/>
        <v>1.0262711122579586</v>
      </c>
      <c r="R175" s="810">
        <f t="shared" si="37"/>
        <v>0</v>
      </c>
      <c r="S175" s="813">
        <f t="shared" ca="1" si="38"/>
        <v>1.2936417415994408</v>
      </c>
    </row>
    <row r="176" spans="1:19">
      <c r="A176" s="811">
        <f t="shared" si="29"/>
        <v>40179</v>
      </c>
      <c r="B176" s="1102">
        <f ca="1">'[2]Monthly Curve Calc.'!B179</f>
        <v>383.48240934930004</v>
      </c>
      <c r="C176" s="1103">
        <f ca="1">'[2]Monthly Curve Calc.'!C179</f>
        <v>224.37366820194069</v>
      </c>
      <c r="D176" s="1103">
        <f ca="1">'[2]Monthly Curve Calc.'!D179</f>
        <v>176.7590109963586</v>
      </c>
      <c r="E176" s="1103">
        <f ca="1">'[2]Monthly Curve Calc.'!E179</f>
        <v>21.155000000000001</v>
      </c>
      <c r="F176" s="1104">
        <f ca="1">'[2]Monthly Curve Calc.'!F179</f>
        <v>2.5944082870946334</v>
      </c>
      <c r="G176" s="812">
        <f t="shared" ca="1" si="30"/>
        <v>1.0739990683225322</v>
      </c>
      <c r="H176" s="810">
        <f t="shared" ca="1" si="31"/>
        <v>1.0262711122579586</v>
      </c>
      <c r="I176" s="810">
        <f t="shared" ca="1" si="32"/>
        <v>1.0237711122579587</v>
      </c>
      <c r="J176" s="810">
        <f t="shared" ca="1" si="33"/>
        <v>1.019566640693395</v>
      </c>
      <c r="K176" s="813">
        <f t="shared" ca="1" si="34"/>
        <v>20.830000000000002</v>
      </c>
      <c r="L176" s="921">
        <f t="shared" si="26"/>
        <v>164</v>
      </c>
      <c r="M176" s="809">
        <f t="shared" ca="1" si="27"/>
        <v>1.0262711122579586</v>
      </c>
      <c r="N176" s="810">
        <f t="shared" si="35"/>
        <v>1.0049999999999999</v>
      </c>
      <c r="O176" s="813">
        <f t="shared" ca="1" si="36"/>
        <v>1.3739510144936682</v>
      </c>
      <c r="Q176" s="809">
        <f t="shared" ca="1" si="28"/>
        <v>1.0262711122579586</v>
      </c>
      <c r="R176" s="810">
        <f t="shared" si="37"/>
        <v>0</v>
      </c>
      <c r="S176" s="813">
        <f t="shared" ca="1" si="38"/>
        <v>1.2936417415994408</v>
      </c>
    </row>
    <row r="177" spans="1:19">
      <c r="A177" s="811">
        <f t="shared" si="29"/>
        <v>40210</v>
      </c>
      <c r="B177" s="1102">
        <f ca="1">'[2]Monthly Curve Calc.'!B180</f>
        <v>385.71069344317976</v>
      </c>
      <c r="C177" s="1103">
        <f ca="1">'[2]Monthly Curve Calc.'!C180</f>
        <v>224.84632941397933</v>
      </c>
      <c r="D177" s="1103">
        <f ca="1">'[2]Monthly Curve Calc.'!D180</f>
        <v>177.02995417624015</v>
      </c>
      <c r="E177" s="1103">
        <f ca="1">'[2]Monthly Curve Calc.'!E180</f>
        <v>21.205000000000002</v>
      </c>
      <c r="F177" s="1104">
        <f ca="1">'[2]Monthly Curve Calc.'!F180</f>
        <v>2.5994612088142612</v>
      </c>
      <c r="G177" s="812">
        <f t="shared" ca="1" si="30"/>
        <v>1.0739990683225322</v>
      </c>
      <c r="H177" s="810">
        <f t="shared" ca="1" si="31"/>
        <v>1.0262711122579586</v>
      </c>
      <c r="I177" s="810">
        <f t="shared" ca="1" si="32"/>
        <v>1.0237711122579587</v>
      </c>
      <c r="J177" s="810">
        <f t="shared" ca="1" si="33"/>
        <v>1.019566640693395</v>
      </c>
      <c r="K177" s="813">
        <f t="shared" ca="1" si="34"/>
        <v>20.830000000000002</v>
      </c>
      <c r="L177" s="921">
        <f t="shared" si="26"/>
        <v>165</v>
      </c>
      <c r="M177" s="809">
        <f t="shared" ca="1" si="27"/>
        <v>1.0262711122579586</v>
      </c>
      <c r="N177" s="810">
        <f t="shared" si="35"/>
        <v>1.0049999999999999</v>
      </c>
      <c r="O177" s="813">
        <f t="shared" ca="1" si="36"/>
        <v>1.3739510144936682</v>
      </c>
      <c r="Q177" s="809">
        <f t="shared" ca="1" si="28"/>
        <v>1.0262711122579586</v>
      </c>
      <c r="R177" s="810">
        <f t="shared" si="37"/>
        <v>0</v>
      </c>
      <c r="S177" s="813">
        <f t="shared" ca="1" si="38"/>
        <v>1.2936417415994408</v>
      </c>
    </row>
    <row r="178" spans="1:19">
      <c r="A178" s="811">
        <f t="shared" si="29"/>
        <v>40238</v>
      </c>
      <c r="B178" s="1102">
        <f ca="1">'[2]Monthly Curve Calc.'!B181</f>
        <v>387.95192532783682</v>
      </c>
      <c r="C178" s="1103">
        <f ca="1">'[2]Monthly Curve Calc.'!C181</f>
        <v>225.31998632494805</v>
      </c>
      <c r="D178" s="1103">
        <f ca="1">'[2]Monthly Curve Calc.'!D181</f>
        <v>177.30131266850839</v>
      </c>
      <c r="E178" s="1103">
        <f ca="1">'[2]Monthly Curve Calc.'!E181</f>
        <v>21.255000000000003</v>
      </c>
      <c r="F178" s="1104">
        <f ca="1">'[2]Monthly Curve Calc.'!F181</f>
        <v>2.6045239717057789</v>
      </c>
      <c r="G178" s="812">
        <f t="shared" ca="1" si="30"/>
        <v>1.0739990683225322</v>
      </c>
      <c r="H178" s="810">
        <f t="shared" ca="1" si="31"/>
        <v>1.0262711122579586</v>
      </c>
      <c r="I178" s="810">
        <f t="shared" ca="1" si="32"/>
        <v>1.0237711122579587</v>
      </c>
      <c r="J178" s="810">
        <f t="shared" ca="1" si="33"/>
        <v>1.019566640693395</v>
      </c>
      <c r="K178" s="813">
        <f t="shared" ca="1" si="34"/>
        <v>20.830000000000002</v>
      </c>
      <c r="L178" s="921">
        <f t="shared" si="26"/>
        <v>166</v>
      </c>
      <c r="M178" s="809">
        <f t="shared" ca="1" si="27"/>
        <v>1.0262711122579586</v>
      </c>
      <c r="N178" s="810">
        <f t="shared" si="35"/>
        <v>1.0049999999999999</v>
      </c>
      <c r="O178" s="813">
        <f t="shared" ca="1" si="36"/>
        <v>1.3739510144936682</v>
      </c>
      <c r="Q178" s="809">
        <f t="shared" ca="1" si="28"/>
        <v>1.0262711122579586</v>
      </c>
      <c r="R178" s="810">
        <f t="shared" si="37"/>
        <v>0</v>
      </c>
      <c r="S178" s="813">
        <f t="shared" ca="1" si="38"/>
        <v>1.2936417415994408</v>
      </c>
    </row>
    <row r="179" spans="1:19">
      <c r="A179" s="811">
        <f t="shared" si="29"/>
        <v>40269</v>
      </c>
      <c r="B179" s="1102">
        <f ca="1">'[2]Monthly Curve Calc.'!B182</f>
        <v>390.20618023842025</v>
      </c>
      <c r="C179" s="1103">
        <f ca="1">'[2]Monthly Curve Calc.'!C182</f>
        <v>225.79464103236685</v>
      </c>
      <c r="D179" s="1103">
        <f ca="1">'[2]Monthly Curve Calc.'!D182</f>
        <v>177.57308710977048</v>
      </c>
      <c r="E179" s="1103">
        <f ca="1">'[2]Monthly Curve Calc.'!E182</f>
        <v>21.305000000000003</v>
      </c>
      <c r="F179" s="1104">
        <f ca="1">'[2]Monthly Curve Calc.'!F182</f>
        <v>2.60959659493605</v>
      </c>
      <c r="G179" s="812">
        <f t="shared" ca="1" si="30"/>
        <v>1.0739990683225322</v>
      </c>
      <c r="H179" s="810">
        <f t="shared" ca="1" si="31"/>
        <v>1.0262711122579586</v>
      </c>
      <c r="I179" s="810">
        <f t="shared" ca="1" si="32"/>
        <v>1.0237711122579587</v>
      </c>
      <c r="J179" s="810">
        <f t="shared" ca="1" si="33"/>
        <v>1.019566640693395</v>
      </c>
      <c r="K179" s="813">
        <f t="shared" ca="1" si="34"/>
        <v>20.830000000000002</v>
      </c>
      <c r="L179" s="921">
        <f t="shared" si="26"/>
        <v>167</v>
      </c>
      <c r="M179" s="809">
        <f t="shared" ca="1" si="27"/>
        <v>1.0262711122579586</v>
      </c>
      <c r="N179" s="810">
        <f t="shared" si="35"/>
        <v>1.0049999999999999</v>
      </c>
      <c r="O179" s="813">
        <f t="shared" ca="1" si="36"/>
        <v>1.3739510144936682</v>
      </c>
      <c r="Q179" s="809">
        <f t="shared" ca="1" si="28"/>
        <v>1.0262711122579586</v>
      </c>
      <c r="R179" s="810">
        <f t="shared" si="37"/>
        <v>0</v>
      </c>
      <c r="S179" s="813">
        <f t="shared" ca="1" si="38"/>
        <v>1.2936417415994408</v>
      </c>
    </row>
    <row r="180" spans="1:19">
      <c r="A180" s="811">
        <f t="shared" si="29"/>
        <v>40299</v>
      </c>
      <c r="B180" s="1102">
        <f ca="1">'[2]Monthly Curve Calc.'!B183</f>
        <v>392.47353384724471</v>
      </c>
      <c r="C180" s="1103">
        <f ca="1">'[2]Monthly Curve Calc.'!C183</f>
        <v>226.27029563817439</v>
      </c>
      <c r="D180" s="1103">
        <f ca="1">'[2]Monthly Curve Calc.'!D183</f>
        <v>177.84527813760948</v>
      </c>
      <c r="E180" s="1103">
        <f ca="1">'[2]Monthly Curve Calc.'!E183</f>
        <v>21.355000000000004</v>
      </c>
      <c r="F180" s="1104">
        <f ca="1">'[2]Monthly Curve Calc.'!F183</f>
        <v>2.6146790977092684</v>
      </c>
      <c r="G180" s="812">
        <f t="shared" ca="1" si="30"/>
        <v>1.0720000000000005</v>
      </c>
      <c r="H180" s="810">
        <f t="shared" ca="1" si="31"/>
        <v>1.0258405672574831</v>
      </c>
      <c r="I180" s="810">
        <f t="shared" ca="1" si="32"/>
        <v>1.0233405672574831</v>
      </c>
      <c r="J180" s="810">
        <f t="shared" ca="1" si="33"/>
        <v>1.019566640693395</v>
      </c>
      <c r="K180" s="813">
        <f t="shared" ca="1" si="34"/>
        <v>20.830000000000002</v>
      </c>
      <c r="L180" s="921">
        <f t="shared" si="26"/>
        <v>168</v>
      </c>
      <c r="M180" s="809">
        <f t="shared" ca="1" si="27"/>
        <v>1.0258405672574831</v>
      </c>
      <c r="N180" s="810">
        <f t="shared" si="35"/>
        <v>1.0049999999999999</v>
      </c>
      <c r="O180" s="813">
        <f t="shared" ca="1" si="36"/>
        <v>1.409454688092179</v>
      </c>
      <c r="Q180" s="809">
        <f t="shared" ca="1" si="28"/>
        <v>1.0258405672574831</v>
      </c>
      <c r="R180" s="810">
        <f t="shared" si="37"/>
        <v>0</v>
      </c>
      <c r="S180" s="813">
        <f t="shared" ca="1" si="38"/>
        <v>1.2936417415994408</v>
      </c>
    </row>
    <row r="181" spans="1:19">
      <c r="A181" s="811">
        <f t="shared" si="29"/>
        <v>40330</v>
      </c>
      <c r="B181" s="1102">
        <f ca="1">'[2]Monthly Curve Calc.'!B184</f>
        <v>394.75406226633049</v>
      </c>
      <c r="C181" s="1103">
        <f ca="1">'[2]Monthly Curve Calc.'!C184</f>
        <v>226.74695224873719</v>
      </c>
      <c r="D181" s="1103">
        <f ca="1">'[2]Monthly Curve Calc.'!D184</f>
        <v>178.11788639058571</v>
      </c>
      <c r="E181" s="1103">
        <f ca="1">'[2]Monthly Curve Calc.'!E184</f>
        <v>21.405000000000005</v>
      </c>
      <c r="F181" s="1104">
        <f ca="1">'[2]Monthly Curve Calc.'!F184</f>
        <v>2.6197714992670309</v>
      </c>
      <c r="G181" s="812">
        <f t="shared" ca="1" si="30"/>
        <v>1.0720000000000005</v>
      </c>
      <c r="H181" s="810">
        <f t="shared" ca="1" si="31"/>
        <v>1.0258405672574831</v>
      </c>
      <c r="I181" s="810">
        <f t="shared" ca="1" si="32"/>
        <v>1.0233405672574831</v>
      </c>
      <c r="J181" s="810">
        <f t="shared" ca="1" si="33"/>
        <v>1.019566640693395</v>
      </c>
      <c r="K181" s="813">
        <f t="shared" ca="1" si="34"/>
        <v>20.830000000000002</v>
      </c>
      <c r="L181" s="921">
        <f t="shared" si="26"/>
        <v>169</v>
      </c>
      <c r="M181" s="809">
        <f t="shared" ca="1" si="27"/>
        <v>1.0258405672574831</v>
      </c>
      <c r="N181" s="810">
        <f t="shared" si="35"/>
        <v>1.0049999999999999</v>
      </c>
      <c r="O181" s="813">
        <f t="shared" ca="1" si="36"/>
        <v>1.409454688092179</v>
      </c>
      <c r="Q181" s="809">
        <f t="shared" ca="1" si="28"/>
        <v>1.0258405672574831</v>
      </c>
      <c r="R181" s="810">
        <f t="shared" si="37"/>
        <v>0</v>
      </c>
      <c r="S181" s="813">
        <f t="shared" ca="1" si="38"/>
        <v>1.3270701780303287</v>
      </c>
    </row>
    <row r="182" spans="1:19">
      <c r="A182" s="811">
        <f t="shared" si="29"/>
        <v>40360</v>
      </c>
      <c r="B182" s="1102">
        <f ca="1">'[2]Monthly Curve Calc.'!B185</f>
        <v>397.04784204995872</v>
      </c>
      <c r="C182" s="1103">
        <f ca="1">'[2]Monthly Curve Calc.'!C185</f>
        <v>227.22461297485901</v>
      </c>
      <c r="D182" s="1103">
        <f ca="1">'[2]Monthly Curve Calc.'!D185</f>
        <v>178.3909125082383</v>
      </c>
      <c r="E182" s="1103">
        <f ca="1">'[2]Monthly Curve Calc.'!E185</f>
        <v>21.455000000000005</v>
      </c>
      <c r="F182" s="1104">
        <f ca="1">'[2]Monthly Curve Calc.'!F185</f>
        <v>2.6248738188884091</v>
      </c>
      <c r="G182" s="812">
        <f t="shared" ca="1" si="30"/>
        <v>1.0720000000000005</v>
      </c>
      <c r="H182" s="810">
        <f t="shared" ca="1" si="31"/>
        <v>1.0258405672574831</v>
      </c>
      <c r="I182" s="810">
        <f t="shared" ca="1" si="32"/>
        <v>1.0233405672574831</v>
      </c>
      <c r="J182" s="810">
        <f t="shared" ca="1" si="33"/>
        <v>1.019566640693395</v>
      </c>
      <c r="K182" s="813">
        <f t="shared" ca="1" si="34"/>
        <v>20.830000000000002</v>
      </c>
      <c r="L182" s="921">
        <f t="shared" si="26"/>
        <v>170</v>
      </c>
      <c r="M182" s="809">
        <f t="shared" ca="1" si="27"/>
        <v>1.0258405672574831</v>
      </c>
      <c r="N182" s="810">
        <f t="shared" si="35"/>
        <v>1.0049999999999999</v>
      </c>
      <c r="O182" s="813">
        <f t="shared" ca="1" si="36"/>
        <v>1.409454688092179</v>
      </c>
      <c r="Q182" s="809">
        <f t="shared" ca="1" si="28"/>
        <v>1.0258405672574831</v>
      </c>
      <c r="R182" s="810">
        <f t="shared" si="37"/>
        <v>0</v>
      </c>
      <c r="S182" s="813">
        <f t="shared" ca="1" si="38"/>
        <v>1.3270701780303287</v>
      </c>
    </row>
    <row r="183" spans="1:19">
      <c r="A183" s="811">
        <f t="shared" si="29"/>
        <v>40391</v>
      </c>
      <c r="B183" s="1102">
        <f ca="1">'[2]Monthly Curve Calc.'!B186</f>
        <v>399.35495019724095</v>
      </c>
      <c r="C183" s="1103">
        <f ca="1">'[2]Monthly Curve Calc.'!C186</f>
        <v>227.70327993179018</v>
      </c>
      <c r="D183" s="1103">
        <f ca="1">'[2]Monthly Curve Calc.'!D186</f>
        <v>178.66435713108669</v>
      </c>
      <c r="E183" s="1103">
        <f ca="1">'[2]Monthly Curve Calc.'!E186</f>
        <v>21.505000000000006</v>
      </c>
      <c r="F183" s="1104">
        <f ca="1">'[2]Monthly Curve Calc.'!F186</f>
        <v>2.6299860758900229</v>
      </c>
      <c r="G183" s="812">
        <f t="shared" ca="1" si="30"/>
        <v>1.0720000000000005</v>
      </c>
      <c r="H183" s="810">
        <f t="shared" ca="1" si="31"/>
        <v>1.0258405672574831</v>
      </c>
      <c r="I183" s="810">
        <f t="shared" ca="1" si="32"/>
        <v>1.0233405672574831</v>
      </c>
      <c r="J183" s="810">
        <f t="shared" ca="1" si="33"/>
        <v>1.019566640693395</v>
      </c>
      <c r="K183" s="813">
        <f t="shared" ca="1" si="34"/>
        <v>20.830000000000002</v>
      </c>
      <c r="L183" s="921">
        <f t="shared" si="26"/>
        <v>171</v>
      </c>
      <c r="M183" s="809">
        <f t="shared" ca="1" si="27"/>
        <v>1.0258405672574831</v>
      </c>
      <c r="N183" s="810">
        <f t="shared" si="35"/>
        <v>1.0049999999999999</v>
      </c>
      <c r="O183" s="813">
        <f t="shared" ca="1" si="36"/>
        <v>1.409454688092179</v>
      </c>
      <c r="Q183" s="809">
        <f t="shared" ca="1" si="28"/>
        <v>1.0258405672574831</v>
      </c>
      <c r="R183" s="810">
        <f t="shared" si="37"/>
        <v>0</v>
      </c>
      <c r="S183" s="813">
        <f t="shared" ca="1" si="38"/>
        <v>1.3270701780303287</v>
      </c>
    </row>
    <row r="184" spans="1:19">
      <c r="A184" s="811">
        <f t="shared" si="29"/>
        <v>40422</v>
      </c>
      <c r="B184" s="1102">
        <f ca="1">'[2]Monthly Curve Calc.'!B187</f>
        <v>401.67546415470406</v>
      </c>
      <c r="C184" s="1103">
        <f ca="1">'[2]Monthly Curve Calc.'!C187</f>
        <v>228.18295523923697</v>
      </c>
      <c r="D184" s="1103">
        <f ca="1">'[2]Monthly Curve Calc.'!D187</f>
        <v>178.93822090063213</v>
      </c>
      <c r="E184" s="1103">
        <f ca="1">'[2]Monthly Curve Calc.'!E187</f>
        <v>21.555000000000007</v>
      </c>
      <c r="F184" s="1104">
        <f ca="1">'[2]Monthly Curve Calc.'!F187</f>
        <v>2.6351082896261135</v>
      </c>
      <c r="G184" s="812">
        <f t="shared" ca="1" si="30"/>
        <v>1.0720000000000005</v>
      </c>
      <c r="H184" s="810">
        <f t="shared" ca="1" si="31"/>
        <v>1.0258405672574831</v>
      </c>
      <c r="I184" s="810">
        <f t="shared" ca="1" si="32"/>
        <v>1.0233405672574831</v>
      </c>
      <c r="J184" s="810">
        <f t="shared" ca="1" si="33"/>
        <v>1.019566640693395</v>
      </c>
      <c r="K184" s="813">
        <f t="shared" ca="1" si="34"/>
        <v>20.830000000000002</v>
      </c>
      <c r="L184" s="921">
        <f t="shared" si="26"/>
        <v>172</v>
      </c>
      <c r="M184" s="809">
        <f t="shared" ca="1" si="27"/>
        <v>1.0258405672574831</v>
      </c>
      <c r="N184" s="810">
        <f t="shared" si="35"/>
        <v>1.0049999999999999</v>
      </c>
      <c r="O184" s="813">
        <f t="shared" ca="1" si="36"/>
        <v>1.409454688092179</v>
      </c>
      <c r="Q184" s="809">
        <f t="shared" ca="1" si="28"/>
        <v>1.0258405672574831</v>
      </c>
      <c r="R184" s="810">
        <f t="shared" si="37"/>
        <v>0</v>
      </c>
      <c r="S184" s="813">
        <f t="shared" ca="1" si="38"/>
        <v>1.3270701780303287</v>
      </c>
    </row>
    <row r="185" spans="1:19">
      <c r="A185" s="811">
        <f t="shared" si="29"/>
        <v>40452</v>
      </c>
      <c r="B185" s="1102">
        <f ca="1">'[2]Monthly Curve Calc.'!B188</f>
        <v>404.00946181889003</v>
      </c>
      <c r="C185" s="1103">
        <f ca="1">'[2]Monthly Curve Calc.'!C188</f>
        <v>228.66364102137103</v>
      </c>
      <c r="D185" s="1103">
        <f ca="1">'[2]Monthly Curve Calc.'!D188</f>
        <v>179.21250445935922</v>
      </c>
      <c r="E185" s="1103">
        <f ca="1">'[2]Monthly Curve Calc.'!E188</f>
        <v>21.605000000000008</v>
      </c>
      <c r="F185" s="1104">
        <f ca="1">'[2]Monthly Curve Calc.'!F188</f>
        <v>2.6402404794886176</v>
      </c>
      <c r="G185" s="812">
        <f t="shared" ca="1" si="30"/>
        <v>1.0720000000000005</v>
      </c>
      <c r="H185" s="810">
        <f t="shared" ca="1" si="31"/>
        <v>1.0258405672574831</v>
      </c>
      <c r="I185" s="810">
        <f t="shared" ca="1" si="32"/>
        <v>1.0233405672574831</v>
      </c>
      <c r="J185" s="810">
        <f t="shared" ca="1" si="33"/>
        <v>1.019566640693395</v>
      </c>
      <c r="K185" s="813">
        <f t="shared" ca="1" si="34"/>
        <v>20.830000000000002</v>
      </c>
      <c r="L185" s="921">
        <f t="shared" si="26"/>
        <v>173</v>
      </c>
      <c r="M185" s="809">
        <f t="shared" ca="1" si="27"/>
        <v>1.0258405672574831</v>
      </c>
      <c r="N185" s="810">
        <f t="shared" si="35"/>
        <v>1.0049999999999999</v>
      </c>
      <c r="O185" s="813">
        <f t="shared" ca="1" si="36"/>
        <v>1.409454688092179</v>
      </c>
      <c r="Q185" s="809">
        <f t="shared" ca="1" si="28"/>
        <v>1.0258405672574831</v>
      </c>
      <c r="R185" s="810">
        <f t="shared" si="37"/>
        <v>0</v>
      </c>
      <c r="S185" s="813">
        <f t="shared" ca="1" si="38"/>
        <v>1.3270701780303287</v>
      </c>
    </row>
    <row r="186" spans="1:19">
      <c r="A186" s="811">
        <f t="shared" si="29"/>
        <v>40483</v>
      </c>
      <c r="B186" s="1102">
        <f ca="1">'[2]Monthly Curve Calc.'!B189</f>
        <v>406.3570215389708</v>
      </c>
      <c r="C186" s="1103">
        <f ca="1">'[2]Monthly Curve Calc.'!C189</f>
        <v>229.14533940683867</v>
      </c>
      <c r="D186" s="1103">
        <f ca="1">'[2]Monthly Curve Calc.'!D189</f>
        <v>179.48720845073737</v>
      </c>
      <c r="E186" s="1103">
        <f ca="1">'[2]Monthly Curve Calc.'!E189</f>
        <v>21.655000000000008</v>
      </c>
      <c r="F186" s="1104">
        <f ca="1">'[2]Monthly Curve Calc.'!F189</f>
        <v>2.6453826649072392</v>
      </c>
      <c r="G186" s="812">
        <f t="shared" ca="1" si="30"/>
        <v>1.0720000000000005</v>
      </c>
      <c r="H186" s="810">
        <f t="shared" ca="1" si="31"/>
        <v>1.0258405672574831</v>
      </c>
      <c r="I186" s="810">
        <f t="shared" ca="1" si="32"/>
        <v>1.0233405672574831</v>
      </c>
      <c r="J186" s="810">
        <f t="shared" ca="1" si="33"/>
        <v>1.019566640693395</v>
      </c>
      <c r="K186" s="813">
        <f t="shared" ca="1" si="34"/>
        <v>20.830000000000002</v>
      </c>
      <c r="L186" s="921">
        <f t="shared" si="26"/>
        <v>174</v>
      </c>
      <c r="M186" s="809">
        <f t="shared" ca="1" si="27"/>
        <v>1.0258405672574831</v>
      </c>
      <c r="N186" s="810">
        <f t="shared" si="35"/>
        <v>1.0049999999999999</v>
      </c>
      <c r="O186" s="813">
        <f t="shared" ca="1" si="36"/>
        <v>1.409454688092179</v>
      </c>
      <c r="Q186" s="809">
        <f t="shared" ca="1" si="28"/>
        <v>1.0258405672574831</v>
      </c>
      <c r="R186" s="810">
        <f t="shared" si="37"/>
        <v>0</v>
      </c>
      <c r="S186" s="813">
        <f t="shared" ca="1" si="38"/>
        <v>1.3270701780303287</v>
      </c>
    </row>
    <row r="187" spans="1:19">
      <c r="A187" s="811">
        <f t="shared" si="29"/>
        <v>40513</v>
      </c>
      <c r="B187" s="1102">
        <f ca="1">'[2]Monthly Curve Calc.'!B190</f>
        <v>408.71822211937825</v>
      </c>
      <c r="C187" s="1103">
        <f ca="1">'[2]Monthly Curve Calc.'!C190</f>
        <v>229.62805252877044</v>
      </c>
      <c r="D187" s="1103">
        <f ca="1">'[2]Monthly Curve Calc.'!D190</f>
        <v>179.76233351922232</v>
      </c>
      <c r="E187" s="1103">
        <f ca="1">'[2]Monthly Curve Calc.'!E190</f>
        <v>21.704999999999998</v>
      </c>
      <c r="F187" s="1104">
        <f ca="1">'[2]Monthly Curve Calc.'!F190</f>
        <v>2.6505348653495227</v>
      </c>
      <c r="G187" s="812">
        <f t="shared" ca="1" si="30"/>
        <v>1.0720000000000005</v>
      </c>
      <c r="H187" s="810">
        <f t="shared" ca="1" si="31"/>
        <v>1.0258405672574831</v>
      </c>
      <c r="I187" s="810">
        <f t="shared" ca="1" si="32"/>
        <v>1.0233405672574831</v>
      </c>
      <c r="J187" s="810">
        <f t="shared" ca="1" si="33"/>
        <v>1.019566640693395</v>
      </c>
      <c r="K187" s="813">
        <f t="shared" ca="1" si="34"/>
        <v>20.830000000000002</v>
      </c>
      <c r="L187" s="921">
        <f t="shared" si="26"/>
        <v>175</v>
      </c>
      <c r="M187" s="809">
        <f t="shared" ca="1" si="27"/>
        <v>1.0258405672574831</v>
      </c>
      <c r="N187" s="810">
        <f t="shared" si="35"/>
        <v>1.0049999999999999</v>
      </c>
      <c r="O187" s="813">
        <f t="shared" ca="1" si="36"/>
        <v>1.409454688092179</v>
      </c>
      <c r="Q187" s="809">
        <f t="shared" ca="1" si="28"/>
        <v>1.0258405672574831</v>
      </c>
      <c r="R187" s="810">
        <f t="shared" si="37"/>
        <v>0</v>
      </c>
      <c r="S187" s="813">
        <f t="shared" ca="1" si="38"/>
        <v>1.3270701780303287</v>
      </c>
    </row>
    <row r="188" spans="1:19">
      <c r="A188" s="811">
        <f t="shared" si="29"/>
        <v>40544</v>
      </c>
      <c r="B188" s="1102">
        <f ca="1">'[2]Monthly Curve Calc.'!B191</f>
        <v>411.09314282244981</v>
      </c>
      <c r="C188" s="1103">
        <f ca="1">'[2]Monthly Curve Calc.'!C191</f>
        <v>230.10632842772247</v>
      </c>
      <c r="D188" s="1103">
        <f ca="1">'[2]Monthly Curve Calc.'!D191</f>
        <v>180.02099370792212</v>
      </c>
      <c r="E188" s="1103">
        <f ca="1">'[2]Monthly Curve Calc.'!E191</f>
        <v>21.754999999999999</v>
      </c>
      <c r="F188" s="1104">
        <f ca="1">'[2]Monthly Curve Calc.'!F191</f>
        <v>2.6551333521534075</v>
      </c>
      <c r="G188" s="812">
        <f t="shared" ca="1" si="30"/>
        <v>1.0720000000000005</v>
      </c>
      <c r="H188" s="810">
        <f t="shared" ca="1" si="31"/>
        <v>1.0258405672574831</v>
      </c>
      <c r="I188" s="810">
        <f t="shared" ca="1" si="32"/>
        <v>1.0233405672574831</v>
      </c>
      <c r="J188" s="810">
        <f t="shared" ca="1" si="33"/>
        <v>1.0185499415018033</v>
      </c>
      <c r="K188" s="813">
        <f t="shared" ca="1" si="34"/>
        <v>21.430000000000003</v>
      </c>
      <c r="L188" s="921">
        <f t="shared" si="26"/>
        <v>176</v>
      </c>
      <c r="M188" s="809">
        <f t="shared" ca="1" si="27"/>
        <v>1.0258405672574831</v>
      </c>
      <c r="N188" s="810">
        <f t="shared" si="35"/>
        <v>1.0049999999999999</v>
      </c>
      <c r="O188" s="813">
        <f t="shared" ca="1" si="36"/>
        <v>1.409454688092179</v>
      </c>
      <c r="Q188" s="809">
        <f t="shared" ca="1" si="28"/>
        <v>1.0258405672574831</v>
      </c>
      <c r="R188" s="810">
        <f t="shared" si="37"/>
        <v>0</v>
      </c>
      <c r="S188" s="813">
        <f t="shared" ca="1" si="38"/>
        <v>1.3270701780303287</v>
      </c>
    </row>
    <row r="189" spans="1:19">
      <c r="A189" s="811">
        <f t="shared" si="29"/>
        <v>40575</v>
      </c>
      <c r="B189" s="1102">
        <f ca="1">'[2]Monthly Curve Calc.'!B192</f>
        <v>413.48186337108888</v>
      </c>
      <c r="C189" s="1103">
        <f ca="1">'[2]Monthly Curve Calc.'!C192</f>
        <v>230.58560049344507</v>
      </c>
      <c r="D189" s="1103">
        <f ca="1">'[2]Monthly Curve Calc.'!D192</f>
        <v>180.28002608300773</v>
      </c>
      <c r="E189" s="1103">
        <f ca="1">'[2]Monthly Curve Calc.'!E192</f>
        <v>21.805</v>
      </c>
      <c r="F189" s="1104">
        <f ca="1">'[2]Monthly Curve Calc.'!F192</f>
        <v>2.6597398170002005</v>
      </c>
      <c r="G189" s="812">
        <f t="shared" ca="1" si="30"/>
        <v>1.0720000000000005</v>
      </c>
      <c r="H189" s="810">
        <f t="shared" ca="1" si="31"/>
        <v>1.0258405672574831</v>
      </c>
      <c r="I189" s="810">
        <f t="shared" ca="1" si="32"/>
        <v>1.0233405672574831</v>
      </c>
      <c r="J189" s="810">
        <f t="shared" ca="1" si="33"/>
        <v>1.0185499415018033</v>
      </c>
      <c r="K189" s="813">
        <f t="shared" ca="1" si="34"/>
        <v>21.430000000000003</v>
      </c>
      <c r="L189" s="921">
        <f t="shared" si="26"/>
        <v>177</v>
      </c>
      <c r="M189" s="809">
        <f t="shared" ca="1" si="27"/>
        <v>1.0258405672574831</v>
      </c>
      <c r="N189" s="810">
        <f t="shared" si="35"/>
        <v>1.0049999999999999</v>
      </c>
      <c r="O189" s="813">
        <f t="shared" ca="1" si="36"/>
        <v>1.409454688092179</v>
      </c>
      <c r="Q189" s="809">
        <f t="shared" ca="1" si="28"/>
        <v>1.0258405672574831</v>
      </c>
      <c r="R189" s="810">
        <f t="shared" si="37"/>
        <v>0</v>
      </c>
      <c r="S189" s="813">
        <f t="shared" ca="1" si="38"/>
        <v>1.3270701780303287</v>
      </c>
    </row>
    <row r="190" spans="1:19">
      <c r="A190" s="811">
        <f t="shared" si="29"/>
        <v>40603</v>
      </c>
      <c r="B190" s="1102">
        <f ca="1">'[2]Monthly Curve Calc.'!B193</f>
        <v>415.88446395144121</v>
      </c>
      <c r="C190" s="1103">
        <f ca="1">'[2]Monthly Curve Calc.'!C193</f>
        <v>231.06587080078299</v>
      </c>
      <c r="D190" s="1103">
        <f ca="1">'[2]Monthly Curve Calc.'!D193</f>
        <v>180.53943118001848</v>
      </c>
      <c r="E190" s="1103">
        <f ca="1">'[2]Monthly Curve Calc.'!E193</f>
        <v>21.855</v>
      </c>
      <c r="F190" s="1104">
        <f ca="1">'[2]Monthly Curve Calc.'!F193</f>
        <v>2.6643542737312305</v>
      </c>
      <c r="G190" s="812">
        <f t="shared" ca="1" si="30"/>
        <v>1.0720000000000005</v>
      </c>
      <c r="H190" s="810">
        <f t="shared" ca="1" si="31"/>
        <v>1.0258405672574831</v>
      </c>
      <c r="I190" s="810">
        <f t="shared" ca="1" si="32"/>
        <v>1.0233405672574831</v>
      </c>
      <c r="J190" s="810">
        <f t="shared" ca="1" si="33"/>
        <v>1.0185499415018033</v>
      </c>
      <c r="K190" s="813">
        <f t="shared" ca="1" si="34"/>
        <v>21.430000000000003</v>
      </c>
      <c r="L190" s="921">
        <f t="shared" si="26"/>
        <v>178</v>
      </c>
      <c r="M190" s="809">
        <f t="shared" ca="1" si="27"/>
        <v>1.0258405672574831</v>
      </c>
      <c r="N190" s="810">
        <f t="shared" si="35"/>
        <v>1.0049999999999999</v>
      </c>
      <c r="O190" s="813">
        <f t="shared" ca="1" si="36"/>
        <v>1.409454688092179</v>
      </c>
      <c r="Q190" s="809">
        <f t="shared" ca="1" si="28"/>
        <v>1.0258405672574831</v>
      </c>
      <c r="R190" s="810">
        <f t="shared" si="37"/>
        <v>0</v>
      </c>
      <c r="S190" s="813">
        <f t="shared" ca="1" si="38"/>
        <v>1.3270701780303287</v>
      </c>
    </row>
    <row r="191" spans="1:19">
      <c r="A191" s="811">
        <f t="shared" si="29"/>
        <v>40634</v>
      </c>
      <c r="B191" s="1102">
        <f ca="1">'[2]Monthly Curve Calc.'!B194</f>
        <v>418.30102521558666</v>
      </c>
      <c r="C191" s="1103">
        <f ca="1">'[2]Monthly Curve Calc.'!C194</f>
        <v>231.54714142890248</v>
      </c>
      <c r="D191" s="1103">
        <f ca="1">'[2]Monthly Curve Calc.'!D194</f>
        <v>180.79920953526431</v>
      </c>
      <c r="E191" s="1103">
        <f ca="1">'[2]Monthly Curve Calc.'!E194</f>
        <v>21.905000000000001</v>
      </c>
      <c r="F191" s="1104">
        <f ca="1">'[2]Monthly Curve Calc.'!F194</f>
        <v>2.6689767362118406</v>
      </c>
      <c r="G191" s="812">
        <f t="shared" ca="1" si="30"/>
        <v>1.0720000000000005</v>
      </c>
      <c r="H191" s="810">
        <f t="shared" ca="1" si="31"/>
        <v>1.0258405672574831</v>
      </c>
      <c r="I191" s="810">
        <f t="shared" ca="1" si="32"/>
        <v>1.0233405672574831</v>
      </c>
      <c r="J191" s="810">
        <f t="shared" ca="1" si="33"/>
        <v>1.0185499415018033</v>
      </c>
      <c r="K191" s="813">
        <f t="shared" ca="1" si="34"/>
        <v>21.430000000000003</v>
      </c>
      <c r="L191" s="921">
        <f t="shared" si="26"/>
        <v>179</v>
      </c>
      <c r="M191" s="809">
        <f t="shared" ca="1" si="27"/>
        <v>1.0258405672574831</v>
      </c>
      <c r="N191" s="810">
        <f t="shared" si="35"/>
        <v>1.0049999999999999</v>
      </c>
      <c r="O191" s="813">
        <f t="shared" ca="1" si="36"/>
        <v>1.409454688092179</v>
      </c>
      <c r="Q191" s="809">
        <f t="shared" ca="1" si="28"/>
        <v>1.0258405672574831</v>
      </c>
      <c r="R191" s="810">
        <f t="shared" si="37"/>
        <v>0</v>
      </c>
      <c r="S191" s="813">
        <f t="shared" ca="1" si="38"/>
        <v>1.3270701780303287</v>
      </c>
    </row>
    <row r="192" spans="1:19">
      <c r="A192" s="811">
        <f t="shared" si="29"/>
        <v>40664</v>
      </c>
      <c r="B192" s="1102">
        <f ca="1">'[2]Monthly Curve Calc.'!B195</f>
        <v>420.73162828424648</v>
      </c>
      <c r="C192" s="1103">
        <f ca="1">'[2]Monthly Curve Calc.'!C195</f>
        <v>232.02941446130041</v>
      </c>
      <c r="D192" s="1103">
        <f ca="1">'[2]Monthly Curve Calc.'!D195</f>
        <v>181.05936168582684</v>
      </c>
      <c r="E192" s="1103">
        <f ca="1">'[2]Monthly Curve Calc.'!E195</f>
        <v>21.955000000000002</v>
      </c>
      <c r="F192" s="1104">
        <f ca="1">'[2]Monthly Curve Calc.'!F195</f>
        <v>2.6736072183314286</v>
      </c>
      <c r="G192" s="812">
        <f t="shared" ca="1" si="30"/>
        <v>1.0720000000000005</v>
      </c>
      <c r="H192" s="810">
        <f t="shared" ca="1" si="31"/>
        <v>1.0254766914317999</v>
      </c>
      <c r="I192" s="810">
        <f t="shared" ca="1" si="32"/>
        <v>1.0229766914317999</v>
      </c>
      <c r="J192" s="810">
        <f t="shared" ca="1" si="33"/>
        <v>1.0185499415018033</v>
      </c>
      <c r="K192" s="813">
        <f t="shared" ca="1" si="34"/>
        <v>21.430000000000003</v>
      </c>
      <c r="L192" s="921">
        <f t="shared" si="26"/>
        <v>180</v>
      </c>
      <c r="M192" s="809">
        <f t="shared" ca="1" si="27"/>
        <v>1.0254766914317999</v>
      </c>
      <c r="N192" s="810">
        <f t="shared" si="35"/>
        <v>1.0049999999999999</v>
      </c>
      <c r="O192" s="813">
        <f t="shared" ca="1" si="36"/>
        <v>1.4453629302678073</v>
      </c>
      <c r="Q192" s="809">
        <f t="shared" ca="1" si="28"/>
        <v>1.0254766914317999</v>
      </c>
      <c r="R192" s="810">
        <f t="shared" si="37"/>
        <v>0</v>
      </c>
      <c r="S192" s="813">
        <f t="shared" ca="1" si="38"/>
        <v>1.3270701780303287</v>
      </c>
    </row>
    <row r="193" spans="1:19">
      <c r="A193" s="811">
        <f t="shared" si="29"/>
        <v>40695</v>
      </c>
      <c r="B193" s="1102">
        <f ca="1">'[2]Monthly Curve Calc.'!B196</f>
        <v>423.17635474950646</v>
      </c>
      <c r="C193" s="1103">
        <f ca="1">'[2]Monthly Curve Calc.'!C196</f>
        <v>232.51269198581318</v>
      </c>
      <c r="D193" s="1103">
        <f ca="1">'[2]Monthly Curve Calc.'!D196</f>
        <v>181.3198881695605</v>
      </c>
      <c r="E193" s="1103">
        <f ca="1">'[2]Monthly Curve Calc.'!E196</f>
        <v>22.005000000000003</v>
      </c>
      <c r="F193" s="1104">
        <f ca="1">'[2]Monthly Curve Calc.'!F196</f>
        <v>2.6782457340034895</v>
      </c>
      <c r="G193" s="812">
        <f t="shared" ca="1" si="30"/>
        <v>1.0720000000000005</v>
      </c>
      <c r="H193" s="810">
        <f t="shared" ca="1" si="31"/>
        <v>1.0254766914317999</v>
      </c>
      <c r="I193" s="810">
        <f t="shared" ca="1" si="32"/>
        <v>1.0229766914317999</v>
      </c>
      <c r="J193" s="810">
        <f t="shared" ca="1" si="33"/>
        <v>1.0185499415018033</v>
      </c>
      <c r="K193" s="813">
        <f t="shared" ca="1" si="34"/>
        <v>21.430000000000003</v>
      </c>
      <c r="L193" s="921">
        <f t="shared" si="26"/>
        <v>181</v>
      </c>
      <c r="M193" s="809">
        <f t="shared" ca="1" si="27"/>
        <v>1.0254766914317999</v>
      </c>
      <c r="N193" s="810">
        <f t="shared" si="35"/>
        <v>1.0049999999999999</v>
      </c>
      <c r="O193" s="813">
        <f t="shared" ca="1" si="36"/>
        <v>1.4453629302678073</v>
      </c>
      <c r="Q193" s="809">
        <f t="shared" ca="1" si="28"/>
        <v>1.0254766914317999</v>
      </c>
      <c r="R193" s="810">
        <f t="shared" si="37"/>
        <v>0</v>
      </c>
      <c r="S193" s="813">
        <f t="shared" ca="1" si="38"/>
        <v>1.360879535464351</v>
      </c>
    </row>
    <row r="194" spans="1:19">
      <c r="A194" s="811">
        <f t="shared" si="29"/>
        <v>40725</v>
      </c>
      <c r="B194" s="1102">
        <f ca="1">'[2]Monthly Curve Calc.'!B197</f>
        <v>425.63528667755588</v>
      </c>
      <c r="C194" s="1103">
        <f ca="1">'[2]Monthly Curve Calc.'!C197</f>
        <v>232.99697609462581</v>
      </c>
      <c r="D194" s="1103">
        <f ca="1">'[2]Monthly Curve Calc.'!D197</f>
        <v>181.58078952509365</v>
      </c>
      <c r="E194" s="1103">
        <f ca="1">'[2]Monthly Curve Calc.'!E197</f>
        <v>22.055000000000003</v>
      </c>
      <c r="F194" s="1104">
        <f ca="1">'[2]Monthly Curve Calc.'!F197</f>
        <v>2.6828922971656577</v>
      </c>
      <c r="G194" s="812">
        <f t="shared" ca="1" si="30"/>
        <v>1.0720000000000005</v>
      </c>
      <c r="H194" s="810">
        <f t="shared" ca="1" si="31"/>
        <v>1.0254766914317999</v>
      </c>
      <c r="I194" s="810">
        <f t="shared" ca="1" si="32"/>
        <v>1.0229766914317999</v>
      </c>
      <c r="J194" s="810">
        <f t="shared" ca="1" si="33"/>
        <v>1.0185499415018033</v>
      </c>
      <c r="K194" s="813">
        <f t="shared" ca="1" si="34"/>
        <v>21.430000000000003</v>
      </c>
      <c r="L194" s="921">
        <f t="shared" si="26"/>
        <v>182</v>
      </c>
      <c r="M194" s="809">
        <f t="shared" ca="1" si="27"/>
        <v>1.0254766914317999</v>
      </c>
      <c r="N194" s="810">
        <f t="shared" si="35"/>
        <v>1.0049999999999999</v>
      </c>
      <c r="O194" s="813">
        <f t="shared" ca="1" si="36"/>
        <v>1.4453629302678073</v>
      </c>
      <c r="Q194" s="809">
        <f t="shared" ca="1" si="28"/>
        <v>1.0254766914317999</v>
      </c>
      <c r="R194" s="810">
        <f t="shared" si="37"/>
        <v>0</v>
      </c>
      <c r="S194" s="813">
        <f t="shared" ca="1" si="38"/>
        <v>1.360879535464351</v>
      </c>
    </row>
    <row r="195" spans="1:19">
      <c r="A195" s="811">
        <f t="shared" si="29"/>
        <v>40756</v>
      </c>
      <c r="B195" s="1102">
        <f ca="1">'[2]Monthly Curve Calc.'!B198</f>
        <v>428.10850661144241</v>
      </c>
      <c r="C195" s="1103">
        <f ca="1">'[2]Monthly Curve Calc.'!C198</f>
        <v>233.48226888428096</v>
      </c>
      <c r="D195" s="1103">
        <f ca="1">'[2]Monthly Curve Calc.'!D198</f>
        <v>181.84206629182964</v>
      </c>
      <c r="E195" s="1103">
        <f ca="1">'[2]Monthly Curve Calc.'!E198</f>
        <v>22.105000000000004</v>
      </c>
      <c r="F195" s="1104">
        <f ca="1">'[2]Monthly Curve Calc.'!F198</f>
        <v>2.6875469217797479</v>
      </c>
      <c r="G195" s="812">
        <f t="shared" ca="1" si="30"/>
        <v>1.0720000000000005</v>
      </c>
      <c r="H195" s="810">
        <f t="shared" ca="1" si="31"/>
        <v>1.0254766914317999</v>
      </c>
      <c r="I195" s="810">
        <f t="shared" ca="1" si="32"/>
        <v>1.0229766914317999</v>
      </c>
      <c r="J195" s="810">
        <f t="shared" ca="1" si="33"/>
        <v>1.0185499415018033</v>
      </c>
      <c r="K195" s="813">
        <f t="shared" ca="1" si="34"/>
        <v>21.430000000000003</v>
      </c>
      <c r="L195" s="921">
        <f t="shared" si="26"/>
        <v>183</v>
      </c>
      <c r="M195" s="809">
        <f t="shared" ca="1" si="27"/>
        <v>1.0254766914317999</v>
      </c>
      <c r="N195" s="810">
        <f t="shared" si="35"/>
        <v>1.0049999999999999</v>
      </c>
      <c r="O195" s="813">
        <f t="shared" ca="1" si="36"/>
        <v>1.4453629302678073</v>
      </c>
      <c r="Q195" s="809">
        <f t="shared" ca="1" si="28"/>
        <v>1.0254766914317999</v>
      </c>
      <c r="R195" s="810">
        <f t="shared" si="37"/>
        <v>0</v>
      </c>
      <c r="S195" s="813">
        <f t="shared" ca="1" si="38"/>
        <v>1.360879535464351</v>
      </c>
    </row>
    <row r="196" spans="1:19">
      <c r="A196" s="811">
        <f t="shared" si="29"/>
        <v>40787</v>
      </c>
      <c r="B196" s="1102">
        <f ca="1">'[2]Monthly Curve Calc.'!B199</f>
        <v>430.59609757384288</v>
      </c>
      <c r="C196" s="1103">
        <f ca="1">'[2]Monthly Curve Calc.'!C199</f>
        <v>233.96857245568802</v>
      </c>
      <c r="D196" s="1103">
        <f ca="1">'[2]Monthly Curve Calc.'!D199</f>
        <v>182.10371900994801</v>
      </c>
      <c r="E196" s="1103">
        <f ca="1">'[2]Monthly Curve Calc.'!E199</f>
        <v>22.155000000000005</v>
      </c>
      <c r="F196" s="1104">
        <f ca="1">'[2]Monthly Curve Calc.'!F199</f>
        <v>2.6922096218317977</v>
      </c>
      <c r="G196" s="812">
        <f t="shared" ca="1" si="30"/>
        <v>1.0720000000000005</v>
      </c>
      <c r="H196" s="810">
        <f t="shared" ca="1" si="31"/>
        <v>1.0254766914317999</v>
      </c>
      <c r="I196" s="810">
        <f t="shared" ca="1" si="32"/>
        <v>1.0229766914317999</v>
      </c>
      <c r="J196" s="810">
        <f t="shared" ca="1" si="33"/>
        <v>1.0185499415018033</v>
      </c>
      <c r="K196" s="813">
        <f t="shared" ca="1" si="34"/>
        <v>21.430000000000003</v>
      </c>
      <c r="L196" s="921">
        <f t="shared" si="26"/>
        <v>184</v>
      </c>
      <c r="M196" s="809">
        <f t="shared" ca="1" si="27"/>
        <v>1.0254766914317999</v>
      </c>
      <c r="N196" s="810">
        <f t="shared" si="35"/>
        <v>1.0049999999999999</v>
      </c>
      <c r="O196" s="813">
        <f t="shared" ca="1" si="36"/>
        <v>1.4453629302678073</v>
      </c>
      <c r="Q196" s="809">
        <f t="shared" ca="1" si="28"/>
        <v>1.0254766914317999</v>
      </c>
      <c r="R196" s="810">
        <f t="shared" si="37"/>
        <v>0</v>
      </c>
      <c r="S196" s="813">
        <f t="shared" ca="1" si="38"/>
        <v>1.360879535464351</v>
      </c>
    </row>
    <row r="197" spans="1:19">
      <c r="A197" s="811">
        <f t="shared" si="29"/>
        <v>40817</v>
      </c>
      <c r="B197" s="1102">
        <f ca="1">'[2]Monthly Curve Calc.'!B200</f>
        <v>433.09814306985027</v>
      </c>
      <c r="C197" s="1103">
        <f ca="1">'[2]Monthly Curve Calc.'!C200</f>
        <v>234.45588891413226</v>
      </c>
      <c r="D197" s="1103">
        <f ca="1">'[2]Monthly Curve Calc.'!D200</f>
        <v>182.36574822040555</v>
      </c>
      <c r="E197" s="1103">
        <f ca="1">'[2]Monthly Curve Calc.'!E200</f>
        <v>22.205000000000005</v>
      </c>
      <c r="F197" s="1104">
        <f ca="1">'[2]Monthly Curve Calc.'!F200</f>
        <v>2.6968804113321094</v>
      </c>
      <c r="G197" s="812">
        <f t="shared" ca="1" si="30"/>
        <v>1.0720000000000005</v>
      </c>
      <c r="H197" s="810">
        <f t="shared" ca="1" si="31"/>
        <v>1.0254766914317999</v>
      </c>
      <c r="I197" s="810">
        <f t="shared" ca="1" si="32"/>
        <v>1.0229766914317999</v>
      </c>
      <c r="J197" s="810">
        <f t="shared" ca="1" si="33"/>
        <v>1.0185499415018033</v>
      </c>
      <c r="K197" s="813">
        <f t="shared" ca="1" si="34"/>
        <v>21.430000000000003</v>
      </c>
      <c r="L197" s="921">
        <f t="shared" si="26"/>
        <v>185</v>
      </c>
      <c r="M197" s="809">
        <f t="shared" ca="1" si="27"/>
        <v>1.0254766914317999</v>
      </c>
      <c r="N197" s="810">
        <f t="shared" si="35"/>
        <v>1.0049999999999999</v>
      </c>
      <c r="O197" s="813">
        <f t="shared" ca="1" si="36"/>
        <v>1.4453629302678073</v>
      </c>
      <c r="Q197" s="809">
        <f t="shared" ca="1" si="28"/>
        <v>1.0254766914317999</v>
      </c>
      <c r="R197" s="810">
        <f t="shared" si="37"/>
        <v>0</v>
      </c>
      <c r="S197" s="813">
        <f t="shared" ca="1" si="38"/>
        <v>1.360879535464351</v>
      </c>
    </row>
    <row r="198" spans="1:19">
      <c r="A198" s="811">
        <f t="shared" si="29"/>
        <v>40848</v>
      </c>
      <c r="B198" s="1102">
        <f ca="1">'[2]Monthly Curve Calc.'!B201</f>
        <v>435.61472708977681</v>
      </c>
      <c r="C198" s="1103">
        <f ca="1">'[2]Monthly Curve Calc.'!C201</f>
        <v>234.94422036928387</v>
      </c>
      <c r="D198" s="1103">
        <f ca="1">'[2]Monthly Curve Calc.'!D201</f>
        <v>182.62815446493744</v>
      </c>
      <c r="E198" s="1103">
        <f ca="1">'[2]Monthly Curve Calc.'!E201</f>
        <v>22.255000000000006</v>
      </c>
      <c r="F198" s="1104">
        <f ca="1">'[2]Monthly Curve Calc.'!F201</f>
        <v>2.7015593043152926</v>
      </c>
      <c r="G198" s="812">
        <f t="shared" ca="1" si="30"/>
        <v>1.0720000000000005</v>
      </c>
      <c r="H198" s="810">
        <f t="shared" ca="1" si="31"/>
        <v>1.0254766914317999</v>
      </c>
      <c r="I198" s="810">
        <f t="shared" ca="1" si="32"/>
        <v>1.0229766914317999</v>
      </c>
      <c r="J198" s="810">
        <f t="shared" ca="1" si="33"/>
        <v>1.0185499415018033</v>
      </c>
      <c r="K198" s="813">
        <f t="shared" ca="1" si="34"/>
        <v>21.430000000000003</v>
      </c>
      <c r="L198" s="921">
        <f t="shared" si="26"/>
        <v>186</v>
      </c>
      <c r="M198" s="809">
        <f t="shared" ca="1" si="27"/>
        <v>1.0254766914317999</v>
      </c>
      <c r="N198" s="810">
        <f t="shared" si="35"/>
        <v>1.0049999999999999</v>
      </c>
      <c r="O198" s="813">
        <f t="shared" ca="1" si="36"/>
        <v>1.4453629302678073</v>
      </c>
      <c r="Q198" s="809">
        <f t="shared" ca="1" si="28"/>
        <v>1.0254766914317999</v>
      </c>
      <c r="R198" s="810">
        <f t="shared" si="37"/>
        <v>0</v>
      </c>
      <c r="S198" s="813">
        <f t="shared" ca="1" si="38"/>
        <v>1.360879535464351</v>
      </c>
    </row>
    <row r="199" spans="1:19">
      <c r="A199" s="811">
        <f t="shared" si="29"/>
        <v>40878</v>
      </c>
      <c r="B199" s="1102">
        <f ca="1">'[2]Monthly Curve Calc.'!B202</f>
        <v>438.14593411197365</v>
      </c>
      <c r="C199" s="1103">
        <f ca="1">'[2]Monthly Curve Calc.'!C202</f>
        <v>235.43356893520712</v>
      </c>
      <c r="D199" s="1103">
        <f ca="1">'[2]Monthly Curve Calc.'!D202</f>
        <v>182.89093828605837</v>
      </c>
      <c r="E199" s="1103">
        <f ca="1">'[2]Monthly Curve Calc.'!E202</f>
        <v>22.304999999999996</v>
      </c>
      <c r="F199" s="1104">
        <f ca="1">'[2]Monthly Curve Calc.'!F202</f>
        <v>2.7062463148403069</v>
      </c>
      <c r="G199" s="812">
        <f t="shared" ca="1" si="30"/>
        <v>1.0720000000000005</v>
      </c>
      <c r="H199" s="810">
        <f t="shared" ca="1" si="31"/>
        <v>1.0254766914317999</v>
      </c>
      <c r="I199" s="810">
        <f t="shared" ca="1" si="32"/>
        <v>1.0229766914317999</v>
      </c>
      <c r="J199" s="810">
        <f t="shared" ca="1" si="33"/>
        <v>1.0185499415018033</v>
      </c>
      <c r="K199" s="813">
        <f t="shared" ca="1" si="34"/>
        <v>21.430000000000003</v>
      </c>
      <c r="L199" s="921">
        <f t="shared" si="26"/>
        <v>187</v>
      </c>
      <c r="M199" s="809">
        <f t="shared" ca="1" si="27"/>
        <v>1.0254766914317999</v>
      </c>
      <c r="N199" s="810">
        <f t="shared" si="35"/>
        <v>1.0049999999999999</v>
      </c>
      <c r="O199" s="813">
        <f t="shared" ca="1" si="36"/>
        <v>1.4453629302678073</v>
      </c>
      <c r="Q199" s="809">
        <f t="shared" ca="1" si="28"/>
        <v>1.0254766914317999</v>
      </c>
      <c r="R199" s="810">
        <f t="shared" si="37"/>
        <v>0</v>
      </c>
      <c r="S199" s="813">
        <f t="shared" ca="1" si="38"/>
        <v>1.360879535464351</v>
      </c>
    </row>
    <row r="200" spans="1:19">
      <c r="A200" s="811">
        <f t="shared" si="29"/>
        <v>40909</v>
      </c>
      <c r="B200" s="1102">
        <f ca="1">'[2]Monthly Curve Calc.'!B203</f>
        <v>440.69184910566634</v>
      </c>
      <c r="C200" s="1103">
        <f ca="1">'[2]Monthly Curve Calc.'!C203</f>
        <v>235.92010131714585</v>
      </c>
      <c r="D200" s="1103">
        <f ca="1">'[2]Monthly Curve Calc.'!D203</f>
        <v>183.1392170857919</v>
      </c>
      <c r="E200" s="1103">
        <f ca="1">'[2]Monthly Curve Calc.'!E203</f>
        <v>22.354999999999997</v>
      </c>
      <c r="F200" s="1104">
        <f ca="1">'[2]Monthly Curve Calc.'!F203</f>
        <v>2.7107133756643873</v>
      </c>
      <c r="G200" s="812">
        <f t="shared" ca="1" si="30"/>
        <v>1.0720000000000005</v>
      </c>
      <c r="H200" s="810">
        <f t="shared" ca="1" si="31"/>
        <v>1.0254766914317999</v>
      </c>
      <c r="I200" s="810">
        <f t="shared" ca="1" si="32"/>
        <v>1.0229766914317999</v>
      </c>
      <c r="J200" s="810">
        <f t="shared" ca="1" si="33"/>
        <v>1.0174041174565722</v>
      </c>
      <c r="K200" s="813">
        <f t="shared" ca="1" si="34"/>
        <v>22.03</v>
      </c>
      <c r="L200" s="921">
        <f t="shared" si="26"/>
        <v>188</v>
      </c>
      <c r="M200" s="809">
        <f t="shared" ca="1" si="27"/>
        <v>1.0254766914317999</v>
      </c>
      <c r="N200" s="810">
        <f t="shared" si="35"/>
        <v>1.0049999999999999</v>
      </c>
      <c r="O200" s="813">
        <f t="shared" ca="1" si="36"/>
        <v>1.4453629302678073</v>
      </c>
      <c r="Q200" s="809">
        <f t="shared" ca="1" si="28"/>
        <v>1.0254766914317999</v>
      </c>
      <c r="R200" s="810">
        <f t="shared" si="37"/>
        <v>0</v>
      </c>
      <c r="S200" s="813">
        <f t="shared" ca="1" si="38"/>
        <v>1.360879535464351</v>
      </c>
    </row>
    <row r="201" spans="1:19">
      <c r="A201" s="811">
        <f t="shared" si="29"/>
        <v>40940</v>
      </c>
      <c r="B201" s="1102">
        <f ca="1">'[2]Monthly Curve Calc.'!B204</f>
        <v>443.25255753380742</v>
      </c>
      <c r="C201" s="1103">
        <f ca="1">'[2]Monthly Curve Calc.'!C204</f>
        <v>236.40763913666828</v>
      </c>
      <c r="D201" s="1103">
        <f ca="1">'[2]Monthly Curve Calc.'!D204</f>
        <v>183.38783292990266</v>
      </c>
      <c r="E201" s="1103">
        <f ca="1">'[2]Monthly Curve Calc.'!E204</f>
        <v>22.404999999999998</v>
      </c>
      <c r="F201" s="1104">
        <f ca="1">'[2]Monthly Curve Calc.'!F204</f>
        <v>2.7151878100347324</v>
      </c>
      <c r="G201" s="812">
        <f t="shared" ca="1" si="30"/>
        <v>1.0720000000000005</v>
      </c>
      <c r="H201" s="810">
        <f t="shared" ca="1" si="31"/>
        <v>1.0254766914317999</v>
      </c>
      <c r="I201" s="810">
        <f t="shared" ca="1" si="32"/>
        <v>1.0229766914317999</v>
      </c>
      <c r="J201" s="810">
        <f t="shared" ca="1" si="33"/>
        <v>1.0174041174565722</v>
      </c>
      <c r="K201" s="813">
        <f t="shared" ca="1" si="34"/>
        <v>22.03</v>
      </c>
      <c r="L201" s="921">
        <f t="shared" si="26"/>
        <v>189</v>
      </c>
      <c r="M201" s="809">
        <f t="shared" ca="1" si="27"/>
        <v>1.0254766914317999</v>
      </c>
      <c r="N201" s="810">
        <f t="shared" si="35"/>
        <v>1.0049999999999999</v>
      </c>
      <c r="O201" s="813">
        <f t="shared" ca="1" si="36"/>
        <v>1.4453629302678073</v>
      </c>
      <c r="Q201" s="809">
        <f t="shared" ca="1" si="28"/>
        <v>1.0254766914317999</v>
      </c>
      <c r="R201" s="810">
        <f t="shared" si="37"/>
        <v>0</v>
      </c>
      <c r="S201" s="813">
        <f t="shared" ca="1" si="38"/>
        <v>1.360879535464351</v>
      </c>
    </row>
    <row r="202" spans="1:19">
      <c r="A202" s="811">
        <f t="shared" si="29"/>
        <v>40969</v>
      </c>
      <c r="B202" s="1102">
        <f ca="1">'[2]Monthly Curve Calc.'!B205</f>
        <v>445.82814535594514</v>
      </c>
      <c r="C202" s="1103">
        <f ca="1">'[2]Monthly Curve Calc.'!C205</f>
        <v>236.89618447154925</v>
      </c>
      <c r="D202" s="1103">
        <f ca="1">'[2]Monthly Curve Calc.'!D205</f>
        <v>183.63678627593643</v>
      </c>
      <c r="E202" s="1103">
        <f ca="1">'[2]Monthly Curve Calc.'!E205</f>
        <v>22.454999999999998</v>
      </c>
      <c r="F202" s="1104">
        <f ca="1">'[2]Monthly Curve Calc.'!F205</f>
        <v>2.7196696301224734</v>
      </c>
      <c r="G202" s="812">
        <f t="shared" ca="1" si="30"/>
        <v>1.0720000000000005</v>
      </c>
      <c r="H202" s="810">
        <f t="shared" ca="1" si="31"/>
        <v>1.0254766914317999</v>
      </c>
      <c r="I202" s="810">
        <f t="shared" ca="1" si="32"/>
        <v>1.0229766914317999</v>
      </c>
      <c r="J202" s="810">
        <f t="shared" ca="1" si="33"/>
        <v>1.0174041174565722</v>
      </c>
      <c r="K202" s="813">
        <f t="shared" ca="1" si="34"/>
        <v>22.03</v>
      </c>
      <c r="L202" s="921">
        <f t="shared" si="26"/>
        <v>190</v>
      </c>
      <c r="M202" s="809">
        <f t="shared" ca="1" si="27"/>
        <v>1.0254766914317999</v>
      </c>
      <c r="N202" s="810">
        <f t="shared" si="35"/>
        <v>1.0049999999999999</v>
      </c>
      <c r="O202" s="813">
        <f t="shared" ca="1" si="36"/>
        <v>1.4453629302678073</v>
      </c>
      <c r="Q202" s="809">
        <f t="shared" ca="1" si="28"/>
        <v>1.0254766914317999</v>
      </c>
      <c r="R202" s="810">
        <f t="shared" si="37"/>
        <v>0</v>
      </c>
      <c r="S202" s="813">
        <f t="shared" ca="1" si="38"/>
        <v>1.360879535464351</v>
      </c>
    </row>
    <row r="203" spans="1:19">
      <c r="A203" s="811">
        <f t="shared" si="29"/>
        <v>41000</v>
      </c>
      <c r="B203" s="1102">
        <f ca="1">'[2]Monthly Curve Calc.'!B206</f>
        <v>448.41869903110904</v>
      </c>
      <c r="C203" s="1103">
        <f ca="1">'[2]Monthly Curve Calc.'!C206</f>
        <v>237.38573940385737</v>
      </c>
      <c r="D203" s="1103">
        <f ca="1">'[2]Monthly Curve Calc.'!D206</f>
        <v>183.88607758206007</v>
      </c>
      <c r="E203" s="1103">
        <f ca="1">'[2]Monthly Curve Calc.'!E206</f>
        <v>22.504999999999999</v>
      </c>
      <c r="F203" s="1104">
        <f ca="1">'[2]Monthly Curve Calc.'!F206</f>
        <v>2.7241588481188321</v>
      </c>
      <c r="G203" s="812">
        <f t="shared" ca="1" si="30"/>
        <v>1.0720000000000005</v>
      </c>
      <c r="H203" s="810">
        <f t="shared" ca="1" si="31"/>
        <v>1.0254766914317999</v>
      </c>
      <c r="I203" s="810">
        <f t="shared" ca="1" si="32"/>
        <v>1.0229766914317999</v>
      </c>
      <c r="J203" s="810">
        <f t="shared" ca="1" si="33"/>
        <v>1.0174041174565722</v>
      </c>
      <c r="K203" s="813">
        <f t="shared" ca="1" si="34"/>
        <v>22.03</v>
      </c>
      <c r="L203" s="921">
        <f t="shared" si="26"/>
        <v>191</v>
      </c>
      <c r="M203" s="809">
        <f t="shared" ca="1" si="27"/>
        <v>1.0254766914317999</v>
      </c>
      <c r="N203" s="810">
        <f t="shared" si="35"/>
        <v>1.0049999999999999</v>
      </c>
      <c r="O203" s="813">
        <f t="shared" ca="1" si="36"/>
        <v>1.4453629302678073</v>
      </c>
      <c r="Q203" s="809">
        <f t="shared" ca="1" si="28"/>
        <v>1.0254766914317999</v>
      </c>
      <c r="R203" s="810">
        <f t="shared" si="37"/>
        <v>0</v>
      </c>
      <c r="S203" s="813">
        <f t="shared" ca="1" si="38"/>
        <v>1.360879535464351</v>
      </c>
    </row>
    <row r="204" spans="1:19">
      <c r="A204" s="811">
        <f t="shared" si="29"/>
        <v>41030</v>
      </c>
      <c r="B204" s="1102">
        <f ca="1">'[2]Monthly Curve Calc.'!B207</f>
        <v>451.02430552071235</v>
      </c>
      <c r="C204" s="1103">
        <f ca="1">'[2]Monthly Curve Calc.'!C207</f>
        <v>237.87630601996395</v>
      </c>
      <c r="D204" s="1103">
        <f ca="1">'[2]Monthly Curve Calc.'!D207</f>
        <v>184.13570730706246</v>
      </c>
      <c r="E204" s="1103">
        <f ca="1">'[2]Monthly Curve Calc.'!E207</f>
        <v>22.555</v>
      </c>
      <c r="F204" s="1104">
        <f ca="1">'[2]Monthly Curve Calc.'!F207</f>
        <v>2.7286554762351538</v>
      </c>
      <c r="G204" s="812">
        <f t="shared" ca="1" si="30"/>
        <v>1.0720000000000003</v>
      </c>
      <c r="H204" s="810">
        <f t="shared" ca="1" si="31"/>
        <v>1.0252155908249365</v>
      </c>
      <c r="I204" s="810">
        <f t="shared" ca="1" si="32"/>
        <v>1.0227155908249366</v>
      </c>
      <c r="J204" s="810">
        <f t="shared" ca="1" si="33"/>
        <v>1.0174041174565722</v>
      </c>
      <c r="K204" s="813">
        <f t="shared" ca="1" si="34"/>
        <v>22.03</v>
      </c>
      <c r="L204" s="921">
        <f t="shared" si="26"/>
        <v>192</v>
      </c>
      <c r="M204" s="809">
        <f t="shared" ca="1" si="27"/>
        <v>1.0252155908249365</v>
      </c>
      <c r="N204" s="810">
        <f t="shared" si="35"/>
        <v>1.0049999999999999</v>
      </c>
      <c r="O204" s="813">
        <f t="shared" ca="1" si="36"/>
        <v>1.4818086105109716</v>
      </c>
      <c r="Q204" s="809">
        <f t="shared" ca="1" si="28"/>
        <v>1.0252155908249365</v>
      </c>
      <c r="R204" s="810">
        <f t="shared" si="37"/>
        <v>0</v>
      </c>
      <c r="S204" s="813">
        <f t="shared" ca="1" si="38"/>
        <v>1.360879535464351</v>
      </c>
    </row>
    <row r="205" spans="1:19">
      <c r="A205" s="811">
        <f t="shared" si="29"/>
        <v>41061</v>
      </c>
      <c r="B205" s="1102">
        <f ca="1">'[2]Monthly Curve Calc.'!B208</f>
        <v>453.64505229147107</v>
      </c>
      <c r="C205" s="1103">
        <f ca="1">'[2]Monthly Curve Calc.'!C208</f>
        <v>238.36788641055188</v>
      </c>
      <c r="D205" s="1103">
        <f ca="1">'[2]Monthly Curve Calc.'!D208</f>
        <v>184.3856759103553</v>
      </c>
      <c r="E205" s="1103">
        <f ca="1">'[2]Monthly Curve Calc.'!E208</f>
        <v>22.605</v>
      </c>
      <c r="F205" s="1104">
        <f ca="1">'[2]Monthly Curve Calc.'!F208</f>
        <v>2.7331595267029405</v>
      </c>
      <c r="G205" s="812">
        <f t="shared" ca="1" si="30"/>
        <v>1.0720000000000003</v>
      </c>
      <c r="H205" s="810">
        <f t="shared" ca="1" si="31"/>
        <v>1.0252155908249365</v>
      </c>
      <c r="I205" s="810">
        <f t="shared" ca="1" si="32"/>
        <v>1.0227155908249366</v>
      </c>
      <c r="J205" s="810">
        <f t="shared" ca="1" si="33"/>
        <v>1.0174041174565722</v>
      </c>
      <c r="K205" s="813">
        <f t="shared" ca="1" si="34"/>
        <v>22.03</v>
      </c>
      <c r="L205" s="921">
        <f t="shared" ref="L205:L268" si="39">L204+1</f>
        <v>193</v>
      </c>
      <c r="M205" s="809">
        <f t="shared" ca="1" si="27"/>
        <v>1.0252155908249365</v>
      </c>
      <c r="N205" s="810">
        <f t="shared" si="35"/>
        <v>1.0049999999999999</v>
      </c>
      <c r="O205" s="813">
        <f t="shared" ca="1" si="36"/>
        <v>1.4818086105109716</v>
      </c>
      <c r="Q205" s="809">
        <f t="shared" ca="1" si="28"/>
        <v>1.0252155908249365</v>
      </c>
      <c r="R205" s="810">
        <f t="shared" si="37"/>
        <v>0</v>
      </c>
      <c r="S205" s="813">
        <f t="shared" ca="1" si="38"/>
        <v>1.3951949169926499</v>
      </c>
    </row>
    <row r="206" spans="1:19">
      <c r="A206" s="811">
        <f t="shared" ca="1" si="29"/>
        <v>41091</v>
      </c>
      <c r="B206" s="1102">
        <f ca="1">'[2]Monthly Curve Calc.'!B209</f>
        <v>456.28102731834008</v>
      </c>
      <c r="C206" s="1103">
        <f ca="1">'[2]Monthly Curve Calc.'!C209</f>
        <v>238.86048267062446</v>
      </c>
      <c r="D206" s="1103">
        <f ca="1">'[2]Monthly Curve Calc.'!D209</f>
        <v>184.63598385197389</v>
      </c>
      <c r="E206" s="1103">
        <f ca="1">'[2]Monthly Curve Calc.'!E209</f>
        <v>22.655000000000001</v>
      </c>
      <c r="F206" s="1104">
        <f ca="1">'[2]Monthly Curve Calc.'!F209</f>
        <v>2.7376710117738834</v>
      </c>
      <c r="G206" s="812">
        <f t="shared" ca="1" si="30"/>
        <v>1.0720000000000003</v>
      </c>
      <c r="H206" s="810">
        <f t="shared" ca="1" si="31"/>
        <v>1.0252155908249365</v>
      </c>
      <c r="I206" s="810">
        <f t="shared" ca="1" si="32"/>
        <v>1.0227155908249366</v>
      </c>
      <c r="J206" s="810">
        <f t="shared" ca="1" si="33"/>
        <v>1.0174041174565722</v>
      </c>
      <c r="K206" s="813">
        <f t="shared" ca="1" si="34"/>
        <v>22.03</v>
      </c>
      <c r="L206" s="921">
        <f t="shared" si="39"/>
        <v>194</v>
      </c>
      <c r="M206" s="809">
        <f t="shared" ca="1" si="27"/>
        <v>1.0252155908249365</v>
      </c>
      <c r="N206" s="810">
        <f t="shared" si="35"/>
        <v>1.0049999999999999</v>
      </c>
      <c r="O206" s="813">
        <f t="shared" ca="1" si="36"/>
        <v>1.4818086105109716</v>
      </c>
      <c r="Q206" s="809">
        <f t="shared" ca="1" si="28"/>
        <v>1.0252155908249365</v>
      </c>
      <c r="R206" s="810">
        <f t="shared" si="37"/>
        <v>0</v>
      </c>
      <c r="S206" s="813">
        <f t="shared" ca="1" si="38"/>
        <v>1.3951949169926499</v>
      </c>
    </row>
    <row r="207" spans="1:19">
      <c r="A207" s="811">
        <f t="shared" ca="1" si="29"/>
        <v>41122</v>
      </c>
      <c r="B207" s="1102">
        <f ca="1">'[2]Monthly Curve Calc.'!B210</f>
        <v>458.93231908746645</v>
      </c>
      <c r="C207" s="1103">
        <f ca="1">'[2]Monthly Curve Calc.'!C210</f>
        <v>239.35409689951445</v>
      </c>
      <c r="D207" s="1103">
        <f ca="1">'[2]Monthly Curve Calc.'!D210</f>
        <v>184.88663159257811</v>
      </c>
      <c r="E207" s="1103">
        <f ca="1">'[2]Monthly Curve Calc.'!E210</f>
        <v>22.705000000000002</v>
      </c>
      <c r="F207" s="1104">
        <f ca="1">'[2]Monthly Curve Calc.'!F210</f>
        <v>2.7421899437198975</v>
      </c>
      <c r="G207" s="812">
        <f t="shared" ca="1" si="30"/>
        <v>1.0720000000000003</v>
      </c>
      <c r="H207" s="810">
        <f t="shared" ca="1" si="31"/>
        <v>1.0252155908249365</v>
      </c>
      <c r="I207" s="810">
        <f t="shared" ca="1" si="32"/>
        <v>1.0227155908249366</v>
      </c>
      <c r="J207" s="810">
        <f t="shared" ca="1" si="33"/>
        <v>1.0174041174565722</v>
      </c>
      <c r="K207" s="813">
        <f t="shared" ca="1" si="34"/>
        <v>22.03</v>
      </c>
      <c r="L207" s="921">
        <f t="shared" si="39"/>
        <v>195</v>
      </c>
      <c r="M207" s="809">
        <f t="shared" ca="1" si="27"/>
        <v>1.0252155908249365</v>
      </c>
      <c r="N207" s="810">
        <f t="shared" si="35"/>
        <v>1.0049999999999999</v>
      </c>
      <c r="O207" s="813">
        <f t="shared" ca="1" si="36"/>
        <v>1.4818086105109716</v>
      </c>
      <c r="Q207" s="809">
        <f t="shared" ca="1" si="28"/>
        <v>1.0252155908249365</v>
      </c>
      <c r="R207" s="810">
        <f t="shared" si="37"/>
        <v>0</v>
      </c>
      <c r="S207" s="813">
        <f t="shared" ca="1" si="38"/>
        <v>1.3951949169926499</v>
      </c>
    </row>
    <row r="208" spans="1:19">
      <c r="A208" s="811">
        <f t="shared" ca="1" si="29"/>
        <v>41153</v>
      </c>
      <c r="B208" s="1102">
        <f ca="1">'[2]Monthly Curve Calc.'!B211</f>
        <v>461.59901659915977</v>
      </c>
      <c r="C208" s="1103">
        <f ca="1">'[2]Monthly Curve Calc.'!C211</f>
        <v>239.84873120089293</v>
      </c>
      <c r="D208" s="1103">
        <f ca="1">'[2]Monthly Curve Calc.'!D211</f>
        <v>185.13761959345317</v>
      </c>
      <c r="E208" s="1103">
        <f ca="1">'[2]Monthly Curve Calc.'!E211</f>
        <v>22.755000000000003</v>
      </c>
      <c r="F208" s="1104">
        <f ca="1">'[2]Monthly Curve Calc.'!F211</f>
        <v>2.7467163348331547</v>
      </c>
      <c r="G208" s="812">
        <f t="shared" ca="1" si="30"/>
        <v>1.0720000000000003</v>
      </c>
      <c r="H208" s="810">
        <f t="shared" ca="1" si="31"/>
        <v>1.0252155908249365</v>
      </c>
      <c r="I208" s="810">
        <f t="shared" ca="1" si="32"/>
        <v>1.0227155908249366</v>
      </c>
      <c r="J208" s="810">
        <f t="shared" ca="1" si="33"/>
        <v>1.0174041174565722</v>
      </c>
      <c r="K208" s="813">
        <f t="shared" ca="1" si="34"/>
        <v>22.03</v>
      </c>
      <c r="L208" s="921">
        <f t="shared" si="39"/>
        <v>196</v>
      </c>
      <c r="M208" s="809">
        <f t="shared" ca="1" si="27"/>
        <v>1.0252155908249365</v>
      </c>
      <c r="N208" s="810">
        <f t="shared" si="35"/>
        <v>1.0049999999999999</v>
      </c>
      <c r="O208" s="813">
        <f t="shared" ca="1" si="36"/>
        <v>1.4818086105109716</v>
      </c>
      <c r="Q208" s="809">
        <f t="shared" ca="1" si="28"/>
        <v>1.0252155908249365</v>
      </c>
      <c r="R208" s="810">
        <f t="shared" si="37"/>
        <v>0</v>
      </c>
      <c r="S208" s="813">
        <f t="shared" ca="1" si="38"/>
        <v>1.3951949169926499</v>
      </c>
    </row>
    <row r="209" spans="1:19">
      <c r="A209" s="811">
        <f t="shared" ca="1" si="29"/>
        <v>41183</v>
      </c>
      <c r="B209" s="1102">
        <f ca="1">'[2]Monthly Curve Calc.'!B212</f>
        <v>464.28120937087965</v>
      </c>
      <c r="C209" s="1103">
        <f ca="1">'[2]Monthly Curve Calc.'!C212</f>
        <v>240.34438768277832</v>
      </c>
      <c r="D209" s="1103">
        <f ca="1">'[2]Monthly Curve Calc.'!D212</f>
        <v>185.38894831651047</v>
      </c>
      <c r="E209" s="1103">
        <f ca="1">'[2]Monthly Curve Calc.'!E212</f>
        <v>22.805000000000003</v>
      </c>
      <c r="F209" s="1104">
        <f ca="1">'[2]Monthly Curve Calc.'!F212</f>
        <v>2.7512501974261161</v>
      </c>
      <c r="G209" s="812">
        <f t="shared" ca="1" si="30"/>
        <v>1.0720000000000003</v>
      </c>
      <c r="H209" s="810">
        <f t="shared" ca="1" si="31"/>
        <v>1.0252155908249365</v>
      </c>
      <c r="I209" s="810">
        <f t="shared" ca="1" si="32"/>
        <v>1.0227155908249366</v>
      </c>
      <c r="J209" s="810">
        <f t="shared" ca="1" si="33"/>
        <v>1.0174041174565722</v>
      </c>
      <c r="K209" s="813">
        <f t="shared" ca="1" si="34"/>
        <v>22.03</v>
      </c>
      <c r="L209" s="921">
        <f t="shared" si="39"/>
        <v>197</v>
      </c>
      <c r="M209" s="809">
        <f t="shared" ref="M209:M272" ca="1" si="40">HLOOKUP(M$14,Dec_Change,$L209)</f>
        <v>1.0252155908249365</v>
      </c>
      <c r="N209" s="810">
        <f t="shared" si="35"/>
        <v>1.0049999999999999</v>
      </c>
      <c r="O209" s="813">
        <f t="shared" ca="1" si="36"/>
        <v>1.4818086105109716</v>
      </c>
      <c r="Q209" s="809">
        <f t="shared" ref="Q209:Q272" ca="1" si="41">HLOOKUP(Q$14,Dec_Change,$L209)</f>
        <v>1.0252155908249365</v>
      </c>
      <c r="R209" s="810">
        <f t="shared" si="37"/>
        <v>0</v>
      </c>
      <c r="S209" s="813">
        <f t="shared" ca="1" si="38"/>
        <v>1.3951949169926499</v>
      </c>
    </row>
    <row r="210" spans="1:19">
      <c r="A210" s="811">
        <f t="shared" ca="1" si="29"/>
        <v>41214</v>
      </c>
      <c r="B210" s="1102">
        <f ca="1">'[2]Monthly Curve Calc.'!B213</f>
        <v>466.97898744024093</v>
      </c>
      <c r="C210" s="1103">
        <f ca="1">'[2]Monthly Curve Calc.'!C213</f>
        <v>240.84106845754533</v>
      </c>
      <c r="D210" s="1103">
        <f ca="1">'[2]Monthly Curve Calc.'!D213</f>
        <v>185.64061822428846</v>
      </c>
      <c r="E210" s="1103">
        <f ca="1">'[2]Monthly Curve Calc.'!E213</f>
        <v>22.855000000000004</v>
      </c>
      <c r="F210" s="1104">
        <f ca="1">'[2]Monthly Curve Calc.'!F213</f>
        <v>2.7557915438315672</v>
      </c>
      <c r="G210" s="812">
        <f t="shared" ca="1" si="30"/>
        <v>1.0720000000000003</v>
      </c>
      <c r="H210" s="810">
        <f t="shared" ca="1" si="31"/>
        <v>1.0252155908249365</v>
      </c>
      <c r="I210" s="810">
        <f t="shared" ca="1" si="32"/>
        <v>1.0227155908249366</v>
      </c>
      <c r="J210" s="810">
        <f t="shared" ca="1" si="33"/>
        <v>1.0174041174565722</v>
      </c>
      <c r="K210" s="813">
        <f t="shared" ca="1" si="34"/>
        <v>22.03</v>
      </c>
      <c r="L210" s="921">
        <f t="shared" si="39"/>
        <v>198</v>
      </c>
      <c r="M210" s="809">
        <f t="shared" ca="1" si="40"/>
        <v>1.0252155908249365</v>
      </c>
      <c r="N210" s="810">
        <f t="shared" si="35"/>
        <v>1.0049999999999999</v>
      </c>
      <c r="O210" s="813">
        <f t="shared" ca="1" si="36"/>
        <v>1.4818086105109716</v>
      </c>
      <c r="Q210" s="809">
        <f t="shared" ca="1" si="41"/>
        <v>1.0252155908249365</v>
      </c>
      <c r="R210" s="810">
        <f t="shared" si="37"/>
        <v>0</v>
      </c>
      <c r="S210" s="813">
        <f t="shared" ca="1" si="38"/>
        <v>1.3951949169926499</v>
      </c>
    </row>
    <row r="211" spans="1:19">
      <c r="A211" s="811">
        <f t="shared" ca="1" si="29"/>
        <v>41244</v>
      </c>
      <c r="B211" s="1102">
        <f ca="1">'[2]Monthly Curve Calc.'!B214</f>
        <v>469.69244136803593</v>
      </c>
      <c r="C211" s="1103">
        <f ca="1">'[2]Monthly Curve Calc.'!C214</f>
        <v>241.33877564193398</v>
      </c>
      <c r="D211" s="1103">
        <f ca="1">'[2]Monthly Curve Calc.'!D214</f>
        <v>185.89262977995355</v>
      </c>
      <c r="E211" s="1103">
        <f ca="1">'[2]Monthly Curve Calc.'!E214</f>
        <v>22.905000000000001</v>
      </c>
      <c r="F211" s="1104">
        <f ca="1">'[2]Monthly Curve Calc.'!F214</f>
        <v>2.7603403864026497</v>
      </c>
      <c r="G211" s="812">
        <f t="shared" ca="1" si="30"/>
        <v>1.0720000000000003</v>
      </c>
      <c r="H211" s="810">
        <f t="shared" ca="1" si="31"/>
        <v>1.0252155908249365</v>
      </c>
      <c r="I211" s="810">
        <f t="shared" ca="1" si="32"/>
        <v>1.0227155908249366</v>
      </c>
      <c r="J211" s="810">
        <f t="shared" ca="1" si="33"/>
        <v>1.0174041174565722</v>
      </c>
      <c r="K211" s="813">
        <f t="shared" ca="1" si="34"/>
        <v>22.03</v>
      </c>
      <c r="L211" s="921">
        <f t="shared" si="39"/>
        <v>199</v>
      </c>
      <c r="M211" s="809">
        <f t="shared" ca="1" si="40"/>
        <v>1.0252155908249365</v>
      </c>
      <c r="N211" s="810">
        <f t="shared" si="35"/>
        <v>1.0049999999999999</v>
      </c>
      <c r="O211" s="813">
        <f t="shared" ca="1" si="36"/>
        <v>1.4818086105109716</v>
      </c>
      <c r="Q211" s="809">
        <f t="shared" ca="1" si="41"/>
        <v>1.0252155908249365</v>
      </c>
      <c r="R211" s="810">
        <f t="shared" si="37"/>
        <v>0</v>
      </c>
      <c r="S211" s="813">
        <f t="shared" ca="1" si="38"/>
        <v>1.3951949169926499</v>
      </c>
    </row>
    <row r="212" spans="1:19">
      <c r="A212" s="811">
        <f t="shared" ref="A212:A275" ca="1" si="42">EDATE(A211,1)</f>
        <v>41275</v>
      </c>
      <c r="B212" s="1102">
        <f ca="1">'[2]Monthly Curve Calc.'!B215</f>
        <v>472.34815071889614</v>
      </c>
      <c r="C212" s="1103">
        <f ca="1">'[2]Monthly Curve Calc.'!C215</f>
        <v>241.83890384444527</v>
      </c>
      <c r="D212" s="1103">
        <f ca="1">'[2]Monthly Curve Calc.'!D215</f>
        <v>186.13455181948905</v>
      </c>
      <c r="E212" s="1103">
        <f ca="1">'[2]Monthly Curve Calc.'!E215</f>
        <v>22.955000000000009</v>
      </c>
      <c r="F212" s="1104">
        <f ca="1">'[2]Monthly Curve Calc.'!F215</f>
        <v>2.7649282340797861</v>
      </c>
      <c r="G212" s="812">
        <f t="shared" ca="1" si="30"/>
        <v>1.0720000000000003</v>
      </c>
      <c r="H212" s="810">
        <f t="shared" ca="1" si="31"/>
        <v>1.0252155908249365</v>
      </c>
      <c r="I212" s="810">
        <f t="shared" ca="1" si="32"/>
        <v>1.0227155908249366</v>
      </c>
      <c r="J212" s="810">
        <f t="shared" ca="1" si="33"/>
        <v>1.0164124670255683</v>
      </c>
      <c r="K212" s="813">
        <f t="shared" ca="1" si="34"/>
        <v>22.629999999999995</v>
      </c>
      <c r="L212" s="921">
        <f t="shared" si="39"/>
        <v>200</v>
      </c>
      <c r="M212" s="809">
        <f t="shared" ca="1" si="40"/>
        <v>1.0252155908249365</v>
      </c>
      <c r="N212" s="810">
        <f t="shared" si="35"/>
        <v>1.0049999999999999</v>
      </c>
      <c r="O212" s="813">
        <f t="shared" ca="1" si="36"/>
        <v>1.4818086105109716</v>
      </c>
      <c r="Q212" s="809">
        <f t="shared" ca="1" si="41"/>
        <v>1.0252155908249365</v>
      </c>
      <c r="R212" s="810">
        <f t="shared" si="37"/>
        <v>0</v>
      </c>
      <c r="S212" s="813">
        <f t="shared" ca="1" si="38"/>
        <v>1.3951949169926499</v>
      </c>
    </row>
    <row r="213" spans="1:19">
      <c r="A213" s="811">
        <f t="shared" ca="1" si="42"/>
        <v>41306</v>
      </c>
      <c r="B213" s="1102">
        <f ca="1">'[2]Monthly Curve Calc.'!B216</f>
        <v>475.0188758365328</v>
      </c>
      <c r="C213" s="1103">
        <f ca="1">'[2]Monthly Curve Calc.'!C216</f>
        <v>242.34006846648046</v>
      </c>
      <c r="D213" s="1103">
        <f ca="1">'[2]Monthly Curve Calc.'!D216</f>
        <v>186.37678869815122</v>
      </c>
      <c r="E213" s="1103">
        <f ca="1">'[2]Monthly Curve Calc.'!E216</f>
        <v>23.005000000000017</v>
      </c>
      <c r="F213" s="1104">
        <f ca="1">'[2]Monthly Curve Calc.'!F216</f>
        <v>2.7695237070289402</v>
      </c>
      <c r="G213" s="812">
        <f t="shared" ref="G213:G276" ca="1" si="43">IF(AND($A213&gt;G$16,MONTH($A213)=MONTH(G$16)),B212/B200,G212)</f>
        <v>1.0720000000000003</v>
      </c>
      <c r="H213" s="810">
        <f t="shared" ref="H213:H276" ca="1" si="44">IF(AND($A213&gt;H$16,MONTH($A213)=MONTH(H$16)),C212/C200,H212)</f>
        <v>1.0252155908249365</v>
      </c>
      <c r="I213" s="810">
        <f t="shared" ref="I213:I276" ca="1" si="45">IF(AND($A213&gt;I$16,MONTH($A213)=MONTH(I$16)),C212/C200-I$18,I212)</f>
        <v>1.0227155908249366</v>
      </c>
      <c r="J213" s="810">
        <f t="shared" ref="J213:J276" ca="1" si="46">IF(AND($A213&gt;J$16,MONTH($A213)=MONTH(J$16)),D212/D200,J212)</f>
        <v>1.0164124670255683</v>
      </c>
      <c r="K213" s="813">
        <f t="shared" ref="K213:K276" ca="1" si="47">IF($A213&gt;=K$16,IF(MONTH($A213)=MONTH(K$16),AVERAGE(E201:E212),K212),K212)</f>
        <v>22.629999999999995</v>
      </c>
      <c r="L213" s="921">
        <f t="shared" si="39"/>
        <v>201</v>
      </c>
      <c r="M213" s="809">
        <f t="shared" ca="1" si="40"/>
        <v>1.0252155908249365</v>
      </c>
      <c r="N213" s="810">
        <f t="shared" ref="N213:N276" si="48">N212</f>
        <v>1.0049999999999999</v>
      </c>
      <c r="O213" s="813">
        <f t="shared" ref="O213:O276" ca="1" si="49">IF(AND($A213&gt;=O$16,MONTH($A213)=MONTH(O$16)),MAX(M213,N213)*O212,O212)</f>
        <v>1.4818086105109716</v>
      </c>
      <c r="Q213" s="809">
        <f t="shared" ca="1" si="41"/>
        <v>1.0252155908249365</v>
      </c>
      <c r="R213" s="810">
        <f t="shared" ref="R213:R276" si="50">R212</f>
        <v>0</v>
      </c>
      <c r="S213" s="813">
        <f t="shared" ref="S213:S276" ca="1" si="51">IF(AND($A213&gt;=S$16,MONTH($A213)=MONTH(S$16)),MAX(Q213,R213)*S212,S212)</f>
        <v>1.3951949169926499</v>
      </c>
    </row>
    <row r="214" spans="1:19">
      <c r="A214" s="811">
        <f t="shared" ca="1" si="42"/>
        <v>41334</v>
      </c>
      <c r="B214" s="1102">
        <f ca="1">'[2]Monthly Curve Calc.'!B217</f>
        <v>477.70470162227434</v>
      </c>
      <c r="C214" s="1103">
        <f ca="1">'[2]Monthly Curve Calc.'!C217</f>
        <v>242.8422716558197</v>
      </c>
      <c r="D214" s="1103">
        <f ca="1">'[2]Monthly Curve Calc.'!D217</f>
        <v>186.61934082567402</v>
      </c>
      <c r="E214" s="1103">
        <f ca="1">'[2]Monthly Curve Calc.'!E217</f>
        <v>23.055000000000025</v>
      </c>
      <c r="F214" s="1104">
        <f ca="1">'[2]Monthly Curve Calc.'!F217</f>
        <v>2.7741268179237619</v>
      </c>
      <c r="G214" s="812">
        <f t="shared" ca="1" si="43"/>
        <v>1.0720000000000003</v>
      </c>
      <c r="H214" s="810">
        <f t="shared" ca="1" si="44"/>
        <v>1.0252155908249365</v>
      </c>
      <c r="I214" s="810">
        <f t="shared" ca="1" si="45"/>
        <v>1.0227155908249366</v>
      </c>
      <c r="J214" s="810">
        <f t="shared" ca="1" si="46"/>
        <v>1.0164124670255683</v>
      </c>
      <c r="K214" s="813">
        <f t="shared" ca="1" si="47"/>
        <v>22.629999999999995</v>
      </c>
      <c r="L214" s="921">
        <f t="shared" si="39"/>
        <v>202</v>
      </c>
      <c r="M214" s="809">
        <f t="shared" ca="1" si="40"/>
        <v>1.0252155908249365</v>
      </c>
      <c r="N214" s="810">
        <f t="shared" si="48"/>
        <v>1.0049999999999999</v>
      </c>
      <c r="O214" s="813">
        <f t="shared" ca="1" si="49"/>
        <v>1.4818086105109716</v>
      </c>
      <c r="Q214" s="809">
        <f t="shared" ca="1" si="41"/>
        <v>1.0252155908249365</v>
      </c>
      <c r="R214" s="810">
        <f t="shared" si="50"/>
        <v>0</v>
      </c>
      <c r="S214" s="813">
        <f t="shared" ca="1" si="51"/>
        <v>1.3951949169926499</v>
      </c>
    </row>
    <row r="215" spans="1:19">
      <c r="A215" s="811">
        <f t="shared" ca="1" si="42"/>
        <v>41365</v>
      </c>
      <c r="B215" s="1102">
        <f ca="1">'[2]Monthly Curve Calc.'!B218</f>
        <v>480.40571345749373</v>
      </c>
      <c r="C215" s="1103">
        <f ca="1">'[2]Monthly Curve Calc.'!C218</f>
        <v>243.34551556469401</v>
      </c>
      <c r="D215" s="1103">
        <f ca="1">'[2]Monthly Curve Calc.'!D218</f>
        <v>186.86220861232462</v>
      </c>
      <c r="E215" s="1103">
        <f ca="1">'[2]Monthly Curve Calc.'!E218</f>
        <v>23.105000000000032</v>
      </c>
      <c r="F215" s="1104">
        <f ca="1">'[2]Monthly Curve Calc.'!F218</f>
        <v>2.7787375794589648</v>
      </c>
      <c r="G215" s="812">
        <f t="shared" ca="1" si="43"/>
        <v>1.0720000000000003</v>
      </c>
      <c r="H215" s="810">
        <f t="shared" ca="1" si="44"/>
        <v>1.0252155908249365</v>
      </c>
      <c r="I215" s="810">
        <f t="shared" ca="1" si="45"/>
        <v>1.0227155908249366</v>
      </c>
      <c r="J215" s="810">
        <f t="shared" ca="1" si="46"/>
        <v>1.0164124670255683</v>
      </c>
      <c r="K215" s="813">
        <f t="shared" ca="1" si="47"/>
        <v>22.629999999999995</v>
      </c>
      <c r="L215" s="921">
        <f t="shared" si="39"/>
        <v>203</v>
      </c>
      <c r="M215" s="809">
        <f t="shared" ca="1" si="40"/>
        <v>1.0252155908249365</v>
      </c>
      <c r="N215" s="810">
        <f t="shared" si="48"/>
        <v>1.0049999999999999</v>
      </c>
      <c r="O215" s="813">
        <f t="shared" ca="1" si="49"/>
        <v>1.4818086105109716</v>
      </c>
      <c r="Q215" s="809">
        <f t="shared" ca="1" si="41"/>
        <v>1.0252155908249365</v>
      </c>
      <c r="R215" s="810">
        <f t="shared" si="50"/>
        <v>0</v>
      </c>
      <c r="S215" s="813">
        <f t="shared" ca="1" si="51"/>
        <v>1.3951949169926499</v>
      </c>
    </row>
    <row r="216" spans="1:19">
      <c r="A216" s="811">
        <f t="shared" ca="1" si="42"/>
        <v>41395</v>
      </c>
      <c r="B216" s="1102">
        <f ca="1">'[2]Monthly Curve Calc.'!B219</f>
        <v>483.12199720632253</v>
      </c>
      <c r="C216" s="1103">
        <f ca="1">'[2]Monthly Curve Calc.'!C219</f>
        <v>243.84980234979449</v>
      </c>
      <c r="D216" s="1103">
        <f ca="1">'[2]Monthly Curve Calc.'!D219</f>
        <v>187.10539246890417</v>
      </c>
      <c r="E216" s="1103">
        <f ca="1">'[2]Monthly Curve Calc.'!E219</f>
        <v>23.15500000000004</v>
      </c>
      <c r="F216" s="1104">
        <f ca="1">'[2]Monthly Curve Calc.'!F219</f>
        <v>2.7833560043503622</v>
      </c>
      <c r="G216" s="812">
        <f t="shared" ca="1" si="43"/>
        <v>1.0713329183093803</v>
      </c>
      <c r="H216" s="810">
        <f t="shared" ca="1" si="44"/>
        <v>1.0251058727276681</v>
      </c>
      <c r="I216" s="810">
        <f t="shared" ca="1" si="45"/>
        <v>1.0226058727276681</v>
      </c>
      <c r="J216" s="810">
        <f t="shared" ca="1" si="46"/>
        <v>1.0164124670255683</v>
      </c>
      <c r="K216" s="813">
        <f t="shared" ca="1" si="47"/>
        <v>22.629999999999995</v>
      </c>
      <c r="L216" s="921">
        <f t="shared" si="39"/>
        <v>204</v>
      </c>
      <c r="M216" s="809">
        <f t="shared" ca="1" si="40"/>
        <v>1.0251058727276681</v>
      </c>
      <c r="N216" s="810">
        <f t="shared" si="48"/>
        <v>1.0049999999999999</v>
      </c>
      <c r="O216" s="813">
        <f t="shared" ca="1" si="49"/>
        <v>1.5190107088932228</v>
      </c>
      <c r="Q216" s="809">
        <f t="shared" ca="1" si="41"/>
        <v>1.0251058727276681</v>
      </c>
      <c r="R216" s="810">
        <f t="shared" si="50"/>
        <v>0</v>
      </c>
      <c r="S216" s="813">
        <f t="shared" ca="1" si="51"/>
        <v>1.3951949169926499</v>
      </c>
    </row>
    <row r="217" spans="1:19">
      <c r="A217" s="811">
        <f t="shared" ca="1" si="42"/>
        <v>41426</v>
      </c>
      <c r="B217" s="1102">
        <f ca="1">'[2]Monthly Curve Calc.'!B220</f>
        <v>485.85363921838069</v>
      </c>
      <c r="C217" s="1103">
        <f ca="1">'[2]Monthly Curve Calc.'!C220</f>
        <v>244.35513417228157</v>
      </c>
      <c r="D217" s="1103">
        <f ca="1">'[2]Monthly Curve Calc.'!D220</f>
        <v>187.34889280674838</v>
      </c>
      <c r="E217" s="1103">
        <f ca="1">'[2]Monthly Curve Calc.'!E220</f>
        <v>23.205000000000048</v>
      </c>
      <c r="F217" s="1104">
        <f ca="1">'[2]Monthly Curve Calc.'!F220</f>
        <v>2.7879821053349021</v>
      </c>
      <c r="G217" s="812">
        <f t="shared" ca="1" si="43"/>
        <v>1.0713329183093803</v>
      </c>
      <c r="H217" s="810">
        <f t="shared" ca="1" si="44"/>
        <v>1.0251058727276681</v>
      </c>
      <c r="I217" s="810">
        <f t="shared" ca="1" si="45"/>
        <v>1.0226058727276681</v>
      </c>
      <c r="J217" s="810">
        <f t="shared" ca="1" si="46"/>
        <v>1.0164124670255683</v>
      </c>
      <c r="K217" s="813">
        <f t="shared" ca="1" si="47"/>
        <v>22.629999999999995</v>
      </c>
      <c r="L217" s="921">
        <f t="shared" si="39"/>
        <v>205</v>
      </c>
      <c r="M217" s="809">
        <f t="shared" ca="1" si="40"/>
        <v>1.0251058727276681</v>
      </c>
      <c r="N217" s="810">
        <f t="shared" si="48"/>
        <v>1.0049999999999999</v>
      </c>
      <c r="O217" s="813">
        <f t="shared" ca="1" si="49"/>
        <v>1.5190107088932228</v>
      </c>
      <c r="Q217" s="809">
        <f t="shared" ca="1" si="41"/>
        <v>1.0251058727276681</v>
      </c>
      <c r="R217" s="810">
        <f t="shared" si="50"/>
        <v>0</v>
      </c>
      <c r="S217" s="813">
        <f t="shared" ca="1" si="51"/>
        <v>1.4302225030089568</v>
      </c>
    </row>
    <row r="218" spans="1:19">
      <c r="A218" s="811">
        <f t="shared" ca="1" si="42"/>
        <v>41456</v>
      </c>
      <c r="B218" s="1102">
        <f ca="1">'[2]Monthly Curve Calc.'!B221</f>
        <v>488.60072633152134</v>
      </c>
      <c r="C218" s="1103">
        <f ca="1">'[2]Monthly Curve Calc.'!C221</f>
        <v>244.86151319779427</v>
      </c>
      <c r="D218" s="1103">
        <f ca="1">'[2]Monthly Curve Calc.'!D221</f>
        <v>187.59271003772832</v>
      </c>
      <c r="E218" s="1103">
        <f ca="1">'[2]Monthly Curve Calc.'!E221</f>
        <v>23.255000000000056</v>
      </c>
      <c r="F218" s="1104">
        <f ca="1">'[2]Monthly Curve Calc.'!F221</f>
        <v>2.7926158951707012</v>
      </c>
      <c r="G218" s="812">
        <f t="shared" ca="1" si="43"/>
        <v>1.0713329183093803</v>
      </c>
      <c r="H218" s="810">
        <f t="shared" ca="1" si="44"/>
        <v>1.0251058727276681</v>
      </c>
      <c r="I218" s="810">
        <f t="shared" ca="1" si="45"/>
        <v>1.0226058727276681</v>
      </c>
      <c r="J218" s="810">
        <f t="shared" ca="1" si="46"/>
        <v>1.0164124670255683</v>
      </c>
      <c r="K218" s="813">
        <f t="shared" ca="1" si="47"/>
        <v>22.629999999999995</v>
      </c>
      <c r="L218" s="921">
        <f t="shared" si="39"/>
        <v>206</v>
      </c>
      <c r="M218" s="809">
        <f t="shared" ca="1" si="40"/>
        <v>1.0251058727276681</v>
      </c>
      <c r="N218" s="810">
        <f t="shared" si="48"/>
        <v>1.0049999999999999</v>
      </c>
      <c r="O218" s="813">
        <f t="shared" ca="1" si="49"/>
        <v>1.5190107088932228</v>
      </c>
      <c r="Q218" s="809">
        <f t="shared" ca="1" si="41"/>
        <v>1.0251058727276681</v>
      </c>
      <c r="R218" s="810">
        <f t="shared" si="50"/>
        <v>0</v>
      </c>
      <c r="S218" s="813">
        <f t="shared" ca="1" si="51"/>
        <v>1.4302225030089568</v>
      </c>
    </row>
    <row r="219" spans="1:19">
      <c r="A219" s="811">
        <f t="shared" ca="1" si="42"/>
        <v>41487</v>
      </c>
      <c r="B219" s="1102">
        <f ca="1">'[2]Monthly Curve Calc.'!B222</f>
        <v>491.36334587459157</v>
      </c>
      <c r="C219" s="1103">
        <f ca="1">'[2]Monthly Curve Calc.'!C222</f>
        <v>245.36894159645948</v>
      </c>
      <c r="D219" s="1103">
        <f ca="1">'[2]Monthly Curve Calc.'!D222</f>
        <v>187.83684457425105</v>
      </c>
      <c r="E219" s="1103">
        <f ca="1">'[2]Monthly Curve Calc.'!E222</f>
        <v>23.305000000000064</v>
      </c>
      <c r="F219" s="1104">
        <f ca="1">'[2]Monthly Curve Calc.'!F222</f>
        <v>2.7972573866370816</v>
      </c>
      <c r="G219" s="812">
        <f t="shared" ca="1" si="43"/>
        <v>1.0713329183093803</v>
      </c>
      <c r="H219" s="810">
        <f t="shared" ca="1" si="44"/>
        <v>1.0251058727276681</v>
      </c>
      <c r="I219" s="810">
        <f t="shared" ca="1" si="45"/>
        <v>1.0226058727276681</v>
      </c>
      <c r="J219" s="810">
        <f t="shared" ca="1" si="46"/>
        <v>1.0164124670255683</v>
      </c>
      <c r="K219" s="813">
        <f t="shared" ca="1" si="47"/>
        <v>22.629999999999995</v>
      </c>
      <c r="L219" s="921">
        <f t="shared" si="39"/>
        <v>207</v>
      </c>
      <c r="M219" s="809">
        <f t="shared" ca="1" si="40"/>
        <v>1.0251058727276681</v>
      </c>
      <c r="N219" s="810">
        <f t="shared" si="48"/>
        <v>1.0049999999999999</v>
      </c>
      <c r="O219" s="813">
        <f t="shared" ca="1" si="49"/>
        <v>1.5190107088932228</v>
      </c>
      <c r="Q219" s="809">
        <f t="shared" ca="1" si="41"/>
        <v>1.0251058727276681</v>
      </c>
      <c r="R219" s="810">
        <f t="shared" si="50"/>
        <v>0</v>
      </c>
      <c r="S219" s="813">
        <f t="shared" ca="1" si="51"/>
        <v>1.4302225030089568</v>
      </c>
    </row>
    <row r="220" spans="1:19">
      <c r="A220" s="811">
        <f t="shared" ca="1" si="42"/>
        <v>41518</v>
      </c>
      <c r="B220" s="1102">
        <f ca="1">'[2]Monthly Curve Calc.'!B223</f>
        <v>494.14158567020843</v>
      </c>
      <c r="C220" s="1103">
        <f ca="1">'[2]Monthly Curve Calc.'!C223</f>
        <v>245.87742154290126</v>
      </c>
      <c r="D220" s="1103">
        <f ca="1">'[2]Monthly Curve Calc.'!D223</f>
        <v>188.08129682926034</v>
      </c>
      <c r="E220" s="1103">
        <f ca="1">'[2]Monthly Curve Calc.'!E223</f>
        <v>23.355000000000071</v>
      </c>
      <c r="F220" s="1104">
        <f ca="1">'[2]Monthly Curve Calc.'!F223</f>
        <v>2.8019065925346047</v>
      </c>
      <c r="G220" s="812">
        <f t="shared" ca="1" si="43"/>
        <v>1.0713329183093803</v>
      </c>
      <c r="H220" s="810">
        <f t="shared" ca="1" si="44"/>
        <v>1.0251058727276681</v>
      </c>
      <c r="I220" s="810">
        <f t="shared" ca="1" si="45"/>
        <v>1.0226058727276681</v>
      </c>
      <c r="J220" s="810">
        <f t="shared" ca="1" si="46"/>
        <v>1.0164124670255683</v>
      </c>
      <c r="K220" s="813">
        <f t="shared" ca="1" si="47"/>
        <v>22.629999999999995</v>
      </c>
      <c r="L220" s="921">
        <f t="shared" si="39"/>
        <v>208</v>
      </c>
      <c r="M220" s="809">
        <f t="shared" ca="1" si="40"/>
        <v>1.0251058727276681</v>
      </c>
      <c r="N220" s="810">
        <f t="shared" si="48"/>
        <v>1.0049999999999999</v>
      </c>
      <c r="O220" s="813">
        <f t="shared" ca="1" si="49"/>
        <v>1.5190107088932228</v>
      </c>
      <c r="Q220" s="809">
        <f t="shared" ca="1" si="41"/>
        <v>1.0251058727276681</v>
      </c>
      <c r="R220" s="810">
        <f t="shared" si="50"/>
        <v>0</v>
      </c>
      <c r="S220" s="813">
        <f t="shared" ca="1" si="51"/>
        <v>1.4302225030089568</v>
      </c>
    </row>
    <row r="221" spans="1:19">
      <c r="A221" s="811">
        <f t="shared" ca="1" si="42"/>
        <v>41548</v>
      </c>
      <c r="B221" s="1102">
        <f ca="1">'[2]Monthly Curve Calc.'!B224</f>
        <v>496.93553403755078</v>
      </c>
      <c r="C221" s="1103">
        <f ca="1">'[2]Monthly Curve Calc.'!C224</f>
        <v>246.38695521625019</v>
      </c>
      <c r="D221" s="1103">
        <f ca="1">'[2]Monthly Curve Calc.'!D224</f>
        <v>188.32606721623736</v>
      </c>
      <c r="E221" s="1103">
        <f ca="1">'[2]Monthly Curve Calc.'!E224</f>
        <v>23.405000000000079</v>
      </c>
      <c r="F221" s="1104">
        <f ca="1">'[2]Monthly Curve Calc.'!F224</f>
        <v>2.8065635256851085</v>
      </c>
      <c r="G221" s="812">
        <f t="shared" ca="1" si="43"/>
        <v>1.0713329183093803</v>
      </c>
      <c r="H221" s="810">
        <f t="shared" ca="1" si="44"/>
        <v>1.0251058727276681</v>
      </c>
      <c r="I221" s="810">
        <f t="shared" ca="1" si="45"/>
        <v>1.0226058727276681</v>
      </c>
      <c r="J221" s="810">
        <f t="shared" ca="1" si="46"/>
        <v>1.0164124670255683</v>
      </c>
      <c r="K221" s="813">
        <f t="shared" ca="1" si="47"/>
        <v>22.629999999999995</v>
      </c>
      <c r="L221" s="921">
        <f t="shared" si="39"/>
        <v>209</v>
      </c>
      <c r="M221" s="809">
        <f t="shared" ca="1" si="40"/>
        <v>1.0251058727276681</v>
      </c>
      <c r="N221" s="810">
        <f t="shared" si="48"/>
        <v>1.0049999999999999</v>
      </c>
      <c r="O221" s="813">
        <f t="shared" ca="1" si="49"/>
        <v>1.5190107088932228</v>
      </c>
      <c r="Q221" s="809">
        <f t="shared" ca="1" si="41"/>
        <v>1.0251058727276681</v>
      </c>
      <c r="R221" s="810">
        <f t="shared" si="50"/>
        <v>0</v>
      </c>
      <c r="S221" s="813">
        <f t="shared" ca="1" si="51"/>
        <v>1.4302225030089568</v>
      </c>
    </row>
    <row r="222" spans="1:19">
      <c r="A222" s="811">
        <f t="shared" ca="1" si="42"/>
        <v>41579</v>
      </c>
      <c r="B222" s="1102">
        <f ca="1">'[2]Monthly Curve Calc.'!B225</f>
        <v>499.74527979516699</v>
      </c>
      <c r="C222" s="1103">
        <f ca="1">'[2]Monthly Curve Calc.'!C225</f>
        <v>246.89754480015262</v>
      </c>
      <c r="D222" s="1103">
        <f ca="1">'[2]Monthly Curve Calc.'!D225</f>
        <v>188.57115614920144</v>
      </c>
      <c r="E222" s="1103">
        <f ca="1">'[2]Monthly Curve Calc.'!E225</f>
        <v>23.455000000000087</v>
      </c>
      <c r="F222" s="1104">
        <f ca="1">'[2]Monthly Curve Calc.'!F225</f>
        <v>2.8112281989317403</v>
      </c>
      <c r="G222" s="812">
        <f t="shared" ca="1" si="43"/>
        <v>1.0713329183093803</v>
      </c>
      <c r="H222" s="810">
        <f t="shared" ca="1" si="44"/>
        <v>1.0251058727276681</v>
      </c>
      <c r="I222" s="810">
        <f t="shared" ca="1" si="45"/>
        <v>1.0226058727276681</v>
      </c>
      <c r="J222" s="810">
        <f t="shared" ca="1" si="46"/>
        <v>1.0164124670255683</v>
      </c>
      <c r="K222" s="813">
        <f t="shared" ca="1" si="47"/>
        <v>22.629999999999995</v>
      </c>
      <c r="L222" s="921">
        <f t="shared" si="39"/>
        <v>210</v>
      </c>
      <c r="M222" s="809">
        <f t="shared" ca="1" si="40"/>
        <v>1.0251058727276681</v>
      </c>
      <c r="N222" s="810">
        <f t="shared" si="48"/>
        <v>1.0049999999999999</v>
      </c>
      <c r="O222" s="813">
        <f t="shared" ca="1" si="49"/>
        <v>1.5190107088932228</v>
      </c>
      <c r="Q222" s="809">
        <f t="shared" ca="1" si="41"/>
        <v>1.0251058727276681</v>
      </c>
      <c r="R222" s="810">
        <f t="shared" si="50"/>
        <v>0</v>
      </c>
      <c r="S222" s="813">
        <f t="shared" ca="1" si="51"/>
        <v>1.4302225030089568</v>
      </c>
    </row>
    <row r="223" spans="1:19">
      <c r="A223" s="811">
        <f t="shared" ca="1" si="42"/>
        <v>41609</v>
      </c>
      <c r="B223" s="1102">
        <f ca="1">'[2]Monthly Curve Calc.'!B226</f>
        <v>502.57091226379839</v>
      </c>
      <c r="C223" s="1103">
        <f ca="1">'[2]Monthly Curve Calc.'!C226</f>
        <v>247.40919248278013</v>
      </c>
      <c r="D223" s="1103">
        <f ca="1">'[2]Monthly Curve Calc.'!D226</f>
        <v>188.81656404271064</v>
      </c>
      <c r="E223" s="1103">
        <f ca="1">'[2]Monthly Curve Calc.'!E226</f>
        <v>23.505000000000098</v>
      </c>
      <c r="F223" s="1104">
        <f ca="1">'[2]Monthly Curve Calc.'!F226</f>
        <v>2.8159006251389909</v>
      </c>
      <c r="G223" s="812">
        <f t="shared" ca="1" si="43"/>
        <v>1.0713329183093803</v>
      </c>
      <c r="H223" s="810">
        <f t="shared" ca="1" si="44"/>
        <v>1.0251058727276681</v>
      </c>
      <c r="I223" s="810">
        <f t="shared" ca="1" si="45"/>
        <v>1.0226058727276681</v>
      </c>
      <c r="J223" s="810">
        <f t="shared" ca="1" si="46"/>
        <v>1.0164124670255683</v>
      </c>
      <c r="K223" s="813">
        <f t="shared" ca="1" si="47"/>
        <v>22.629999999999995</v>
      </c>
      <c r="L223" s="921">
        <f t="shared" si="39"/>
        <v>211</v>
      </c>
      <c r="M223" s="809">
        <f t="shared" ca="1" si="40"/>
        <v>1.0251058727276681</v>
      </c>
      <c r="N223" s="810">
        <f t="shared" si="48"/>
        <v>1.0049999999999999</v>
      </c>
      <c r="O223" s="813">
        <f t="shared" ca="1" si="49"/>
        <v>1.5190107088932228</v>
      </c>
      <c r="Q223" s="809">
        <f t="shared" ca="1" si="41"/>
        <v>1.0251058727276681</v>
      </c>
      <c r="R223" s="810">
        <f t="shared" si="50"/>
        <v>0</v>
      </c>
      <c r="S223" s="813">
        <f t="shared" ca="1" si="51"/>
        <v>1.4302225030089568</v>
      </c>
    </row>
    <row r="224" spans="1:19">
      <c r="A224" s="811">
        <f t="shared" ca="1" si="42"/>
        <v>41640</v>
      </c>
      <c r="B224" s="1102">
        <f ca="1">'[2]Monthly Curve Calc.'!B227</f>
        <v>505.41252126921881</v>
      </c>
      <c r="C224" s="1103">
        <f ca="1">'[2]Monthly Curve Calc.'!C227</f>
        <v>247.92903681111099</v>
      </c>
      <c r="D224" s="1103">
        <f ca="1">'[2]Monthly Curve Calc.'!D227</f>
        <v>189.06041707083759</v>
      </c>
      <c r="E224" s="1103">
        <f ca="1">'[2]Monthly Curve Calc.'!E227</f>
        <v>23.555000000000099</v>
      </c>
      <c r="F224" s="1104">
        <f ca="1">'[2]Monthly Curve Calc.'!F227</f>
        <v>2.8205502274907825</v>
      </c>
      <c r="G224" s="812">
        <f t="shared" ca="1" si="43"/>
        <v>1.0713329183093803</v>
      </c>
      <c r="H224" s="810">
        <f t="shared" ca="1" si="44"/>
        <v>1.0251058727276681</v>
      </c>
      <c r="I224" s="810">
        <f t="shared" ca="1" si="45"/>
        <v>1.0226058727276681</v>
      </c>
      <c r="J224" s="810">
        <f t="shared" ca="1" si="46"/>
        <v>1.0157291564825255</v>
      </c>
      <c r="K224" s="813">
        <f t="shared" ca="1" si="47"/>
        <v>23.23000000000005</v>
      </c>
      <c r="L224" s="921">
        <f t="shared" si="39"/>
        <v>212</v>
      </c>
      <c r="M224" s="809">
        <f t="shared" ca="1" si="40"/>
        <v>1.0251058727276681</v>
      </c>
      <c r="N224" s="810">
        <f t="shared" si="48"/>
        <v>1.0049999999999999</v>
      </c>
      <c r="O224" s="813">
        <f t="shared" ca="1" si="49"/>
        <v>1.5190107088932228</v>
      </c>
      <c r="Q224" s="809">
        <f t="shared" ca="1" si="41"/>
        <v>1.0251058727276681</v>
      </c>
      <c r="R224" s="810">
        <f t="shared" si="50"/>
        <v>0</v>
      </c>
      <c r="S224" s="813">
        <f t="shared" ca="1" si="51"/>
        <v>1.4302225030089568</v>
      </c>
    </row>
    <row r="225" spans="1:19">
      <c r="A225" s="811">
        <f t="shared" ca="1" si="42"/>
        <v>41671</v>
      </c>
      <c r="B225" s="1102">
        <f ca="1">'[2]Monthly Curve Calc.'!B228</f>
        <v>508.27019714509004</v>
      </c>
      <c r="C225" s="1103">
        <f ca="1">'[2]Monthly Curve Calc.'!C228</f>
        <v>248.44997341141035</v>
      </c>
      <c r="D225" s="1103">
        <f ca="1">'[2]Monthly Curve Calc.'!D228</f>
        <v>189.30458503054709</v>
      </c>
      <c r="E225" s="1103">
        <f ca="1">'[2]Monthly Curve Calc.'!E228</f>
        <v>23.6050000000001</v>
      </c>
      <c r="F225" s="1104">
        <f ca="1">'[2]Monthly Curve Calc.'!F228</f>
        <v>2.8252075072449077</v>
      </c>
      <c r="G225" s="812">
        <f t="shared" ca="1" si="43"/>
        <v>1.0713329183093803</v>
      </c>
      <c r="H225" s="810">
        <f t="shared" ca="1" si="44"/>
        <v>1.0251058727276681</v>
      </c>
      <c r="I225" s="810">
        <f t="shared" ca="1" si="45"/>
        <v>1.0226058727276681</v>
      </c>
      <c r="J225" s="810">
        <f t="shared" ca="1" si="46"/>
        <v>1.0157291564825255</v>
      </c>
      <c r="K225" s="813">
        <f t="shared" ca="1" si="47"/>
        <v>23.23000000000005</v>
      </c>
      <c r="L225" s="921">
        <f t="shared" si="39"/>
        <v>213</v>
      </c>
      <c r="M225" s="809">
        <f t="shared" ca="1" si="40"/>
        <v>1.0251058727276681</v>
      </c>
      <c r="N225" s="810">
        <f t="shared" si="48"/>
        <v>1.0049999999999999</v>
      </c>
      <c r="O225" s="813">
        <f t="shared" ca="1" si="49"/>
        <v>1.5190107088932228</v>
      </c>
      <c r="Q225" s="809">
        <f t="shared" ca="1" si="41"/>
        <v>1.0251058727276681</v>
      </c>
      <c r="R225" s="810">
        <f t="shared" si="50"/>
        <v>0</v>
      </c>
      <c r="S225" s="813">
        <f t="shared" ca="1" si="51"/>
        <v>1.4302225030089568</v>
      </c>
    </row>
    <row r="226" spans="1:19">
      <c r="A226" s="811">
        <f t="shared" ca="1" si="42"/>
        <v>41699</v>
      </c>
      <c r="B226" s="1102">
        <f ca="1">'[2]Monthly Curve Calc.'!B229</f>
        <v>511.1440307358335</v>
      </c>
      <c r="C226" s="1103">
        <f ca="1">'[2]Monthly Curve Calc.'!C229</f>
        <v>248.9720045787077</v>
      </c>
      <c r="D226" s="1103">
        <f ca="1">'[2]Monthly Curve Calc.'!D229</f>
        <v>189.54906832856733</v>
      </c>
      <c r="E226" s="1103">
        <f ca="1">'[2]Monthly Curve Calc.'!E229</f>
        <v>23.655000000000101</v>
      </c>
      <c r="F226" s="1104">
        <f ca="1">'[2]Monthly Curve Calc.'!F229</f>
        <v>2.8298724770782577</v>
      </c>
      <c r="G226" s="812">
        <f t="shared" ca="1" si="43"/>
        <v>1.0713329183093803</v>
      </c>
      <c r="H226" s="810">
        <f t="shared" ca="1" si="44"/>
        <v>1.0251058727276681</v>
      </c>
      <c r="I226" s="810">
        <f t="shared" ca="1" si="45"/>
        <v>1.0226058727276681</v>
      </c>
      <c r="J226" s="810">
        <f t="shared" ca="1" si="46"/>
        <v>1.0157291564825255</v>
      </c>
      <c r="K226" s="813">
        <f t="shared" ca="1" si="47"/>
        <v>23.23000000000005</v>
      </c>
      <c r="L226" s="921">
        <f t="shared" si="39"/>
        <v>214</v>
      </c>
      <c r="M226" s="809">
        <f t="shared" ca="1" si="40"/>
        <v>1.0251058727276681</v>
      </c>
      <c r="N226" s="810">
        <f t="shared" si="48"/>
        <v>1.0049999999999999</v>
      </c>
      <c r="O226" s="813">
        <f t="shared" ca="1" si="49"/>
        <v>1.5190107088932228</v>
      </c>
      <c r="Q226" s="809">
        <f t="shared" ca="1" si="41"/>
        <v>1.0251058727276681</v>
      </c>
      <c r="R226" s="810">
        <f t="shared" si="50"/>
        <v>0</v>
      </c>
      <c r="S226" s="813">
        <f t="shared" ca="1" si="51"/>
        <v>1.4302225030089568</v>
      </c>
    </row>
    <row r="227" spans="1:19">
      <c r="A227" s="811">
        <f t="shared" ca="1" si="42"/>
        <v>41730</v>
      </c>
      <c r="B227" s="1102">
        <f ca="1">'[2]Monthly Curve Calc.'!B230</f>
        <v>514.03411339951822</v>
      </c>
      <c r="C227" s="1103">
        <f ca="1">'[2]Monthly Curve Calc.'!C230</f>
        <v>249.49513261285469</v>
      </c>
      <c r="D227" s="1103">
        <f ca="1">'[2]Monthly Curve Calc.'!D230</f>
        <v>189.79386737215182</v>
      </c>
      <c r="E227" s="1103">
        <f ca="1">'[2]Monthly Curve Calc.'!E230</f>
        <v>23.705000000000101</v>
      </c>
      <c r="F227" s="1104">
        <f ca="1">'[2]Monthly Curve Calc.'!F230</f>
        <v>2.8345451496886573</v>
      </c>
      <c r="G227" s="812">
        <f t="shared" ca="1" si="43"/>
        <v>1.0713329183093803</v>
      </c>
      <c r="H227" s="810">
        <f t="shared" ca="1" si="44"/>
        <v>1.0251058727276681</v>
      </c>
      <c r="I227" s="810">
        <f t="shared" ca="1" si="45"/>
        <v>1.0226058727276681</v>
      </c>
      <c r="J227" s="810">
        <f t="shared" ca="1" si="46"/>
        <v>1.0157291564825255</v>
      </c>
      <c r="K227" s="813">
        <f t="shared" ca="1" si="47"/>
        <v>23.23000000000005</v>
      </c>
      <c r="L227" s="921">
        <f t="shared" si="39"/>
        <v>215</v>
      </c>
      <c r="M227" s="809">
        <f t="shared" ca="1" si="40"/>
        <v>1.0251058727276681</v>
      </c>
      <c r="N227" s="810">
        <f t="shared" si="48"/>
        <v>1.0049999999999999</v>
      </c>
      <c r="O227" s="813">
        <f t="shared" ca="1" si="49"/>
        <v>1.5190107088932228</v>
      </c>
      <c r="Q227" s="809">
        <f t="shared" ca="1" si="41"/>
        <v>1.0251058727276681</v>
      </c>
      <c r="R227" s="810">
        <f t="shared" si="50"/>
        <v>0</v>
      </c>
      <c r="S227" s="813">
        <f t="shared" ca="1" si="51"/>
        <v>1.4302225030089568</v>
      </c>
    </row>
    <row r="228" spans="1:19">
      <c r="A228" s="811">
        <f t="shared" ca="1" si="42"/>
        <v>41760</v>
      </c>
      <c r="B228" s="1102">
        <f ca="1">'[2]Monthly Curve Calc.'!B231</f>
        <v>516.94053701076507</v>
      </c>
      <c r="C228" s="1103">
        <f ca="1">'[2]Monthly Curve Calc.'!C231</f>
        <v>250.01935981853532</v>
      </c>
      <c r="D228" s="1103">
        <f ca="1">'[2]Monthly Curve Calc.'!D231</f>
        <v>190.03898256907996</v>
      </c>
      <c r="E228" s="1103">
        <f ca="1">'[2]Monthly Curve Calc.'!E231</f>
        <v>23.755000000000102</v>
      </c>
      <c r="F228" s="1104">
        <f ca="1">'[2]Monthly Curve Calc.'!F231</f>
        <v>2.8392255377948965</v>
      </c>
      <c r="G228" s="812">
        <f t="shared" ca="1" si="43"/>
        <v>1.0699999999999998</v>
      </c>
      <c r="H228" s="810">
        <f t="shared" ca="1" si="44"/>
        <v>1.0252711336549196</v>
      </c>
      <c r="I228" s="810">
        <f t="shared" ca="1" si="45"/>
        <v>1.0227711336549197</v>
      </c>
      <c r="J228" s="810">
        <f t="shared" ca="1" si="46"/>
        <v>1.0157291564825255</v>
      </c>
      <c r="K228" s="813">
        <f t="shared" ca="1" si="47"/>
        <v>23.23000000000005</v>
      </c>
      <c r="L228" s="921">
        <f t="shared" si="39"/>
        <v>216</v>
      </c>
      <c r="M228" s="809">
        <f t="shared" ca="1" si="40"/>
        <v>1.0252711336549196</v>
      </c>
      <c r="N228" s="810">
        <f t="shared" si="48"/>
        <v>1.0049999999999999</v>
      </c>
      <c r="O228" s="813">
        <f t="shared" ca="1" si="49"/>
        <v>1.5573978315409176</v>
      </c>
      <c r="Q228" s="809">
        <f t="shared" ca="1" si="41"/>
        <v>1.0252711336549196</v>
      </c>
      <c r="R228" s="810">
        <f t="shared" si="50"/>
        <v>0</v>
      </c>
      <c r="S228" s="813">
        <f t="shared" ca="1" si="51"/>
        <v>1.4302225030089568</v>
      </c>
    </row>
    <row r="229" spans="1:19">
      <c r="A229" s="811">
        <f t="shared" ca="1" si="42"/>
        <v>41791</v>
      </c>
      <c r="B229" s="1102">
        <f ca="1">'[2]Monthly Curve Calc.'!B232</f>
        <v>519.86339396366725</v>
      </c>
      <c r="C229" s="1103">
        <f ca="1">'[2]Monthly Curve Calc.'!C232</f>
        <v>250.54468850527613</v>
      </c>
      <c r="D229" s="1103">
        <f ca="1">'[2]Monthly Curve Calc.'!D232</f>
        <v>190.28441432765783</v>
      </c>
      <c r="E229" s="1103">
        <f ca="1">'[2]Monthly Curve Calc.'!E232</f>
        <v>23.805000000000103</v>
      </c>
      <c r="F229" s="1104">
        <f ca="1">'[2]Monthly Curve Calc.'!F232</f>
        <v>2.8439136541367671</v>
      </c>
      <c r="G229" s="812">
        <f t="shared" ca="1" si="43"/>
        <v>1.0699999999999998</v>
      </c>
      <c r="H229" s="810">
        <f t="shared" ca="1" si="44"/>
        <v>1.0252711336549196</v>
      </c>
      <c r="I229" s="810">
        <f t="shared" ca="1" si="45"/>
        <v>1.0227711336549197</v>
      </c>
      <c r="J229" s="810">
        <f t="shared" ca="1" si="46"/>
        <v>1.0157291564825255</v>
      </c>
      <c r="K229" s="813">
        <f t="shared" ca="1" si="47"/>
        <v>23.23000000000005</v>
      </c>
      <c r="L229" s="921">
        <f t="shared" si="39"/>
        <v>217</v>
      </c>
      <c r="M229" s="809">
        <f t="shared" ca="1" si="40"/>
        <v>1.0252711336549196</v>
      </c>
      <c r="N229" s="810">
        <f t="shared" si="48"/>
        <v>1.0049999999999999</v>
      </c>
      <c r="O229" s="813">
        <f t="shared" ca="1" si="49"/>
        <v>1.5573978315409176</v>
      </c>
      <c r="Q229" s="809">
        <f t="shared" ca="1" si="41"/>
        <v>1.0252711336549196</v>
      </c>
      <c r="R229" s="810">
        <f t="shared" si="50"/>
        <v>0</v>
      </c>
      <c r="S229" s="813">
        <f t="shared" ca="1" si="51"/>
        <v>1.4663658470387699</v>
      </c>
    </row>
    <row r="230" spans="1:19">
      <c r="A230" s="811">
        <f t="shared" ca="1" si="42"/>
        <v>41821</v>
      </c>
      <c r="B230" s="1102">
        <f ca="1">'[2]Monthly Curve Calc.'!B233</f>
        <v>522.80277717472779</v>
      </c>
      <c r="C230" s="1103">
        <f ca="1">'[2]Monthly Curve Calc.'!C233</f>
        <v>251.07112098745625</v>
      </c>
      <c r="D230" s="1103">
        <f ca="1">'[2]Monthly Curve Calc.'!D233</f>
        <v>190.53016305671883</v>
      </c>
      <c r="E230" s="1103">
        <f ca="1">'[2]Monthly Curve Calc.'!E233</f>
        <v>23.855000000000103</v>
      </c>
      <c r="F230" s="1104">
        <f ca="1">'[2]Monthly Curve Calc.'!F233</f>
        <v>2.8486095114750971</v>
      </c>
      <c r="G230" s="812">
        <f t="shared" ca="1" si="43"/>
        <v>1.0699999999999998</v>
      </c>
      <c r="H230" s="810">
        <f t="shared" ca="1" si="44"/>
        <v>1.0252711336549196</v>
      </c>
      <c r="I230" s="810">
        <f t="shared" ca="1" si="45"/>
        <v>1.0227711336549197</v>
      </c>
      <c r="J230" s="810">
        <f t="shared" ca="1" si="46"/>
        <v>1.0157291564825255</v>
      </c>
      <c r="K230" s="813">
        <f t="shared" ca="1" si="47"/>
        <v>23.23000000000005</v>
      </c>
      <c r="L230" s="921">
        <f t="shared" si="39"/>
        <v>218</v>
      </c>
      <c r="M230" s="809">
        <f t="shared" ca="1" si="40"/>
        <v>1.0252711336549196</v>
      </c>
      <c r="N230" s="810">
        <f t="shared" si="48"/>
        <v>1.0049999999999999</v>
      </c>
      <c r="O230" s="813">
        <f t="shared" ca="1" si="49"/>
        <v>1.5573978315409176</v>
      </c>
      <c r="Q230" s="809">
        <f t="shared" ca="1" si="41"/>
        <v>1.0252711336549196</v>
      </c>
      <c r="R230" s="810">
        <f t="shared" si="50"/>
        <v>0</v>
      </c>
      <c r="S230" s="813">
        <f t="shared" ca="1" si="51"/>
        <v>1.4663658470387699</v>
      </c>
    </row>
    <row r="231" spans="1:19">
      <c r="A231" s="811">
        <f t="shared" ca="1" si="42"/>
        <v>41852</v>
      </c>
      <c r="B231" s="1102">
        <f ca="1">'[2]Monthly Curve Calc.'!B234</f>
        <v>525.75878008581299</v>
      </c>
      <c r="C231" s="1103">
        <f ca="1">'[2]Monthly Curve Calc.'!C234</f>
        <v>251.59865958431774</v>
      </c>
      <c r="D231" s="1103">
        <f ca="1">'[2]Monthly Curve Calc.'!D234</f>
        <v>190.77622916562436</v>
      </c>
      <c r="E231" s="1103">
        <f ca="1">'[2]Monthly Curve Calc.'!E234</f>
        <v>23.905000000000104</v>
      </c>
      <c r="F231" s="1104">
        <f ca="1">'[2]Monthly Curve Calc.'!F234</f>
        <v>2.8533131225917847</v>
      </c>
      <c r="G231" s="812">
        <f t="shared" ca="1" si="43"/>
        <v>1.0699999999999998</v>
      </c>
      <c r="H231" s="810">
        <f t="shared" ca="1" si="44"/>
        <v>1.0252711336549196</v>
      </c>
      <c r="I231" s="810">
        <f t="shared" ca="1" si="45"/>
        <v>1.0227711336549197</v>
      </c>
      <c r="J231" s="810">
        <f t="shared" ca="1" si="46"/>
        <v>1.0157291564825255</v>
      </c>
      <c r="K231" s="813">
        <f t="shared" ca="1" si="47"/>
        <v>23.23000000000005</v>
      </c>
      <c r="L231" s="921">
        <f t="shared" si="39"/>
        <v>219</v>
      </c>
      <c r="M231" s="809">
        <f t="shared" ca="1" si="40"/>
        <v>1.0252711336549196</v>
      </c>
      <c r="N231" s="810">
        <f t="shared" si="48"/>
        <v>1.0049999999999999</v>
      </c>
      <c r="O231" s="813">
        <f t="shared" ca="1" si="49"/>
        <v>1.5573978315409176</v>
      </c>
      <c r="Q231" s="809">
        <f t="shared" ca="1" si="41"/>
        <v>1.0252711336549196</v>
      </c>
      <c r="R231" s="810">
        <f t="shared" si="50"/>
        <v>0</v>
      </c>
      <c r="S231" s="813">
        <f t="shared" ca="1" si="51"/>
        <v>1.4663658470387699</v>
      </c>
    </row>
    <row r="232" spans="1:19">
      <c r="A232" s="811">
        <f t="shared" ca="1" si="42"/>
        <v>41883</v>
      </c>
      <c r="B232" s="1102">
        <f ca="1">'[2]Monthly Curve Calc.'!B235</f>
        <v>528.731496667123</v>
      </c>
      <c r="C232" s="1103">
        <f ca="1">'[2]Monthly Curve Calc.'!C235</f>
        <v>252.12730661997571</v>
      </c>
      <c r="D232" s="1103">
        <f ca="1">'[2]Monthly Curve Calc.'!D235</f>
        <v>191.0226130642645</v>
      </c>
      <c r="E232" s="1103">
        <f ca="1">'[2]Monthly Curve Calc.'!E235</f>
        <v>23.955000000000105</v>
      </c>
      <c r="F232" s="1104">
        <f ca="1">'[2]Monthly Curve Calc.'!F235</f>
        <v>2.8580245002898335</v>
      </c>
      <c r="G232" s="812">
        <f t="shared" ca="1" si="43"/>
        <v>1.0699999999999998</v>
      </c>
      <c r="H232" s="810">
        <f t="shared" ca="1" si="44"/>
        <v>1.0252711336549196</v>
      </c>
      <c r="I232" s="810">
        <f t="shared" ca="1" si="45"/>
        <v>1.0227711336549197</v>
      </c>
      <c r="J232" s="810">
        <f t="shared" ca="1" si="46"/>
        <v>1.0157291564825255</v>
      </c>
      <c r="K232" s="813">
        <f t="shared" ca="1" si="47"/>
        <v>23.23000000000005</v>
      </c>
      <c r="L232" s="921">
        <f t="shared" si="39"/>
        <v>220</v>
      </c>
      <c r="M232" s="809">
        <f t="shared" ca="1" si="40"/>
        <v>1.0252711336549196</v>
      </c>
      <c r="N232" s="810">
        <f t="shared" si="48"/>
        <v>1.0049999999999999</v>
      </c>
      <c r="O232" s="813">
        <f t="shared" ca="1" si="49"/>
        <v>1.5573978315409176</v>
      </c>
      <c r="Q232" s="809">
        <f t="shared" ca="1" si="41"/>
        <v>1.0252711336549196</v>
      </c>
      <c r="R232" s="810">
        <f t="shared" si="50"/>
        <v>0</v>
      </c>
      <c r="S232" s="813">
        <f t="shared" ca="1" si="51"/>
        <v>1.4663658470387699</v>
      </c>
    </row>
    <row r="233" spans="1:19">
      <c r="A233" s="811">
        <f t="shared" ca="1" si="42"/>
        <v>41913</v>
      </c>
      <c r="B233" s="1102">
        <f ca="1">'[2]Monthly Curve Calc.'!B236</f>
        <v>531.72102142017934</v>
      </c>
      <c r="C233" s="1103">
        <f ca="1">'[2]Monthly Curve Calc.'!C236</f>
        <v>252.65706442342861</v>
      </c>
      <c r="D233" s="1103">
        <f ca="1">'[2]Monthly Curve Calc.'!D236</f>
        <v>191.26931516305868</v>
      </c>
      <c r="E233" s="1103">
        <f ca="1">'[2]Monthly Curve Calc.'!E236</f>
        <v>24.005000000000106</v>
      </c>
      <c r="F233" s="1104">
        <f ca="1">'[2]Monthly Curve Calc.'!F236</f>
        <v>2.8627436573933873</v>
      </c>
      <c r="G233" s="812">
        <f t="shared" ca="1" si="43"/>
        <v>1.0699999999999998</v>
      </c>
      <c r="H233" s="810">
        <f t="shared" ca="1" si="44"/>
        <v>1.0252711336549196</v>
      </c>
      <c r="I233" s="810">
        <f t="shared" ca="1" si="45"/>
        <v>1.0227711336549197</v>
      </c>
      <c r="J233" s="810">
        <f t="shared" ca="1" si="46"/>
        <v>1.0157291564825255</v>
      </c>
      <c r="K233" s="813">
        <f t="shared" ca="1" si="47"/>
        <v>23.23000000000005</v>
      </c>
      <c r="L233" s="921">
        <f t="shared" si="39"/>
        <v>221</v>
      </c>
      <c r="M233" s="809">
        <f t="shared" ca="1" si="40"/>
        <v>1.0252711336549196</v>
      </c>
      <c r="N233" s="810">
        <f t="shared" si="48"/>
        <v>1.0049999999999999</v>
      </c>
      <c r="O233" s="813">
        <f t="shared" ca="1" si="49"/>
        <v>1.5573978315409176</v>
      </c>
      <c r="Q233" s="809">
        <f t="shared" ca="1" si="41"/>
        <v>1.0252711336549196</v>
      </c>
      <c r="R233" s="810">
        <f t="shared" si="50"/>
        <v>0</v>
      </c>
      <c r="S233" s="813">
        <f t="shared" ca="1" si="51"/>
        <v>1.4663658470387699</v>
      </c>
    </row>
    <row r="234" spans="1:19">
      <c r="A234" s="811">
        <f t="shared" ca="1" si="42"/>
        <v>41944</v>
      </c>
      <c r="B234" s="1102">
        <f ca="1">'[2]Monthly Curve Calc.'!B237</f>
        <v>534.72744938082872</v>
      </c>
      <c r="C234" s="1103">
        <f ca="1">'[2]Monthly Curve Calc.'!C237</f>
        <v>253.18793532856844</v>
      </c>
      <c r="D234" s="1103">
        <f ca="1">'[2]Monthly Curve Calc.'!D237</f>
        <v>191.5163358729564</v>
      </c>
      <c r="E234" s="1103">
        <f ca="1">'[2]Monthly Curve Calc.'!E237</f>
        <v>24.055000000000106</v>
      </c>
      <c r="F234" s="1104">
        <f ca="1">'[2]Monthly Curve Calc.'!F237</f>
        <v>2.8674706067477653</v>
      </c>
      <c r="G234" s="812">
        <f t="shared" ca="1" si="43"/>
        <v>1.0699999999999998</v>
      </c>
      <c r="H234" s="810">
        <f t="shared" ca="1" si="44"/>
        <v>1.0252711336549196</v>
      </c>
      <c r="I234" s="810">
        <f t="shared" ca="1" si="45"/>
        <v>1.0227711336549197</v>
      </c>
      <c r="J234" s="810">
        <f t="shared" ca="1" si="46"/>
        <v>1.0157291564825255</v>
      </c>
      <c r="K234" s="813">
        <f t="shared" ca="1" si="47"/>
        <v>23.23000000000005</v>
      </c>
      <c r="L234" s="921">
        <f t="shared" si="39"/>
        <v>222</v>
      </c>
      <c r="M234" s="809">
        <f t="shared" ca="1" si="40"/>
        <v>1.0252711336549196</v>
      </c>
      <c r="N234" s="810">
        <f t="shared" si="48"/>
        <v>1.0049999999999999</v>
      </c>
      <c r="O234" s="813">
        <f t="shared" ca="1" si="49"/>
        <v>1.5573978315409176</v>
      </c>
      <c r="Q234" s="809">
        <f t="shared" ca="1" si="41"/>
        <v>1.0252711336549196</v>
      </c>
      <c r="R234" s="810">
        <f t="shared" si="50"/>
        <v>0</v>
      </c>
      <c r="S234" s="813">
        <f t="shared" ca="1" si="51"/>
        <v>1.4663658470387699</v>
      </c>
    </row>
    <row r="235" spans="1:19">
      <c r="A235" s="811">
        <f t="shared" ca="1" si="42"/>
        <v>41974</v>
      </c>
      <c r="B235" s="1102">
        <f ca="1">'[2]Monthly Curve Calc.'!B238</f>
        <v>537.75087612226434</v>
      </c>
      <c r="C235" s="1103">
        <f ca="1">'[2]Monthly Curve Calc.'!C238</f>
        <v>253.71992167419106</v>
      </c>
      <c r="D235" s="1103">
        <f ca="1">'[2]Monthly Curve Calc.'!D238</f>
        <v>191.7636756054379</v>
      </c>
      <c r="E235" s="1103">
        <f ca="1">'[2]Monthly Curve Calc.'!E238</f>
        <v>24.105000000000103</v>
      </c>
      <c r="F235" s="1104">
        <f ca="1">'[2]Monthly Curve Calc.'!F238</f>
        <v>2.8722053612194949</v>
      </c>
      <c r="G235" s="812">
        <f t="shared" ca="1" si="43"/>
        <v>1.0699999999999998</v>
      </c>
      <c r="H235" s="810">
        <f t="shared" ca="1" si="44"/>
        <v>1.0252711336549196</v>
      </c>
      <c r="I235" s="810">
        <f t="shared" ca="1" si="45"/>
        <v>1.0227711336549197</v>
      </c>
      <c r="J235" s="810">
        <f t="shared" ca="1" si="46"/>
        <v>1.0157291564825255</v>
      </c>
      <c r="K235" s="813">
        <f t="shared" ca="1" si="47"/>
        <v>23.23000000000005</v>
      </c>
      <c r="L235" s="921">
        <f t="shared" si="39"/>
        <v>223</v>
      </c>
      <c r="M235" s="809">
        <f t="shared" ca="1" si="40"/>
        <v>1.0252711336549196</v>
      </c>
      <c r="N235" s="810">
        <f t="shared" si="48"/>
        <v>1.0049999999999999</v>
      </c>
      <c r="O235" s="813">
        <f t="shared" ca="1" si="49"/>
        <v>1.5573978315409176</v>
      </c>
      <c r="Q235" s="809">
        <f t="shared" ca="1" si="41"/>
        <v>1.0252711336549196</v>
      </c>
      <c r="R235" s="810">
        <f t="shared" si="50"/>
        <v>0</v>
      </c>
      <c r="S235" s="813">
        <f t="shared" ca="1" si="51"/>
        <v>1.4663658470387699</v>
      </c>
    </row>
    <row r="236" spans="1:19">
      <c r="A236" s="811">
        <f t="shared" ca="1" si="42"/>
        <v>42005</v>
      </c>
      <c r="B236" s="1102">
        <f ca="1">'[2]Monthly Curve Calc.'!B239</f>
        <v>540.74926199610366</v>
      </c>
      <c r="C236" s="1103">
        <f ca="1">'[2]Monthly Curve Calc.'!C239</f>
        <v>254.26128855244508</v>
      </c>
      <c r="D236" s="1103">
        <f ca="1">'[2]Monthly Curve Calc.'!D239</f>
        <v>192.01704490382375</v>
      </c>
      <c r="E236" s="1103">
        <f ca="1">'[2]Monthly Curve Calc.'!E239</f>
        <v>24.155000000000104</v>
      </c>
      <c r="F236" s="1104">
        <f ca="1">'[2]Monthly Curve Calc.'!F239</f>
        <v>2.8769423701861823</v>
      </c>
      <c r="G236" s="812">
        <f t="shared" ca="1" si="43"/>
        <v>1.0699999999999998</v>
      </c>
      <c r="H236" s="810">
        <f t="shared" ca="1" si="44"/>
        <v>1.0252711336549196</v>
      </c>
      <c r="I236" s="810">
        <f t="shared" ca="1" si="45"/>
        <v>1.0227711336549197</v>
      </c>
      <c r="J236" s="810">
        <f t="shared" ca="1" si="46"/>
        <v>1.0156083317036773</v>
      </c>
      <c r="K236" s="813">
        <f t="shared" ca="1" si="47"/>
        <v>23.830000000000098</v>
      </c>
      <c r="L236" s="921">
        <f t="shared" si="39"/>
        <v>224</v>
      </c>
      <c r="M236" s="809">
        <f t="shared" ca="1" si="40"/>
        <v>1.0252711336549196</v>
      </c>
      <c r="N236" s="810">
        <f t="shared" si="48"/>
        <v>1.0049999999999999</v>
      </c>
      <c r="O236" s="813">
        <f t="shared" ca="1" si="49"/>
        <v>1.5573978315409176</v>
      </c>
      <c r="Q236" s="809">
        <f t="shared" ca="1" si="41"/>
        <v>1.0252711336549196</v>
      </c>
      <c r="R236" s="810">
        <f t="shared" si="50"/>
        <v>0</v>
      </c>
      <c r="S236" s="813">
        <f t="shared" ca="1" si="51"/>
        <v>1.4663658470387699</v>
      </c>
    </row>
    <row r="237" spans="1:19">
      <c r="A237" s="811">
        <f t="shared" ca="1" si="42"/>
        <v>42036</v>
      </c>
      <c r="B237" s="1102">
        <f ca="1">'[2]Monthly Curve Calc.'!B240</f>
        <v>543.76436623944755</v>
      </c>
      <c r="C237" s="1103">
        <f ca="1">'[2]Monthly Curve Calc.'!C240</f>
        <v>254.80381055519598</v>
      </c>
      <c r="D237" s="1103">
        <f ca="1">'[2]Monthly Curve Calc.'!D240</f>
        <v>192.27074896843246</v>
      </c>
      <c r="E237" s="1103">
        <f ca="1">'[2]Monthly Curve Calc.'!E240</f>
        <v>24.205000000000105</v>
      </c>
      <c r="F237" s="1104">
        <f ca="1">'[2]Monthly Curve Calc.'!F240</f>
        <v>2.8816871917049434</v>
      </c>
      <c r="G237" s="812">
        <f t="shared" ca="1" si="43"/>
        <v>1.0699999999999998</v>
      </c>
      <c r="H237" s="810">
        <f t="shared" ca="1" si="44"/>
        <v>1.0252711336549196</v>
      </c>
      <c r="I237" s="810">
        <f t="shared" ca="1" si="45"/>
        <v>1.0227711336549197</v>
      </c>
      <c r="J237" s="810">
        <f t="shared" ca="1" si="46"/>
        <v>1.0156083317036773</v>
      </c>
      <c r="K237" s="813">
        <f t="shared" ca="1" si="47"/>
        <v>23.830000000000098</v>
      </c>
      <c r="L237" s="921">
        <f t="shared" si="39"/>
        <v>225</v>
      </c>
      <c r="M237" s="809">
        <f t="shared" ca="1" si="40"/>
        <v>1.0252711336549196</v>
      </c>
      <c r="N237" s="810">
        <f t="shared" si="48"/>
        <v>1.0049999999999999</v>
      </c>
      <c r="O237" s="813">
        <f t="shared" ca="1" si="49"/>
        <v>1.5573978315409176</v>
      </c>
      <c r="Q237" s="809">
        <f t="shared" ca="1" si="41"/>
        <v>1.0252711336549196</v>
      </c>
      <c r="R237" s="810">
        <f t="shared" si="50"/>
        <v>0</v>
      </c>
      <c r="S237" s="813">
        <f t="shared" ca="1" si="51"/>
        <v>1.4663658470387699</v>
      </c>
    </row>
    <row r="238" spans="1:19">
      <c r="A238" s="811">
        <f t="shared" ca="1" si="42"/>
        <v>42064</v>
      </c>
      <c r="B238" s="1102">
        <f ca="1">'[2]Monthly Curve Calc.'!B241</f>
        <v>546.79628207041094</v>
      </c>
      <c r="C238" s="1103">
        <f ca="1">'[2]Monthly Curve Calc.'!C241</f>
        <v>255.34749014715422</v>
      </c>
      <c r="D238" s="1103">
        <f ca="1">'[2]Monthly Curve Calc.'!D241</f>
        <v>192.5247882415766</v>
      </c>
      <c r="E238" s="1103">
        <f ca="1">'[2]Monthly Curve Calc.'!E241</f>
        <v>24.255000000000106</v>
      </c>
      <c r="F238" s="1104">
        <f ca="1">'[2]Monthly Curve Calc.'!F241</f>
        <v>2.8864398386606953</v>
      </c>
      <c r="G238" s="812">
        <f t="shared" ca="1" si="43"/>
        <v>1.0699999999999998</v>
      </c>
      <c r="H238" s="810">
        <f t="shared" ca="1" si="44"/>
        <v>1.0252711336549196</v>
      </c>
      <c r="I238" s="810">
        <f t="shared" ca="1" si="45"/>
        <v>1.0227711336549197</v>
      </c>
      <c r="J238" s="810">
        <f t="shared" ca="1" si="46"/>
        <v>1.0156083317036773</v>
      </c>
      <c r="K238" s="813">
        <f t="shared" ca="1" si="47"/>
        <v>23.830000000000098</v>
      </c>
      <c r="L238" s="921">
        <f t="shared" si="39"/>
        <v>226</v>
      </c>
      <c r="M238" s="809">
        <f t="shared" ca="1" si="40"/>
        <v>1.0252711336549196</v>
      </c>
      <c r="N238" s="810">
        <f t="shared" si="48"/>
        <v>1.0049999999999999</v>
      </c>
      <c r="O238" s="813">
        <f t="shared" ca="1" si="49"/>
        <v>1.5573978315409176</v>
      </c>
      <c r="Q238" s="809">
        <f t="shared" ca="1" si="41"/>
        <v>1.0252711336549196</v>
      </c>
      <c r="R238" s="810">
        <f t="shared" si="50"/>
        <v>0</v>
      </c>
      <c r="S238" s="813">
        <f t="shared" ca="1" si="51"/>
        <v>1.4663658470387699</v>
      </c>
    </row>
    <row r="239" spans="1:19">
      <c r="A239" s="811">
        <f t="shared" ca="1" si="42"/>
        <v>42095</v>
      </c>
      <c r="B239" s="1102">
        <f ca="1">'[2]Monthly Curve Calc.'!B242</f>
        <v>549.84510322687333</v>
      </c>
      <c r="C239" s="1103">
        <f ca="1">'[2]Monthly Curve Calc.'!C242</f>
        <v>255.89232979828924</v>
      </c>
      <c r="D239" s="1103">
        <f ca="1">'[2]Monthly Curve Calc.'!D242</f>
        <v>192.77916316615313</v>
      </c>
      <c r="E239" s="1103">
        <f ca="1">'[2]Monthly Curve Calc.'!E242</f>
        <v>24.305000000000106</v>
      </c>
      <c r="F239" s="1104">
        <f ca="1">'[2]Monthly Curve Calc.'!F242</f>
        <v>2.8912003239596067</v>
      </c>
      <c r="G239" s="812">
        <f t="shared" ca="1" si="43"/>
        <v>1.0699999999999998</v>
      </c>
      <c r="H239" s="810">
        <f t="shared" ca="1" si="44"/>
        <v>1.0252711336549196</v>
      </c>
      <c r="I239" s="810">
        <f t="shared" ca="1" si="45"/>
        <v>1.0227711336549197</v>
      </c>
      <c r="J239" s="810">
        <f t="shared" ca="1" si="46"/>
        <v>1.0156083317036773</v>
      </c>
      <c r="K239" s="813">
        <f t="shared" ca="1" si="47"/>
        <v>23.830000000000098</v>
      </c>
      <c r="L239" s="921">
        <f t="shared" si="39"/>
        <v>227</v>
      </c>
      <c r="M239" s="809">
        <f t="shared" ca="1" si="40"/>
        <v>1.0252711336549196</v>
      </c>
      <c r="N239" s="810">
        <f t="shared" si="48"/>
        <v>1.0049999999999999</v>
      </c>
      <c r="O239" s="813">
        <f t="shared" ca="1" si="49"/>
        <v>1.5573978315409176</v>
      </c>
      <c r="Q239" s="809">
        <f t="shared" ca="1" si="41"/>
        <v>1.0252711336549196</v>
      </c>
      <c r="R239" s="810">
        <f t="shared" si="50"/>
        <v>0</v>
      </c>
      <c r="S239" s="813">
        <f t="shared" ca="1" si="51"/>
        <v>1.4663658470387699</v>
      </c>
    </row>
    <row r="240" spans="1:19">
      <c r="A240" s="811">
        <f t="shared" ca="1" si="42"/>
        <v>42125</v>
      </c>
      <c r="B240" s="1102">
        <f ca="1">'[2]Monthly Curve Calc.'!B243</f>
        <v>552.910923969377</v>
      </c>
      <c r="C240" s="1103">
        <f ca="1">'[2]Monthly Curve Calc.'!C243</f>
        <v>256.43833198384067</v>
      </c>
      <c r="D240" s="1103">
        <f ca="1">'[2]Monthly Curve Calc.'!D243</f>
        <v>193.03387418564421</v>
      </c>
      <c r="E240" s="1103">
        <f ca="1">'[2]Monthly Curve Calc.'!E243</f>
        <v>24.355000000000107</v>
      </c>
      <c r="F240" s="1104">
        <f ca="1">'[2]Monthly Curve Calc.'!F243</f>
        <v>2.8959686605291308</v>
      </c>
      <c r="G240" s="812">
        <f t="shared" ca="1" si="43"/>
        <v>1.0696665627705568</v>
      </c>
      <c r="H240" s="810">
        <f t="shared" ca="1" si="44"/>
        <v>1.0256405690902242</v>
      </c>
      <c r="I240" s="810">
        <f t="shared" ca="1" si="45"/>
        <v>1.0231405690902242</v>
      </c>
      <c r="J240" s="810">
        <f t="shared" ca="1" si="46"/>
        <v>1.0156083317036773</v>
      </c>
      <c r="K240" s="813">
        <f t="shared" ca="1" si="47"/>
        <v>23.830000000000098</v>
      </c>
      <c r="L240" s="921">
        <f t="shared" si="39"/>
        <v>228</v>
      </c>
      <c r="M240" s="809">
        <f t="shared" ca="1" si="40"/>
        <v>1.0256405690902242</v>
      </c>
      <c r="N240" s="810">
        <f t="shared" si="48"/>
        <v>1.0049999999999999</v>
      </c>
      <c r="O240" s="813">
        <f t="shared" ca="1" si="49"/>
        <v>1.5973303982415077</v>
      </c>
      <c r="Q240" s="809">
        <f t="shared" ca="1" si="41"/>
        <v>1.0256405690902242</v>
      </c>
      <c r="R240" s="810">
        <f t="shared" si="50"/>
        <v>0</v>
      </c>
      <c r="S240" s="813">
        <f t="shared" ca="1" si="51"/>
        <v>1.4663658470387699</v>
      </c>
    </row>
    <row r="241" spans="1:19">
      <c r="A241" s="811">
        <f t="shared" ca="1" si="42"/>
        <v>42156</v>
      </c>
      <c r="B241" s="1102">
        <f ca="1">'[2]Monthly Curve Calc.'!B244</f>
        <v>555.99383908404116</v>
      </c>
      <c r="C241" s="1103">
        <f ca="1">'[2]Monthly Curve Calc.'!C244</f>
        <v>256.98549918432968</v>
      </c>
      <c r="D241" s="1103">
        <f ca="1">'[2]Monthly Curve Calc.'!D244</f>
        <v>193.28892174411794</v>
      </c>
      <c r="E241" s="1103">
        <f ca="1">'[2]Monthly Curve Calc.'!E244</f>
        <v>24.405000000000108</v>
      </c>
      <c r="F241" s="1104">
        <f ca="1">'[2]Monthly Curve Calc.'!F244</f>
        <v>2.9007448613180422</v>
      </c>
      <c r="G241" s="812">
        <f t="shared" ca="1" si="43"/>
        <v>1.0696665627705568</v>
      </c>
      <c r="H241" s="810">
        <f t="shared" ca="1" si="44"/>
        <v>1.0256405690902242</v>
      </c>
      <c r="I241" s="810">
        <f t="shared" ca="1" si="45"/>
        <v>1.0231405690902242</v>
      </c>
      <c r="J241" s="810">
        <f t="shared" ca="1" si="46"/>
        <v>1.0156083317036773</v>
      </c>
      <c r="K241" s="813">
        <f t="shared" ca="1" si="47"/>
        <v>23.830000000000098</v>
      </c>
      <c r="L241" s="921">
        <f t="shared" si="39"/>
        <v>229</v>
      </c>
      <c r="M241" s="809">
        <f t="shared" ca="1" si="40"/>
        <v>1.0256405690902242</v>
      </c>
      <c r="N241" s="810">
        <f t="shared" si="48"/>
        <v>1.0049999999999999</v>
      </c>
      <c r="O241" s="813">
        <f t="shared" ca="1" si="49"/>
        <v>1.5973303982415077</v>
      </c>
      <c r="Q241" s="809">
        <f t="shared" ca="1" si="41"/>
        <v>1.0256405690902242</v>
      </c>
      <c r="R241" s="810">
        <f t="shared" si="50"/>
        <v>0</v>
      </c>
      <c r="S241" s="813">
        <f t="shared" ca="1" si="51"/>
        <v>1.5039643018513127</v>
      </c>
    </row>
    <row r="242" spans="1:19">
      <c r="A242" s="811">
        <f t="shared" ca="1" si="42"/>
        <v>42186</v>
      </c>
      <c r="B242" s="1102">
        <f ca="1">'[2]Monthly Curve Calc.'!B245</f>
        <v>559.09394388549242</v>
      </c>
      <c r="C242" s="1103">
        <f ca="1">'[2]Monthly Curve Calc.'!C245</f>
        <v>257.53383388557017</v>
      </c>
      <c r="D242" s="1103">
        <f ca="1">'[2]Monthly Curve Calc.'!D245</f>
        <v>193.54430628622919</v>
      </c>
      <c r="E242" s="1103">
        <f ca="1">'[2]Monthly Curve Calc.'!E245</f>
        <v>24.455000000000108</v>
      </c>
      <c r="F242" s="1104">
        <f ca="1">'[2]Monthly Curve Calc.'!F245</f>
        <v>2.9055289392964712</v>
      </c>
      <c r="G242" s="812">
        <f t="shared" ca="1" si="43"/>
        <v>1.0696665627705568</v>
      </c>
      <c r="H242" s="810">
        <f t="shared" ca="1" si="44"/>
        <v>1.0256405690902242</v>
      </c>
      <c r="I242" s="810">
        <f t="shared" ca="1" si="45"/>
        <v>1.0231405690902242</v>
      </c>
      <c r="J242" s="810">
        <f t="shared" ca="1" si="46"/>
        <v>1.0156083317036773</v>
      </c>
      <c r="K242" s="813">
        <f t="shared" ca="1" si="47"/>
        <v>23.830000000000098</v>
      </c>
      <c r="L242" s="921">
        <f t="shared" si="39"/>
        <v>230</v>
      </c>
      <c r="M242" s="809">
        <f t="shared" ca="1" si="40"/>
        <v>1.0256405690902242</v>
      </c>
      <c r="N242" s="810">
        <f t="shared" si="48"/>
        <v>1.0049999999999999</v>
      </c>
      <c r="O242" s="813">
        <f t="shared" ca="1" si="49"/>
        <v>1.5973303982415077</v>
      </c>
      <c r="Q242" s="809">
        <f t="shared" ca="1" si="41"/>
        <v>1.0256405690902242</v>
      </c>
      <c r="R242" s="810">
        <f t="shared" si="50"/>
        <v>0</v>
      </c>
      <c r="S242" s="813">
        <f t="shared" ca="1" si="51"/>
        <v>1.5039643018513127</v>
      </c>
    </row>
    <row r="243" spans="1:19">
      <c r="A243" s="811">
        <f t="shared" ca="1" si="42"/>
        <v>42217</v>
      </c>
      <c r="B243" s="1102">
        <f ca="1">'[2]Monthly Curve Calc.'!B246</f>
        <v>562.21133421981187</v>
      </c>
      <c r="C243" s="1103">
        <f ca="1">'[2]Monthly Curve Calc.'!C246</f>
        <v>258.08333857868001</v>
      </c>
      <c r="D243" s="1103">
        <f ca="1">'[2]Monthly Curve Calc.'!D246</f>
        <v>193.80002825722028</v>
      </c>
      <c r="E243" s="1103">
        <f ca="1">'[2]Monthly Curve Calc.'!E246</f>
        <v>24.505000000000109</v>
      </c>
      <c r="F243" s="1104">
        <f ca="1">'[2]Monthly Curve Calc.'!F246</f>
        <v>2.9103209074559393</v>
      </c>
      <c r="G243" s="812">
        <f t="shared" ca="1" si="43"/>
        <v>1.0696665627705568</v>
      </c>
      <c r="H243" s="810">
        <f t="shared" ca="1" si="44"/>
        <v>1.0256405690902242</v>
      </c>
      <c r="I243" s="810">
        <f t="shared" ca="1" si="45"/>
        <v>1.0231405690902242</v>
      </c>
      <c r="J243" s="810">
        <f t="shared" ca="1" si="46"/>
        <v>1.0156083317036773</v>
      </c>
      <c r="K243" s="813">
        <f t="shared" ca="1" si="47"/>
        <v>23.830000000000098</v>
      </c>
      <c r="L243" s="921">
        <f t="shared" si="39"/>
        <v>231</v>
      </c>
      <c r="M243" s="809">
        <f t="shared" ca="1" si="40"/>
        <v>1.0256405690902242</v>
      </c>
      <c r="N243" s="810">
        <f t="shared" si="48"/>
        <v>1.0049999999999999</v>
      </c>
      <c r="O243" s="813">
        <f t="shared" ca="1" si="49"/>
        <v>1.5973303982415077</v>
      </c>
      <c r="Q243" s="809">
        <f t="shared" ca="1" si="41"/>
        <v>1.0256405690902242</v>
      </c>
      <c r="R243" s="810">
        <f t="shared" si="50"/>
        <v>0</v>
      </c>
      <c r="S243" s="813">
        <f t="shared" ca="1" si="51"/>
        <v>1.5039643018513127</v>
      </c>
    </row>
    <row r="244" spans="1:19">
      <c r="A244" s="811">
        <f t="shared" ca="1" si="42"/>
        <v>42248</v>
      </c>
      <c r="B244" s="1102">
        <f ca="1">'[2]Monthly Curve Calc.'!B247</f>
        <v>565.34610646749809</v>
      </c>
      <c r="C244" s="1103">
        <f ca="1">'[2]Monthly Curve Calc.'!C247</f>
        <v>258.63401576009244</v>
      </c>
      <c r="D244" s="1103">
        <f ca="1">'[2]Monthly Curve Calc.'!D247</f>
        <v>194.05608810292182</v>
      </c>
      <c r="E244" s="1103">
        <f ca="1">'[2]Monthly Curve Calc.'!E247</f>
        <v>24.55500000000011</v>
      </c>
      <c r="F244" s="1104">
        <f ca="1">'[2]Monthly Curve Calc.'!F247</f>
        <v>2.9151207788093942</v>
      </c>
      <c r="G244" s="812">
        <f t="shared" ca="1" si="43"/>
        <v>1.0696665627705568</v>
      </c>
      <c r="H244" s="810">
        <f t="shared" ca="1" si="44"/>
        <v>1.0256405690902242</v>
      </c>
      <c r="I244" s="810">
        <f t="shared" ca="1" si="45"/>
        <v>1.0231405690902242</v>
      </c>
      <c r="J244" s="810">
        <f t="shared" ca="1" si="46"/>
        <v>1.0156083317036773</v>
      </c>
      <c r="K244" s="813">
        <f t="shared" ca="1" si="47"/>
        <v>23.830000000000098</v>
      </c>
      <c r="L244" s="921">
        <f t="shared" si="39"/>
        <v>232</v>
      </c>
      <c r="M244" s="809">
        <f t="shared" ca="1" si="40"/>
        <v>1.0256405690902242</v>
      </c>
      <c r="N244" s="810">
        <f t="shared" si="48"/>
        <v>1.0049999999999999</v>
      </c>
      <c r="O244" s="813">
        <f t="shared" ca="1" si="49"/>
        <v>1.5973303982415077</v>
      </c>
      <c r="Q244" s="809">
        <f t="shared" ca="1" si="41"/>
        <v>1.0256405690902242</v>
      </c>
      <c r="R244" s="810">
        <f t="shared" si="50"/>
        <v>0</v>
      </c>
      <c r="S244" s="813">
        <f t="shared" ca="1" si="51"/>
        <v>1.5039643018513127</v>
      </c>
    </row>
    <row r="245" spans="1:19">
      <c r="A245" s="811">
        <f t="shared" ca="1" si="42"/>
        <v>42278</v>
      </c>
      <c r="B245" s="1102">
        <f ca="1">'[2]Monthly Curve Calc.'!B248</f>
        <v>568.4983575464471</v>
      </c>
      <c r="C245" s="1103">
        <f ca="1">'[2]Monthly Curve Calc.'!C248</f>
        <v>259.18586793156737</v>
      </c>
      <c r="D245" s="1103">
        <f ca="1">'[2]Monthly Curve Calc.'!D248</f>
        <v>194.31248626975349</v>
      </c>
      <c r="E245" s="1103">
        <f ca="1">'[2]Monthly Curve Calc.'!E248</f>
        <v>24.605000000000111</v>
      </c>
      <c r="F245" s="1104">
        <f ca="1">'[2]Monthly Curve Calc.'!F248</f>
        <v>2.9199285663912451</v>
      </c>
      <c r="G245" s="812">
        <f t="shared" ca="1" si="43"/>
        <v>1.0696665627705568</v>
      </c>
      <c r="H245" s="810">
        <f t="shared" ca="1" si="44"/>
        <v>1.0256405690902242</v>
      </c>
      <c r="I245" s="810">
        <f t="shared" ca="1" si="45"/>
        <v>1.0231405690902242</v>
      </c>
      <c r="J245" s="810">
        <f t="shared" ca="1" si="46"/>
        <v>1.0156083317036773</v>
      </c>
      <c r="K245" s="813">
        <f t="shared" ca="1" si="47"/>
        <v>23.830000000000098</v>
      </c>
      <c r="L245" s="921">
        <f t="shared" si="39"/>
        <v>233</v>
      </c>
      <c r="M245" s="809">
        <f t="shared" ca="1" si="40"/>
        <v>1.0256405690902242</v>
      </c>
      <c r="N245" s="810">
        <f t="shared" si="48"/>
        <v>1.0049999999999999</v>
      </c>
      <c r="O245" s="813">
        <f t="shared" ca="1" si="49"/>
        <v>1.5973303982415077</v>
      </c>
      <c r="Q245" s="809">
        <f t="shared" ca="1" si="41"/>
        <v>1.0256405690902242</v>
      </c>
      <c r="R245" s="810">
        <f t="shared" si="50"/>
        <v>0</v>
      </c>
      <c r="S245" s="813">
        <f t="shared" ca="1" si="51"/>
        <v>1.5039643018513127</v>
      </c>
    </row>
    <row r="246" spans="1:19">
      <c r="A246" s="811">
        <f t="shared" ca="1" si="42"/>
        <v>42309</v>
      </c>
      <c r="B246" s="1102">
        <f ca="1">'[2]Monthly Curve Calc.'!B249</f>
        <v>571.66818491494882</v>
      </c>
      <c r="C246" s="1103">
        <f ca="1">'[2]Monthly Curve Calc.'!C249</f>
        <v>259.73889760020279</v>
      </c>
      <c r="D246" s="1103">
        <f ca="1">'[2]Monthly Curve Calc.'!D249</f>
        <v>194.56922320472484</v>
      </c>
      <c r="E246" s="1103">
        <f ca="1">'[2]Monthly Curve Calc.'!E249</f>
        <v>24.655000000000111</v>
      </c>
      <c r="F246" s="1104">
        <f ca="1">'[2]Monthly Curve Calc.'!F249</f>
        <v>2.9247442832573989</v>
      </c>
      <c r="G246" s="812">
        <f t="shared" ca="1" si="43"/>
        <v>1.0696665627705568</v>
      </c>
      <c r="H246" s="810">
        <f t="shared" ca="1" si="44"/>
        <v>1.0256405690902242</v>
      </c>
      <c r="I246" s="810">
        <f t="shared" ca="1" si="45"/>
        <v>1.0231405690902242</v>
      </c>
      <c r="J246" s="810">
        <f t="shared" ca="1" si="46"/>
        <v>1.0156083317036773</v>
      </c>
      <c r="K246" s="813">
        <f t="shared" ca="1" si="47"/>
        <v>23.830000000000098</v>
      </c>
      <c r="L246" s="921">
        <f t="shared" si="39"/>
        <v>234</v>
      </c>
      <c r="M246" s="809">
        <f t="shared" ca="1" si="40"/>
        <v>1.0256405690902242</v>
      </c>
      <c r="N246" s="810">
        <f t="shared" si="48"/>
        <v>1.0049999999999999</v>
      </c>
      <c r="O246" s="813">
        <f t="shared" ca="1" si="49"/>
        <v>1.5973303982415077</v>
      </c>
      <c r="Q246" s="809">
        <f t="shared" ca="1" si="41"/>
        <v>1.0256405690902242</v>
      </c>
      <c r="R246" s="810">
        <f t="shared" si="50"/>
        <v>0</v>
      </c>
      <c r="S246" s="813">
        <f t="shared" ca="1" si="51"/>
        <v>1.5039643018513127</v>
      </c>
    </row>
    <row r="247" spans="1:19">
      <c r="A247" s="811">
        <f t="shared" ca="1" si="42"/>
        <v>42339</v>
      </c>
      <c r="B247" s="1102">
        <f ca="1">'[2]Monthly Curve Calc.'!B250</f>
        <v>574.85568657469992</v>
      </c>
      <c r="C247" s="1103">
        <f ca="1">'[2]Monthly Curve Calc.'!C250</f>
        <v>260.29310727844609</v>
      </c>
      <c r="D247" s="1103">
        <f ca="1">'[2]Monthly Curve Calc.'!D250</f>
        <v>194.82629935543594</v>
      </c>
      <c r="E247" s="1103">
        <f ca="1">'[2]Monthly Curve Calc.'!E250</f>
        <v>24.705000000000108</v>
      </c>
      <c r="F247" s="1104">
        <f ca="1">'[2]Monthly Curve Calc.'!F250</f>
        <v>2.9295679424852956</v>
      </c>
      <c r="G247" s="812">
        <f t="shared" ca="1" si="43"/>
        <v>1.0696665627705568</v>
      </c>
      <c r="H247" s="810">
        <f t="shared" ca="1" si="44"/>
        <v>1.0256405690902242</v>
      </c>
      <c r="I247" s="810">
        <f t="shared" ca="1" si="45"/>
        <v>1.0231405690902242</v>
      </c>
      <c r="J247" s="810">
        <f t="shared" ca="1" si="46"/>
        <v>1.0156083317036773</v>
      </c>
      <c r="K247" s="813">
        <f t="shared" ca="1" si="47"/>
        <v>23.830000000000098</v>
      </c>
      <c r="L247" s="921">
        <f t="shared" si="39"/>
        <v>235</v>
      </c>
      <c r="M247" s="809">
        <f t="shared" ca="1" si="40"/>
        <v>1.0256405690902242</v>
      </c>
      <c r="N247" s="810">
        <f t="shared" si="48"/>
        <v>1.0049999999999999</v>
      </c>
      <c r="O247" s="813">
        <f t="shared" ca="1" si="49"/>
        <v>1.5973303982415077</v>
      </c>
      <c r="Q247" s="809">
        <f t="shared" ca="1" si="41"/>
        <v>1.0256405690902242</v>
      </c>
      <c r="R247" s="810">
        <f t="shared" si="50"/>
        <v>0</v>
      </c>
      <c r="S247" s="813">
        <f t="shared" ca="1" si="51"/>
        <v>1.5039643018513127</v>
      </c>
    </row>
    <row r="248" spans="1:19">
      <c r="A248" s="811">
        <f t="shared" ca="1" si="42"/>
        <v>42370</v>
      </c>
      <c r="B248" s="1102">
        <f ca="1">'[2]Monthly Curve Calc.'!B251</f>
        <v>578.06096107383416</v>
      </c>
      <c r="C248" s="1103">
        <f ca="1">'[2]Monthly Curve Calc.'!C251</f>
        <v>260.85926756007507</v>
      </c>
      <c r="D248" s="1103">
        <f ca="1">'[2]Monthly Curve Calc.'!D251</f>
        <v>195.09431269035287</v>
      </c>
      <c r="E248" s="1103">
        <f ca="1">'[2]Monthly Curve Calc.'!E251</f>
        <v>24.735902777777884</v>
      </c>
      <c r="F248" s="1104">
        <f ca="1">'[2]Monthly Curve Calc.'!F251</f>
        <v>2.9344084151188023</v>
      </c>
      <c r="G248" s="812">
        <f t="shared" ca="1" si="43"/>
        <v>1.0696665627705568</v>
      </c>
      <c r="H248" s="810">
        <f t="shared" ca="1" si="44"/>
        <v>1.0256405690902242</v>
      </c>
      <c r="I248" s="810">
        <f t="shared" ca="1" si="45"/>
        <v>1.0231405690902242</v>
      </c>
      <c r="J248" s="810">
        <f t="shared" ca="1" si="46"/>
        <v>1.0159708231516147</v>
      </c>
      <c r="K248" s="813">
        <f t="shared" ca="1" si="47"/>
        <v>24.430000000000106</v>
      </c>
      <c r="L248" s="921">
        <f t="shared" si="39"/>
        <v>236</v>
      </c>
      <c r="M248" s="809">
        <f t="shared" ca="1" si="40"/>
        <v>1.0256405690902242</v>
      </c>
      <c r="N248" s="810">
        <f t="shared" si="48"/>
        <v>1.0049999999999999</v>
      </c>
      <c r="O248" s="813">
        <f t="shared" ca="1" si="49"/>
        <v>1.5973303982415077</v>
      </c>
      <c r="Q248" s="809">
        <f t="shared" ca="1" si="41"/>
        <v>1.0256405690902242</v>
      </c>
      <c r="R248" s="810">
        <f t="shared" si="50"/>
        <v>0</v>
      </c>
      <c r="S248" s="813">
        <f t="shared" ca="1" si="51"/>
        <v>1.5039643018513127</v>
      </c>
    </row>
    <row r="249" spans="1:19">
      <c r="A249" s="811">
        <f t="shared" ca="1" si="42"/>
        <v>42401</v>
      </c>
      <c r="B249" s="1102">
        <f ca="1">'[2]Monthly Curve Calc.'!B252</f>
        <v>581.28410750996875</v>
      </c>
      <c r="C249" s="1103">
        <f ca="1">'[2]Monthly Curve Calc.'!C252</f>
        <v>261.42665928985053</v>
      </c>
      <c r="D249" s="1103">
        <f ca="1">'[2]Monthly Curve Calc.'!D252</f>
        <v>195.36269471855161</v>
      </c>
      <c r="E249" s="1103">
        <f ca="1">'[2]Monthly Curve Calc.'!E252</f>
        <v>24.76680555555566</v>
      </c>
      <c r="F249" s="1104">
        <f ca="1">'[2]Monthly Curve Calc.'!F252</f>
        <v>2.939256885578533</v>
      </c>
      <c r="G249" s="812">
        <f t="shared" ca="1" si="43"/>
        <v>1.0696665627705568</v>
      </c>
      <c r="H249" s="810">
        <f t="shared" ca="1" si="44"/>
        <v>1.0256405690902242</v>
      </c>
      <c r="I249" s="810">
        <f t="shared" ca="1" si="45"/>
        <v>1.0231405690902242</v>
      </c>
      <c r="J249" s="810">
        <f t="shared" ca="1" si="46"/>
        <v>1.0159708231516147</v>
      </c>
      <c r="K249" s="813">
        <f t="shared" ca="1" si="47"/>
        <v>24.430000000000106</v>
      </c>
      <c r="L249" s="921">
        <f t="shared" si="39"/>
        <v>237</v>
      </c>
      <c r="M249" s="809">
        <f t="shared" ca="1" si="40"/>
        <v>1.0256405690902242</v>
      </c>
      <c r="N249" s="810">
        <f t="shared" si="48"/>
        <v>1.0049999999999999</v>
      </c>
      <c r="O249" s="813">
        <f t="shared" ca="1" si="49"/>
        <v>1.5973303982415077</v>
      </c>
      <c r="Q249" s="809">
        <f t="shared" ca="1" si="41"/>
        <v>1.0256405690902242</v>
      </c>
      <c r="R249" s="810">
        <f t="shared" si="50"/>
        <v>0</v>
      </c>
      <c r="S249" s="813">
        <f t="shared" ca="1" si="51"/>
        <v>1.5039643018513127</v>
      </c>
    </row>
    <row r="250" spans="1:19">
      <c r="A250" s="811">
        <f t="shared" ca="1" si="42"/>
        <v>42430</v>
      </c>
      <c r="B250" s="1102">
        <f ca="1">'[2]Monthly Curve Calc.'!B253</f>
        <v>584.52522553326867</v>
      </c>
      <c r="C250" s="1103">
        <f ca="1">'[2]Monthly Curve Calc.'!C253</f>
        <v>261.99528514627991</v>
      </c>
      <c r="D250" s="1103">
        <f ca="1">'[2]Monthly Curve Calc.'!D253</f>
        <v>195.6314459472261</v>
      </c>
      <c r="E250" s="1103">
        <f ca="1">'[2]Monthly Curve Calc.'!E253</f>
        <v>24.797708333333436</v>
      </c>
      <c r="F250" s="1104">
        <f ca="1">'[2]Monthly Curve Calc.'!F253</f>
        <v>2.9441133670791526</v>
      </c>
      <c r="G250" s="812">
        <f t="shared" ca="1" si="43"/>
        <v>1.0696665627705568</v>
      </c>
      <c r="H250" s="810">
        <f t="shared" ca="1" si="44"/>
        <v>1.0256405690902242</v>
      </c>
      <c r="I250" s="810">
        <f t="shared" ca="1" si="45"/>
        <v>1.0231405690902242</v>
      </c>
      <c r="J250" s="810">
        <f t="shared" ca="1" si="46"/>
        <v>1.0159708231516147</v>
      </c>
      <c r="K250" s="813">
        <f t="shared" ca="1" si="47"/>
        <v>24.430000000000106</v>
      </c>
      <c r="L250" s="921">
        <f t="shared" si="39"/>
        <v>238</v>
      </c>
      <c r="M250" s="809">
        <f t="shared" ca="1" si="40"/>
        <v>1.0256405690902242</v>
      </c>
      <c r="N250" s="810">
        <f t="shared" si="48"/>
        <v>1.0049999999999999</v>
      </c>
      <c r="O250" s="813">
        <f t="shared" ca="1" si="49"/>
        <v>1.5973303982415077</v>
      </c>
      <c r="Q250" s="809">
        <f t="shared" ca="1" si="41"/>
        <v>1.0256405690902242</v>
      </c>
      <c r="R250" s="810">
        <f t="shared" si="50"/>
        <v>0</v>
      </c>
      <c r="S250" s="813">
        <f t="shared" ca="1" si="51"/>
        <v>1.5039643018513127</v>
      </c>
    </row>
    <row r="251" spans="1:19">
      <c r="A251" s="811">
        <f t="shared" ca="1" si="42"/>
        <v>42461</v>
      </c>
      <c r="B251" s="1102">
        <f ca="1">'[2]Monthly Curve Calc.'!B254</f>
        <v>587.78441534952697</v>
      </c>
      <c r="C251" s="1103">
        <f ca="1">'[2]Monthly Curve Calc.'!C254</f>
        <v>262.56514781369663</v>
      </c>
      <c r="D251" s="1103">
        <f ca="1">'[2]Monthly Curve Calc.'!D254</f>
        <v>195.90056688426799</v>
      </c>
      <c r="E251" s="1103">
        <f ca="1">'[2]Monthly Curve Calc.'!E254</f>
        <v>24.828611111111211</v>
      </c>
      <c r="F251" s="1104">
        <f ca="1">'[2]Monthly Curve Calc.'!F254</f>
        <v>2.948977872857161</v>
      </c>
      <c r="G251" s="812">
        <f t="shared" ca="1" si="43"/>
        <v>1.0696665627705568</v>
      </c>
      <c r="H251" s="810">
        <f t="shared" ca="1" si="44"/>
        <v>1.0256405690902242</v>
      </c>
      <c r="I251" s="810">
        <f t="shared" ca="1" si="45"/>
        <v>1.0231405690902242</v>
      </c>
      <c r="J251" s="810">
        <f t="shared" ca="1" si="46"/>
        <v>1.0159708231516147</v>
      </c>
      <c r="K251" s="813">
        <f t="shared" ca="1" si="47"/>
        <v>24.430000000000106</v>
      </c>
      <c r="L251" s="921">
        <f t="shared" si="39"/>
        <v>239</v>
      </c>
      <c r="M251" s="809">
        <f t="shared" ca="1" si="40"/>
        <v>1.0256405690902242</v>
      </c>
      <c r="N251" s="810">
        <f t="shared" si="48"/>
        <v>1.0049999999999999</v>
      </c>
      <c r="O251" s="813">
        <f t="shared" ca="1" si="49"/>
        <v>1.5973303982415077</v>
      </c>
      <c r="Q251" s="809">
        <f t="shared" ca="1" si="41"/>
        <v>1.0256405690902242</v>
      </c>
      <c r="R251" s="810">
        <f t="shared" si="50"/>
        <v>0</v>
      </c>
      <c r="S251" s="813">
        <f t="shared" ca="1" si="51"/>
        <v>1.5039643018513127</v>
      </c>
    </row>
    <row r="252" spans="1:19">
      <c r="A252" s="811">
        <f t="shared" ca="1" si="42"/>
        <v>42491</v>
      </c>
      <c r="B252" s="1102">
        <f ca="1">'[2]Monthly Curve Calc.'!B255</f>
        <v>591.06177772326339</v>
      </c>
      <c r="C252" s="1103">
        <f ca="1">'[2]Monthly Curve Calc.'!C255</f>
        <v>263.13624998227283</v>
      </c>
      <c r="D252" s="1103">
        <f ca="1">'[2]Monthly Curve Calc.'!D255</f>
        <v>196.1700580382676</v>
      </c>
      <c r="E252" s="1103">
        <f ca="1">'[2]Monthly Curve Calc.'!E255</f>
        <v>24.859513888888987</v>
      </c>
      <c r="F252" s="1104">
        <f ca="1">'[2]Monthly Curve Calc.'!F255</f>
        <v>2.9538504161709276</v>
      </c>
      <c r="G252" s="812">
        <f t="shared" ca="1" si="43"/>
        <v>1.0689999999999988</v>
      </c>
      <c r="H252" s="810">
        <f t="shared" ca="1" si="44"/>
        <v>1.0260766628709321</v>
      </c>
      <c r="I252" s="810">
        <f t="shared" ca="1" si="45"/>
        <v>1.0235766628709322</v>
      </c>
      <c r="J252" s="810">
        <f t="shared" ca="1" si="46"/>
        <v>1.0159708231516147</v>
      </c>
      <c r="K252" s="813">
        <f t="shared" ca="1" si="47"/>
        <v>24.430000000000106</v>
      </c>
      <c r="L252" s="921">
        <f t="shared" si="39"/>
        <v>240</v>
      </c>
      <c r="M252" s="809">
        <f t="shared" ca="1" si="40"/>
        <v>1.0260766628709321</v>
      </c>
      <c r="N252" s="810">
        <f t="shared" si="48"/>
        <v>1.0049999999999999</v>
      </c>
      <c r="O252" s="813">
        <f t="shared" ca="1" si="49"/>
        <v>1.6389834445299432</v>
      </c>
      <c r="Q252" s="809">
        <f t="shared" ca="1" si="41"/>
        <v>1.0260766628709321</v>
      </c>
      <c r="R252" s="810">
        <f t="shared" si="50"/>
        <v>0</v>
      </c>
      <c r="S252" s="813">
        <f t="shared" ca="1" si="51"/>
        <v>1.5039643018513127</v>
      </c>
    </row>
    <row r="253" spans="1:19">
      <c r="A253" s="811">
        <f t="shared" ca="1" si="42"/>
        <v>42522</v>
      </c>
      <c r="B253" s="1102">
        <f ca="1">'[2]Monthly Curve Calc.'!B256</f>
        <v>594.3574139808394</v>
      </c>
      <c r="C253" s="1103">
        <f ca="1">'[2]Monthly Curve Calc.'!C256</f>
        <v>263.70859434803197</v>
      </c>
      <c r="D253" s="1103">
        <f ca="1">'[2]Monthly Curve Calc.'!D256</f>
        <v>196.43991991851493</v>
      </c>
      <c r="E253" s="1103">
        <f ca="1">'[2]Monthly Curve Calc.'!E256</f>
        <v>24.890416666666763</v>
      </c>
      <c r="F253" s="1104">
        <f ca="1">'[2]Monthly Curve Calc.'!F256</f>
        <v>2.9587310103007285</v>
      </c>
      <c r="G253" s="812">
        <f t="shared" ca="1" si="43"/>
        <v>1.0689999999999988</v>
      </c>
      <c r="H253" s="810">
        <f t="shared" ca="1" si="44"/>
        <v>1.0260766628709321</v>
      </c>
      <c r="I253" s="810">
        <f t="shared" ca="1" si="45"/>
        <v>1.0235766628709322</v>
      </c>
      <c r="J253" s="810">
        <f t="shared" ca="1" si="46"/>
        <v>1.0159708231516147</v>
      </c>
      <c r="K253" s="813">
        <f t="shared" ca="1" si="47"/>
        <v>24.430000000000106</v>
      </c>
      <c r="L253" s="921">
        <f t="shared" si="39"/>
        <v>241</v>
      </c>
      <c r="M253" s="809">
        <f t="shared" ca="1" si="40"/>
        <v>1.0260766628709321</v>
      </c>
      <c r="N253" s="810">
        <f t="shared" si="48"/>
        <v>1.0049999999999999</v>
      </c>
      <c r="O253" s="813">
        <f t="shared" ca="1" si="49"/>
        <v>1.6389834445299432</v>
      </c>
      <c r="Q253" s="809">
        <f t="shared" ca="1" si="41"/>
        <v>1.0260766628709321</v>
      </c>
      <c r="R253" s="810">
        <f t="shared" si="50"/>
        <v>0</v>
      </c>
      <c r="S253" s="813">
        <f t="shared" ca="1" si="51"/>
        <v>1.5431826719206061</v>
      </c>
    </row>
    <row r="254" spans="1:19">
      <c r="A254" s="811">
        <f t="shared" ca="1" si="42"/>
        <v>42552</v>
      </c>
      <c r="B254" s="1102">
        <f ca="1">'[2]Monthly Curve Calc.'!B257</f>
        <v>597.6714260135908</v>
      </c>
      <c r="C254" s="1103">
        <f ca="1">'[2]Monthly Curve Calc.'!C257</f>
        <v>264.28218361286162</v>
      </c>
      <c r="D254" s="1103">
        <f ca="1">'[2]Monthly Curve Calc.'!D257</f>
        <v>196.71015303500053</v>
      </c>
      <c r="E254" s="1103">
        <f ca="1">'[2]Monthly Curve Calc.'!E257</f>
        <v>24.921319444444539</v>
      </c>
      <c r="F254" s="1104">
        <f ca="1">'[2]Monthly Curve Calc.'!F257</f>
        <v>2.9636196685487834</v>
      </c>
      <c r="G254" s="812">
        <f t="shared" ca="1" si="43"/>
        <v>1.0689999999999988</v>
      </c>
      <c r="H254" s="810">
        <f t="shared" ca="1" si="44"/>
        <v>1.0260766628709321</v>
      </c>
      <c r="I254" s="810">
        <f t="shared" ca="1" si="45"/>
        <v>1.0235766628709322</v>
      </c>
      <c r="J254" s="810">
        <f t="shared" ca="1" si="46"/>
        <v>1.0159708231516147</v>
      </c>
      <c r="K254" s="813">
        <f t="shared" ca="1" si="47"/>
        <v>24.430000000000106</v>
      </c>
      <c r="L254" s="921">
        <f t="shared" si="39"/>
        <v>242</v>
      </c>
      <c r="M254" s="809">
        <f t="shared" ca="1" si="40"/>
        <v>1.0260766628709321</v>
      </c>
      <c r="N254" s="810">
        <f t="shared" si="48"/>
        <v>1.0049999999999999</v>
      </c>
      <c r="O254" s="813">
        <f t="shared" ca="1" si="49"/>
        <v>1.6389834445299432</v>
      </c>
      <c r="Q254" s="809">
        <f t="shared" ca="1" si="41"/>
        <v>1.0260766628709321</v>
      </c>
      <c r="R254" s="810">
        <f t="shared" si="50"/>
        <v>0</v>
      </c>
      <c r="S254" s="813">
        <f t="shared" ca="1" si="51"/>
        <v>1.5431826719206061</v>
      </c>
    </row>
    <row r="255" spans="1:19">
      <c r="A255" s="811">
        <f t="shared" ca="1" si="42"/>
        <v>42583</v>
      </c>
      <c r="B255" s="1102">
        <f ca="1">'[2]Monthly Curve Calc.'!B258</f>
        <v>601.00391628097827</v>
      </c>
      <c r="C255" s="1103">
        <f ca="1">'[2]Monthly Curve Calc.'!C258</f>
        <v>264.85702048452612</v>
      </c>
      <c r="D255" s="1103">
        <f ca="1">'[2]Monthly Curve Calc.'!D258</f>
        <v>196.98075789841658</v>
      </c>
      <c r="E255" s="1103">
        <f ca="1">'[2]Monthly Curve Calc.'!E258</f>
        <v>24.952222222222314</v>
      </c>
      <c r="F255" s="1104">
        <f ca="1">'[2]Monthly Curve Calc.'!F258</f>
        <v>2.9685164042392902</v>
      </c>
      <c r="G255" s="812">
        <f t="shared" ca="1" si="43"/>
        <v>1.0689999999999988</v>
      </c>
      <c r="H255" s="810">
        <f t="shared" ca="1" si="44"/>
        <v>1.0260766628709321</v>
      </c>
      <c r="I255" s="810">
        <f t="shared" ca="1" si="45"/>
        <v>1.0235766628709322</v>
      </c>
      <c r="J255" s="810">
        <f t="shared" ca="1" si="46"/>
        <v>1.0159708231516147</v>
      </c>
      <c r="K255" s="813">
        <f t="shared" ca="1" si="47"/>
        <v>24.430000000000106</v>
      </c>
      <c r="L255" s="921">
        <f t="shared" si="39"/>
        <v>243</v>
      </c>
      <c r="M255" s="809">
        <f t="shared" ca="1" si="40"/>
        <v>1.0260766628709321</v>
      </c>
      <c r="N255" s="810">
        <f t="shared" si="48"/>
        <v>1.0049999999999999</v>
      </c>
      <c r="O255" s="813">
        <f t="shared" ca="1" si="49"/>
        <v>1.6389834445299432</v>
      </c>
      <c r="Q255" s="809">
        <f t="shared" ca="1" si="41"/>
        <v>1.0260766628709321</v>
      </c>
      <c r="R255" s="810">
        <f t="shared" si="50"/>
        <v>0</v>
      </c>
      <c r="S255" s="813">
        <f t="shared" ca="1" si="51"/>
        <v>1.5431826719206061</v>
      </c>
    </row>
    <row r="256" spans="1:19">
      <c r="A256" s="811">
        <f t="shared" ca="1" si="42"/>
        <v>42614</v>
      </c>
      <c r="B256" s="1102">
        <f ca="1">'[2]Monthly Curve Calc.'!B259</f>
        <v>604.35498781375486</v>
      </c>
      <c r="C256" s="1103">
        <f ca="1">'[2]Monthly Curve Calc.'!C259</f>
        <v>265.43310767667953</v>
      </c>
      <c r="D256" s="1103">
        <f ca="1">'[2]Monthly Curve Calc.'!D259</f>
        <v>197.25173502015775</v>
      </c>
      <c r="E256" s="1103">
        <f ca="1">'[2]Monthly Curve Calc.'!E259</f>
        <v>24.98312500000009</v>
      </c>
      <c r="F256" s="1104">
        <f ca="1">'[2]Monthly Curve Calc.'!F259</f>
        <v>2.9734212307184622</v>
      </c>
      <c r="G256" s="812">
        <f t="shared" ca="1" si="43"/>
        <v>1.0689999999999988</v>
      </c>
      <c r="H256" s="810">
        <f t="shared" ca="1" si="44"/>
        <v>1.0260766628709321</v>
      </c>
      <c r="I256" s="810">
        <f t="shared" ca="1" si="45"/>
        <v>1.0235766628709322</v>
      </c>
      <c r="J256" s="810">
        <f t="shared" ca="1" si="46"/>
        <v>1.0159708231516147</v>
      </c>
      <c r="K256" s="813">
        <f t="shared" ca="1" si="47"/>
        <v>24.430000000000106</v>
      </c>
      <c r="L256" s="921">
        <f t="shared" si="39"/>
        <v>244</v>
      </c>
      <c r="M256" s="809">
        <f t="shared" ca="1" si="40"/>
        <v>1.0260766628709321</v>
      </c>
      <c r="N256" s="810">
        <f t="shared" si="48"/>
        <v>1.0049999999999999</v>
      </c>
      <c r="O256" s="813">
        <f t="shared" ca="1" si="49"/>
        <v>1.6389834445299432</v>
      </c>
      <c r="Q256" s="809">
        <f t="shared" ca="1" si="41"/>
        <v>1.0260766628709321</v>
      </c>
      <c r="R256" s="810">
        <f t="shared" si="50"/>
        <v>0</v>
      </c>
      <c r="S256" s="813">
        <f t="shared" ca="1" si="51"/>
        <v>1.5431826719206061</v>
      </c>
    </row>
    <row r="257" spans="1:19">
      <c r="A257" s="811">
        <f t="shared" ca="1" si="42"/>
        <v>42644</v>
      </c>
      <c r="B257" s="1102">
        <f ca="1">'[2]Monthly Curve Calc.'!B260</f>
        <v>607.7247442171514</v>
      </c>
      <c r="C257" s="1103">
        <f ca="1">'[2]Monthly Curve Calc.'!C260</f>
        <v>266.01044790887835</v>
      </c>
      <c r="D257" s="1103">
        <f ca="1">'[2]Monthly Curve Calc.'!D260</f>
        <v>197.52308491232225</v>
      </c>
      <c r="E257" s="1103">
        <f ca="1">'[2]Monthly Curve Calc.'!E260</f>
        <v>25.014027777777866</v>
      </c>
      <c r="F257" s="1104">
        <f ca="1">'[2]Monthly Curve Calc.'!F260</f>
        <v>2.9783341613545646</v>
      </c>
      <c r="G257" s="812">
        <f t="shared" ca="1" si="43"/>
        <v>1.0689999999999988</v>
      </c>
      <c r="H257" s="810">
        <f t="shared" ca="1" si="44"/>
        <v>1.0260766628709321</v>
      </c>
      <c r="I257" s="810">
        <f t="shared" ca="1" si="45"/>
        <v>1.0235766628709322</v>
      </c>
      <c r="J257" s="810">
        <f t="shared" ca="1" si="46"/>
        <v>1.0159708231516147</v>
      </c>
      <c r="K257" s="813">
        <f t="shared" ca="1" si="47"/>
        <v>24.430000000000106</v>
      </c>
      <c r="L257" s="921">
        <f t="shared" si="39"/>
        <v>245</v>
      </c>
      <c r="M257" s="809">
        <f t="shared" ca="1" si="40"/>
        <v>1.0260766628709321</v>
      </c>
      <c r="N257" s="810">
        <f t="shared" si="48"/>
        <v>1.0049999999999999</v>
      </c>
      <c r="O257" s="813">
        <f t="shared" ca="1" si="49"/>
        <v>1.6389834445299432</v>
      </c>
      <c r="Q257" s="809">
        <f t="shared" ca="1" si="41"/>
        <v>1.0260766628709321</v>
      </c>
      <c r="R257" s="810">
        <f t="shared" si="50"/>
        <v>0</v>
      </c>
      <c r="S257" s="813">
        <f t="shared" ca="1" si="51"/>
        <v>1.5431826719206061</v>
      </c>
    </row>
    <row r="258" spans="1:19">
      <c r="A258" s="811">
        <f t="shared" ca="1" si="42"/>
        <v>42675</v>
      </c>
      <c r="B258" s="1102">
        <f ca="1">'[2]Monthly Curve Calc.'!B261</f>
        <v>611.11328967407974</v>
      </c>
      <c r="C258" s="1103">
        <f ca="1">'[2]Monthly Curve Calc.'!C261</f>
        <v>266.58904390659427</v>
      </c>
      <c r="D258" s="1103">
        <f ca="1">'[2]Monthly Curve Calc.'!D261</f>
        <v>197.79480808771271</v>
      </c>
      <c r="E258" s="1103">
        <f ca="1">'[2]Monthly Curve Calc.'!E261</f>
        <v>25.044930555555641</v>
      </c>
      <c r="F258" s="1104">
        <f ca="1">'[2]Monthly Curve Calc.'!F261</f>
        <v>2.9832552095379512</v>
      </c>
      <c r="G258" s="812">
        <f t="shared" ca="1" si="43"/>
        <v>1.0689999999999988</v>
      </c>
      <c r="H258" s="810">
        <f t="shared" ca="1" si="44"/>
        <v>1.0260766628709321</v>
      </c>
      <c r="I258" s="810">
        <f t="shared" ca="1" si="45"/>
        <v>1.0235766628709322</v>
      </c>
      <c r="J258" s="810">
        <f t="shared" ca="1" si="46"/>
        <v>1.0159708231516147</v>
      </c>
      <c r="K258" s="813">
        <f t="shared" ca="1" si="47"/>
        <v>24.430000000000106</v>
      </c>
      <c r="L258" s="921">
        <f t="shared" si="39"/>
        <v>246</v>
      </c>
      <c r="M258" s="809">
        <f t="shared" ca="1" si="40"/>
        <v>1.0260766628709321</v>
      </c>
      <c r="N258" s="810">
        <f t="shared" si="48"/>
        <v>1.0049999999999999</v>
      </c>
      <c r="O258" s="813">
        <f t="shared" ca="1" si="49"/>
        <v>1.6389834445299432</v>
      </c>
      <c r="Q258" s="809">
        <f t="shared" ca="1" si="41"/>
        <v>1.0260766628709321</v>
      </c>
      <c r="R258" s="810">
        <f t="shared" si="50"/>
        <v>0</v>
      </c>
      <c r="S258" s="813">
        <f t="shared" ca="1" si="51"/>
        <v>1.5431826719206061</v>
      </c>
    </row>
    <row r="259" spans="1:19">
      <c r="A259" s="811">
        <f t="shared" ca="1" si="42"/>
        <v>42705</v>
      </c>
      <c r="B259" s="1102">
        <f ca="1">'[2]Monthly Curve Calc.'!B262</f>
        <v>614.52072894835374</v>
      </c>
      <c r="C259" s="1103">
        <f ca="1">'[2]Monthly Curve Calc.'!C262</f>
        <v>267.16889840122712</v>
      </c>
      <c r="D259" s="1103">
        <f ca="1">'[2]Monthly Curve Calc.'!D262</f>
        <v>198.06690505983727</v>
      </c>
      <c r="E259" s="1103">
        <f ca="1">'[2]Monthly Curve Calc.'!E262</f>
        <v>25.075833333333435</v>
      </c>
      <c r="F259" s="1104">
        <f ca="1">'[2]Monthly Curve Calc.'!F262</f>
        <v>2.9881843886810961</v>
      </c>
      <c r="G259" s="812">
        <f t="shared" ca="1" si="43"/>
        <v>1.0689999999999988</v>
      </c>
      <c r="H259" s="810">
        <f t="shared" ca="1" si="44"/>
        <v>1.0260766628709321</v>
      </c>
      <c r="I259" s="810">
        <f t="shared" ca="1" si="45"/>
        <v>1.0235766628709322</v>
      </c>
      <c r="J259" s="810">
        <f t="shared" ca="1" si="46"/>
        <v>1.0159708231516147</v>
      </c>
      <c r="K259" s="813">
        <f t="shared" ca="1" si="47"/>
        <v>24.430000000000106</v>
      </c>
      <c r="L259" s="921">
        <f t="shared" si="39"/>
        <v>247</v>
      </c>
      <c r="M259" s="809">
        <f t="shared" ca="1" si="40"/>
        <v>1.0260766628709321</v>
      </c>
      <c r="N259" s="810">
        <f t="shared" si="48"/>
        <v>1.0049999999999999</v>
      </c>
      <c r="O259" s="813">
        <f t="shared" ca="1" si="49"/>
        <v>1.6389834445299432</v>
      </c>
      <c r="Q259" s="809">
        <f t="shared" ca="1" si="41"/>
        <v>1.0260766628709321</v>
      </c>
      <c r="R259" s="810">
        <f t="shared" si="50"/>
        <v>0</v>
      </c>
      <c r="S259" s="813">
        <f t="shared" ca="1" si="51"/>
        <v>1.5431826719206061</v>
      </c>
    </row>
    <row r="260" spans="1:19">
      <c r="A260" s="811">
        <f t="shared" ca="1" si="42"/>
        <v>42736</v>
      </c>
      <c r="B260" s="1102">
        <f ca="1">'[2]Monthly Curve Calc.'!B263</f>
        <v>617.89897497520235</v>
      </c>
      <c r="C260" s="1103">
        <f ca="1">'[2]Monthly Curve Calc.'!C263</f>
        <v>267.76069984545796</v>
      </c>
      <c r="D260" s="1103">
        <f ca="1">'[2]Monthly Curve Calc.'!D263</f>
        <v>198.35061804266573</v>
      </c>
      <c r="E260" s="1103">
        <f ca="1">'[2]Monthly Curve Calc.'!E263</f>
        <v>25.076180555555656</v>
      </c>
      <c r="F260" s="1104">
        <f ca="1">'[2]Monthly Curve Calc.'!F263</f>
        <v>2.9931091016997291</v>
      </c>
      <c r="G260" s="812">
        <f t="shared" ca="1" si="43"/>
        <v>1.0689999999999988</v>
      </c>
      <c r="H260" s="810">
        <f t="shared" ca="1" si="44"/>
        <v>1.0260766628709321</v>
      </c>
      <c r="I260" s="810">
        <f t="shared" ca="1" si="45"/>
        <v>1.0235766628709322</v>
      </c>
      <c r="J260" s="810">
        <f t="shared" ca="1" si="46"/>
        <v>1.0166333072851179</v>
      </c>
      <c r="K260" s="813">
        <f t="shared" ca="1" si="47"/>
        <v>24.905868055555654</v>
      </c>
      <c r="L260" s="921">
        <f t="shared" si="39"/>
        <v>248</v>
      </c>
      <c r="M260" s="809">
        <f t="shared" ca="1" si="40"/>
        <v>1.0260766628709321</v>
      </c>
      <c r="N260" s="810">
        <f t="shared" si="48"/>
        <v>1.0049999999999999</v>
      </c>
      <c r="O260" s="813">
        <f t="shared" ca="1" si="49"/>
        <v>1.6389834445299432</v>
      </c>
      <c r="Q260" s="809">
        <f t="shared" ca="1" si="41"/>
        <v>1.0260766628709321</v>
      </c>
      <c r="R260" s="810">
        <f t="shared" si="50"/>
        <v>0</v>
      </c>
      <c r="S260" s="813">
        <f t="shared" ca="1" si="51"/>
        <v>1.5431826719206061</v>
      </c>
    </row>
    <row r="261" spans="1:19">
      <c r="A261" s="811">
        <f t="shared" ca="1" si="42"/>
        <v>42767</v>
      </c>
      <c r="B261" s="1102">
        <f ca="1">'[2]Monthly Curve Calc.'!B264</f>
        <v>621.29579246055562</v>
      </c>
      <c r="C261" s="1103">
        <f ca="1">'[2]Monthly Curve Calc.'!C264</f>
        <v>268.35381217936003</v>
      </c>
      <c r="D261" s="1103">
        <f ca="1">'[2]Monthly Curve Calc.'!D264</f>
        <v>198.63473741876115</v>
      </c>
      <c r="E261" s="1103">
        <f ca="1">'[2]Monthly Curve Calc.'!E264</f>
        <v>25.076527777777876</v>
      </c>
      <c r="F261" s="1104">
        <f ca="1">'[2]Monthly Curve Calc.'!F264</f>
        <v>2.9980419309505488</v>
      </c>
      <c r="G261" s="812">
        <f t="shared" ca="1" si="43"/>
        <v>1.0689999999999988</v>
      </c>
      <c r="H261" s="810">
        <f t="shared" ca="1" si="44"/>
        <v>1.0260766628709321</v>
      </c>
      <c r="I261" s="810">
        <f t="shared" ca="1" si="45"/>
        <v>1.0235766628709322</v>
      </c>
      <c r="J261" s="810">
        <f t="shared" ca="1" si="46"/>
        <v>1.0166333072851179</v>
      </c>
      <c r="K261" s="813">
        <f t="shared" ca="1" si="47"/>
        <v>24.905868055555654</v>
      </c>
      <c r="L261" s="921">
        <f t="shared" si="39"/>
        <v>249</v>
      </c>
      <c r="M261" s="809">
        <f t="shared" ca="1" si="40"/>
        <v>1.0260766628709321</v>
      </c>
      <c r="N261" s="810">
        <f t="shared" si="48"/>
        <v>1.0049999999999999</v>
      </c>
      <c r="O261" s="813">
        <f t="shared" ca="1" si="49"/>
        <v>1.6389834445299432</v>
      </c>
      <c r="Q261" s="809">
        <f t="shared" ca="1" si="41"/>
        <v>1.0260766628709321</v>
      </c>
      <c r="R261" s="810">
        <f t="shared" si="50"/>
        <v>0</v>
      </c>
      <c r="S261" s="813">
        <f t="shared" ca="1" si="51"/>
        <v>1.5431826719206061</v>
      </c>
    </row>
    <row r="262" spans="1:19">
      <c r="A262" s="811">
        <f t="shared" ca="1" si="42"/>
        <v>42795</v>
      </c>
      <c r="B262" s="1102">
        <f ca="1">'[2]Monthly Curve Calc.'!B265</f>
        <v>624.71128349853825</v>
      </c>
      <c r="C262" s="1103">
        <f ca="1">'[2]Monthly Curve Calc.'!C265</f>
        <v>268.94823830666354</v>
      </c>
      <c r="D262" s="1103">
        <f ca="1">'[2]Monthly Curve Calc.'!D265</f>
        <v>198.91926377024524</v>
      </c>
      <c r="E262" s="1103">
        <f ca="1">'[2]Monthly Curve Calc.'!E265</f>
        <v>25.076875000000097</v>
      </c>
      <c r="F262" s="1104">
        <f ca="1">'[2]Monthly Curve Calc.'!F265</f>
        <v>3.0029828898096089</v>
      </c>
      <c r="G262" s="812">
        <f t="shared" ca="1" si="43"/>
        <v>1.0689999999999988</v>
      </c>
      <c r="H262" s="810">
        <f t="shared" ca="1" si="44"/>
        <v>1.0260766628709321</v>
      </c>
      <c r="I262" s="810">
        <f t="shared" ca="1" si="45"/>
        <v>1.0235766628709322</v>
      </c>
      <c r="J262" s="810">
        <f t="shared" ca="1" si="46"/>
        <v>1.0166333072851179</v>
      </c>
      <c r="K262" s="813">
        <f t="shared" ca="1" si="47"/>
        <v>24.905868055555654</v>
      </c>
      <c r="L262" s="921">
        <f t="shared" si="39"/>
        <v>250</v>
      </c>
      <c r="M262" s="809">
        <f t="shared" ca="1" si="40"/>
        <v>1.0260766628709321</v>
      </c>
      <c r="N262" s="810">
        <f t="shared" si="48"/>
        <v>1.0049999999999999</v>
      </c>
      <c r="O262" s="813">
        <f t="shared" ca="1" si="49"/>
        <v>1.6389834445299432</v>
      </c>
      <c r="Q262" s="809">
        <f t="shared" ca="1" si="41"/>
        <v>1.0260766628709321</v>
      </c>
      <c r="R262" s="810">
        <f t="shared" si="50"/>
        <v>0</v>
      </c>
      <c r="S262" s="813">
        <f t="shared" ca="1" si="51"/>
        <v>1.5431826719206061</v>
      </c>
    </row>
    <row r="263" spans="1:19">
      <c r="A263" s="811">
        <f t="shared" ca="1" si="42"/>
        <v>42826</v>
      </c>
      <c r="B263" s="1102">
        <f ca="1">'[2]Monthly Curve Calc.'!B266</f>
        <v>628.1455507445238</v>
      </c>
      <c r="C263" s="1103">
        <f ca="1">'[2]Monthly Curve Calc.'!C266</f>
        <v>269.54398113753075</v>
      </c>
      <c r="D263" s="1103">
        <f ca="1">'[2]Monthly Curve Calc.'!D266</f>
        <v>199.20419768007358</v>
      </c>
      <c r="E263" s="1103">
        <f ca="1">'[2]Monthly Curve Calc.'!E266</f>
        <v>25.077222222222318</v>
      </c>
      <c r="F263" s="1104">
        <f ca="1">'[2]Monthly Curve Calc.'!F266</f>
        <v>3.0079319916750076</v>
      </c>
      <c r="G263" s="812">
        <f t="shared" ca="1" si="43"/>
        <v>1.0689999999999988</v>
      </c>
      <c r="H263" s="810">
        <f t="shared" ca="1" si="44"/>
        <v>1.0260766628709321</v>
      </c>
      <c r="I263" s="810">
        <f t="shared" ca="1" si="45"/>
        <v>1.0235766628709322</v>
      </c>
      <c r="J263" s="810">
        <f t="shared" ca="1" si="46"/>
        <v>1.0166333072851179</v>
      </c>
      <c r="K263" s="813">
        <f t="shared" ca="1" si="47"/>
        <v>24.905868055555654</v>
      </c>
      <c r="L263" s="921">
        <f t="shared" si="39"/>
        <v>251</v>
      </c>
      <c r="M263" s="809">
        <f t="shared" ca="1" si="40"/>
        <v>1.0260766628709321</v>
      </c>
      <c r="N263" s="810">
        <f t="shared" si="48"/>
        <v>1.0049999999999999</v>
      </c>
      <c r="O263" s="813">
        <f t="shared" ca="1" si="49"/>
        <v>1.6389834445299432</v>
      </c>
      <c r="Q263" s="809">
        <f t="shared" ca="1" si="41"/>
        <v>1.0260766628709321</v>
      </c>
      <c r="R263" s="810">
        <f t="shared" si="50"/>
        <v>0</v>
      </c>
      <c r="S263" s="813">
        <f t="shared" ca="1" si="51"/>
        <v>1.5431826719206061</v>
      </c>
    </row>
    <row r="264" spans="1:19">
      <c r="A264" s="811">
        <f t="shared" ca="1" si="42"/>
        <v>42856</v>
      </c>
      <c r="B264" s="1102">
        <f ca="1">'[2]Monthly Curve Calc.'!B267</f>
        <v>631.59869741822001</v>
      </c>
      <c r="C264" s="1103">
        <f ca="1">'[2]Monthly Curve Calc.'!C267</f>
        <v>270.14104358857008</v>
      </c>
      <c r="D264" s="1103">
        <f ca="1">'[2]Monthly Curve Calc.'!D267</f>
        <v>199.48953973203672</v>
      </c>
      <c r="E264" s="1103">
        <f ca="1">'[2]Monthly Curve Calc.'!E267</f>
        <v>25.077569444444539</v>
      </c>
      <c r="F264" s="1104">
        <f ca="1">'[2]Monthly Curve Calc.'!F267</f>
        <v>3.012889249966924</v>
      </c>
      <c r="G264" s="812">
        <f t="shared" ca="1" si="43"/>
        <v>1.0686665626733163</v>
      </c>
      <c r="H264" s="810">
        <f t="shared" ca="1" si="44"/>
        <v>1.0265794351685471</v>
      </c>
      <c r="I264" s="810">
        <f t="shared" ca="1" si="45"/>
        <v>1.0240794351685472</v>
      </c>
      <c r="J264" s="810">
        <f t="shared" ca="1" si="46"/>
        <v>1.0166333072851179</v>
      </c>
      <c r="K264" s="813">
        <f t="shared" ca="1" si="47"/>
        <v>24.905868055555654</v>
      </c>
      <c r="L264" s="921">
        <f t="shared" si="39"/>
        <v>252</v>
      </c>
      <c r="M264" s="809">
        <f t="shared" ca="1" si="40"/>
        <v>1.0265794351685471</v>
      </c>
      <c r="N264" s="810">
        <f t="shared" si="48"/>
        <v>1.0049999999999999</v>
      </c>
      <c r="O264" s="813">
        <f t="shared" ca="1" si="49"/>
        <v>1.6825466987361488</v>
      </c>
      <c r="Q264" s="809">
        <f t="shared" ca="1" si="41"/>
        <v>1.0265794351685471</v>
      </c>
      <c r="R264" s="810">
        <f t="shared" si="50"/>
        <v>0</v>
      </c>
      <c r="S264" s="813">
        <f t="shared" ca="1" si="51"/>
        <v>1.5431826719206061</v>
      </c>
    </row>
    <row r="265" spans="1:19">
      <c r="A265" s="811">
        <f t="shared" ca="1" si="42"/>
        <v>42887</v>
      </c>
      <c r="B265" s="1102">
        <f ca="1">'[2]Monthly Curve Calc.'!B268</f>
        <v>635.07082730677132</v>
      </c>
      <c r="C265" s="1103">
        <f ca="1">'[2]Monthly Curve Calc.'!C268</f>
        <v>270.73942858285056</v>
      </c>
      <c r="D265" s="1103">
        <f ca="1">'[2]Monthly Curve Calc.'!D268</f>
        <v>199.77529051076147</v>
      </c>
      <c r="E265" s="1103">
        <f ca="1">'[2]Monthly Curve Calc.'!E268</f>
        <v>25.077916666666759</v>
      </c>
      <c r="F265" s="1104">
        <f ca="1">'[2]Monthly Curve Calc.'!F268</f>
        <v>3.0178546781276538</v>
      </c>
      <c r="G265" s="812">
        <f t="shared" ca="1" si="43"/>
        <v>1.0686665626733163</v>
      </c>
      <c r="H265" s="810">
        <f t="shared" ca="1" si="44"/>
        <v>1.0265794351685471</v>
      </c>
      <c r="I265" s="810">
        <f t="shared" ca="1" si="45"/>
        <v>1.0240794351685472</v>
      </c>
      <c r="J265" s="810">
        <f t="shared" ca="1" si="46"/>
        <v>1.0166333072851179</v>
      </c>
      <c r="K265" s="813">
        <f t="shared" ca="1" si="47"/>
        <v>24.905868055555654</v>
      </c>
      <c r="L265" s="921">
        <f t="shared" si="39"/>
        <v>253</v>
      </c>
      <c r="M265" s="809">
        <f t="shared" ca="1" si="40"/>
        <v>1.0265794351685471</v>
      </c>
      <c r="N265" s="810">
        <f t="shared" si="48"/>
        <v>1.0049999999999999</v>
      </c>
      <c r="O265" s="813">
        <f t="shared" ca="1" si="49"/>
        <v>1.6825466987361488</v>
      </c>
      <c r="Q265" s="809">
        <f t="shared" ca="1" si="41"/>
        <v>1.0265794351685471</v>
      </c>
      <c r="R265" s="810">
        <f t="shared" si="50"/>
        <v>0</v>
      </c>
      <c r="S265" s="813">
        <f t="shared" ca="1" si="51"/>
        <v>1.5841995957021451</v>
      </c>
    </row>
    <row r="266" spans="1:19">
      <c r="A266" s="811">
        <f t="shared" ca="1" si="42"/>
        <v>42917</v>
      </c>
      <c r="B266" s="1102">
        <f ca="1">'[2]Monthly Curve Calc.'!B269</f>
        <v>638.56204476787821</v>
      </c>
      <c r="C266" s="1103">
        <f ca="1">'[2]Monthly Curve Calc.'!C269</f>
        <v>271.33913904991601</v>
      </c>
      <c r="D266" s="1103">
        <f ca="1">'[2]Monthly Curve Calc.'!D269</f>
        <v>200.06145060171207</v>
      </c>
      <c r="E266" s="1103">
        <f ca="1">'[2]Monthly Curve Calc.'!E269</f>
        <v>25.07826388888898</v>
      </c>
      <c r="F266" s="1104">
        <f ca="1">'[2]Monthly Curve Calc.'!F269</f>
        <v>3.0228282896216476</v>
      </c>
      <c r="G266" s="812">
        <f t="shared" ca="1" si="43"/>
        <v>1.0686665626733163</v>
      </c>
      <c r="H266" s="810">
        <f t="shared" ca="1" si="44"/>
        <v>1.0265794351685471</v>
      </c>
      <c r="I266" s="810">
        <f t="shared" ca="1" si="45"/>
        <v>1.0240794351685472</v>
      </c>
      <c r="J266" s="810">
        <f t="shared" ca="1" si="46"/>
        <v>1.0166333072851179</v>
      </c>
      <c r="K266" s="813">
        <f t="shared" ca="1" si="47"/>
        <v>24.905868055555654</v>
      </c>
      <c r="L266" s="921">
        <f t="shared" si="39"/>
        <v>254</v>
      </c>
      <c r="M266" s="809">
        <f t="shared" ca="1" si="40"/>
        <v>1.0265794351685471</v>
      </c>
      <c r="N266" s="810">
        <f t="shared" si="48"/>
        <v>1.0049999999999999</v>
      </c>
      <c r="O266" s="813">
        <f t="shared" ca="1" si="49"/>
        <v>1.6825466987361488</v>
      </c>
      <c r="Q266" s="809">
        <f t="shared" ca="1" si="41"/>
        <v>1.0265794351685471</v>
      </c>
      <c r="R266" s="810">
        <f t="shared" si="50"/>
        <v>0</v>
      </c>
      <c r="S266" s="813">
        <f t="shared" ca="1" si="51"/>
        <v>1.5841995957021451</v>
      </c>
    </row>
    <row r="267" spans="1:19">
      <c r="A267" s="811">
        <f t="shared" ca="1" si="42"/>
        <v>42948</v>
      </c>
      <c r="B267" s="1102">
        <f ca="1">'[2]Monthly Curve Calc.'!B270</f>
        <v>642.07245473293369</v>
      </c>
      <c r="C267" s="1103">
        <f ca="1">'[2]Monthly Curve Calc.'!C270</f>
        <v>271.94017792579945</v>
      </c>
      <c r="D267" s="1103">
        <f ca="1">'[2]Monthly Curve Calc.'!D270</f>
        <v>200.34802059119139</v>
      </c>
      <c r="E267" s="1103">
        <f ca="1">'[2]Monthly Curve Calc.'!E270</f>
        <v>25.078611111111201</v>
      </c>
      <c r="F267" s="1104">
        <f ca="1">'[2]Monthly Curve Calc.'!F270</f>
        <v>3.0278100979355456</v>
      </c>
      <c r="G267" s="812">
        <f t="shared" ca="1" si="43"/>
        <v>1.0686665626733163</v>
      </c>
      <c r="H267" s="810">
        <f t="shared" ca="1" si="44"/>
        <v>1.0265794351685471</v>
      </c>
      <c r="I267" s="810">
        <f t="shared" ca="1" si="45"/>
        <v>1.0240794351685472</v>
      </c>
      <c r="J267" s="810">
        <f t="shared" ca="1" si="46"/>
        <v>1.0166333072851179</v>
      </c>
      <c r="K267" s="813">
        <f t="shared" ca="1" si="47"/>
        <v>24.905868055555654</v>
      </c>
      <c r="L267" s="921">
        <f t="shared" si="39"/>
        <v>255</v>
      </c>
      <c r="M267" s="809">
        <f t="shared" ca="1" si="40"/>
        <v>1.0265794351685471</v>
      </c>
      <c r="N267" s="810">
        <f t="shared" si="48"/>
        <v>1.0049999999999999</v>
      </c>
      <c r="O267" s="813">
        <f t="shared" ca="1" si="49"/>
        <v>1.6825466987361488</v>
      </c>
      <c r="Q267" s="809">
        <f t="shared" ca="1" si="41"/>
        <v>1.0265794351685471</v>
      </c>
      <c r="R267" s="810">
        <f t="shared" si="50"/>
        <v>0</v>
      </c>
      <c r="S267" s="813">
        <f t="shared" ca="1" si="51"/>
        <v>1.5841995957021451</v>
      </c>
    </row>
    <row r="268" spans="1:19">
      <c r="A268" s="811">
        <f t="shared" ca="1" si="42"/>
        <v>42979</v>
      </c>
      <c r="B268" s="1102">
        <f ca="1">'[2]Monthly Curve Calc.'!B271</f>
        <v>645.60216271017725</v>
      </c>
      <c r="C268" s="1103">
        <f ca="1">'[2]Monthly Curve Calc.'!C271</f>
        <v>272.54254815303744</v>
      </c>
      <c r="D268" s="1103">
        <f ca="1">'[2]Monthly Curve Calc.'!D271</f>
        <v>200.63500106634208</v>
      </c>
      <c r="E268" s="1103">
        <f ca="1">'[2]Monthly Curve Calc.'!E271</f>
        <v>25.078958333333421</v>
      </c>
      <c r="F268" s="1104">
        <f ca="1">'[2]Monthly Curve Calc.'!F271</f>
        <v>3.0328001165782146</v>
      </c>
      <c r="G268" s="812">
        <f t="shared" ca="1" si="43"/>
        <v>1.0686665626733163</v>
      </c>
      <c r="H268" s="810">
        <f t="shared" ca="1" si="44"/>
        <v>1.0265794351685471</v>
      </c>
      <c r="I268" s="810">
        <f t="shared" ca="1" si="45"/>
        <v>1.0240794351685472</v>
      </c>
      <c r="J268" s="810">
        <f t="shared" ca="1" si="46"/>
        <v>1.0166333072851179</v>
      </c>
      <c r="K268" s="813">
        <f t="shared" ca="1" si="47"/>
        <v>24.905868055555654</v>
      </c>
      <c r="L268" s="921">
        <f t="shared" si="39"/>
        <v>256</v>
      </c>
      <c r="M268" s="809">
        <f t="shared" ca="1" si="40"/>
        <v>1.0265794351685471</v>
      </c>
      <c r="N268" s="810">
        <f t="shared" si="48"/>
        <v>1.0049999999999999</v>
      </c>
      <c r="O268" s="813">
        <f t="shared" ca="1" si="49"/>
        <v>1.6825466987361488</v>
      </c>
      <c r="Q268" s="809">
        <f t="shared" ca="1" si="41"/>
        <v>1.0265794351685471</v>
      </c>
      <c r="R268" s="810">
        <f t="shared" si="50"/>
        <v>0</v>
      </c>
      <c r="S268" s="813">
        <f t="shared" ca="1" si="51"/>
        <v>1.5841995957021451</v>
      </c>
    </row>
    <row r="269" spans="1:19">
      <c r="A269" s="811">
        <f t="shared" ca="1" si="42"/>
        <v>43009</v>
      </c>
      <c r="B269" s="1102">
        <f ca="1">'[2]Monthly Curve Calc.'!B272</f>
        <v>649.15127478786576</v>
      </c>
      <c r="C269" s="1103">
        <f ca="1">'[2]Monthly Curve Calc.'!C272</f>
        <v>273.1462526806846</v>
      </c>
      <c r="D269" s="1103">
        <f ca="1">'[2]Monthly Curve Calc.'!D272</f>
        <v>200.92239261514791</v>
      </c>
      <c r="E269" s="1103">
        <f ca="1">'[2]Monthly Curve Calc.'!E272</f>
        <v>25.079305555555642</v>
      </c>
      <c r="F269" s="1104">
        <f ca="1">'[2]Monthly Curve Calc.'!F272</f>
        <v>3.0377983590807851</v>
      </c>
      <c r="G269" s="812">
        <f t="shared" ca="1" si="43"/>
        <v>1.0686665626733163</v>
      </c>
      <c r="H269" s="810">
        <f t="shared" ca="1" si="44"/>
        <v>1.0265794351685471</v>
      </c>
      <c r="I269" s="810">
        <f t="shared" ca="1" si="45"/>
        <v>1.0240794351685472</v>
      </c>
      <c r="J269" s="810">
        <f t="shared" ca="1" si="46"/>
        <v>1.0166333072851179</v>
      </c>
      <c r="K269" s="813">
        <f t="shared" ca="1" si="47"/>
        <v>24.905868055555654</v>
      </c>
      <c r="L269" s="921">
        <f t="shared" ref="L269:L288" si="52">L268+1</f>
        <v>257</v>
      </c>
      <c r="M269" s="809">
        <f t="shared" ca="1" si="40"/>
        <v>1.0265794351685471</v>
      </c>
      <c r="N269" s="810">
        <f t="shared" si="48"/>
        <v>1.0049999999999999</v>
      </c>
      <c r="O269" s="813">
        <f t="shared" ca="1" si="49"/>
        <v>1.6825466987361488</v>
      </c>
      <c r="Q269" s="809">
        <f t="shared" ca="1" si="41"/>
        <v>1.0265794351685471</v>
      </c>
      <c r="R269" s="810">
        <f t="shared" si="50"/>
        <v>0</v>
      </c>
      <c r="S269" s="813">
        <f t="shared" ca="1" si="51"/>
        <v>1.5841995957021451</v>
      </c>
    </row>
    <row r="270" spans="1:19">
      <c r="A270" s="811">
        <f t="shared" ca="1" si="42"/>
        <v>43040</v>
      </c>
      <c r="B270" s="1102">
        <f ca="1">'[2]Monthly Curve Calc.'!B273</f>
        <v>652.7198976374624</v>
      </c>
      <c r="C270" s="1103">
        <f ca="1">'[2]Monthly Curve Calc.'!C273</f>
        <v>273.75129446432777</v>
      </c>
      <c r="D270" s="1103">
        <f ca="1">'[2]Monthly Curve Calc.'!D273</f>
        <v>201.21019582643478</v>
      </c>
      <c r="E270" s="1103">
        <f ca="1">'[2]Monthly Curve Calc.'!E273</f>
        <v>25.079652777777863</v>
      </c>
      <c r="F270" s="1104">
        <f ca="1">'[2]Monthly Curve Calc.'!F273</f>
        <v>3.042804838996688</v>
      </c>
      <c r="G270" s="812">
        <f t="shared" ca="1" si="43"/>
        <v>1.0686665626733163</v>
      </c>
      <c r="H270" s="810">
        <f t="shared" ca="1" si="44"/>
        <v>1.0265794351685471</v>
      </c>
      <c r="I270" s="810">
        <f t="shared" ca="1" si="45"/>
        <v>1.0240794351685472</v>
      </c>
      <c r="J270" s="810">
        <f t="shared" ca="1" si="46"/>
        <v>1.0166333072851179</v>
      </c>
      <c r="K270" s="813">
        <f t="shared" ca="1" si="47"/>
        <v>24.905868055555654</v>
      </c>
      <c r="L270" s="921">
        <f t="shared" si="52"/>
        <v>258</v>
      </c>
      <c r="M270" s="809">
        <f t="shared" ca="1" si="40"/>
        <v>1.0265794351685471</v>
      </c>
      <c r="N270" s="810">
        <f t="shared" si="48"/>
        <v>1.0049999999999999</v>
      </c>
      <c r="O270" s="813">
        <f t="shared" ca="1" si="49"/>
        <v>1.6825466987361488</v>
      </c>
      <c r="Q270" s="809">
        <f t="shared" ca="1" si="41"/>
        <v>1.0265794351685471</v>
      </c>
      <c r="R270" s="810">
        <f t="shared" si="50"/>
        <v>0</v>
      </c>
      <c r="S270" s="813">
        <f t="shared" ca="1" si="51"/>
        <v>1.5841995957021451</v>
      </c>
    </row>
    <row r="271" spans="1:19">
      <c r="A271" s="811">
        <f t="shared" ca="1" si="42"/>
        <v>43070</v>
      </c>
      <c r="B271" s="1102">
        <f ca="1">'[2]Monthly Curve Calc.'!B274</f>
        <v>656.30813851684229</v>
      </c>
      <c r="C271" s="1103">
        <f ca="1">'[2]Monthly Curve Calc.'!C274</f>
        <v>274.35767646610088</v>
      </c>
      <c r="D271" s="1103">
        <f ca="1">'[2]Monthly Curve Calc.'!D274</f>
        <v>201.49841128987208</v>
      </c>
      <c r="E271" s="1103">
        <f ca="1">'[2]Monthly Curve Calc.'!E274</f>
        <v>25.080000000000101</v>
      </c>
      <c r="F271" s="1104">
        <f ca="1">'[2]Monthly Curve Calc.'!F274</f>
        <v>3.0478195699016921</v>
      </c>
      <c r="G271" s="812">
        <f t="shared" ca="1" si="43"/>
        <v>1.0686665626733163</v>
      </c>
      <c r="H271" s="810">
        <f t="shared" ca="1" si="44"/>
        <v>1.0265794351685471</v>
      </c>
      <c r="I271" s="810">
        <f t="shared" ca="1" si="45"/>
        <v>1.0240794351685472</v>
      </c>
      <c r="J271" s="810">
        <f t="shared" ca="1" si="46"/>
        <v>1.0166333072851179</v>
      </c>
      <c r="K271" s="813">
        <f t="shared" ca="1" si="47"/>
        <v>24.905868055555654</v>
      </c>
      <c r="L271" s="921">
        <f t="shared" si="52"/>
        <v>259</v>
      </c>
      <c r="M271" s="809">
        <f t="shared" ca="1" si="40"/>
        <v>1.0265794351685471</v>
      </c>
      <c r="N271" s="810">
        <f t="shared" si="48"/>
        <v>1.0049999999999999</v>
      </c>
      <c r="O271" s="813">
        <f t="shared" ca="1" si="49"/>
        <v>1.6825466987361488</v>
      </c>
      <c r="Q271" s="809">
        <f t="shared" ca="1" si="41"/>
        <v>1.0265794351685471</v>
      </c>
      <c r="R271" s="810">
        <f t="shared" si="50"/>
        <v>0</v>
      </c>
      <c r="S271" s="813">
        <f t="shared" ca="1" si="51"/>
        <v>1.5841995957021451</v>
      </c>
    </row>
    <row r="272" spans="1:19">
      <c r="A272" s="811">
        <f t="shared" ca="1" si="42"/>
        <v>43101</v>
      </c>
      <c r="B272" s="1102">
        <f ca="1">'[2]Monthly Curve Calc.'!B275</f>
        <v>659.91610527351668</v>
      </c>
      <c r="C272" s="1103">
        <f ca="1">'[2]Monthly Curve Calc.'!C275</f>
        <v>274.97311717065253</v>
      </c>
      <c r="D272" s="1103">
        <f ca="1">'[2]Monthly Curve Calc.'!D275</f>
        <v>201.79963849532729</v>
      </c>
      <c r="E272" s="1103">
        <f ca="1">'[2]Monthly Curve Calc.'!E275</f>
        <v>25.080000000000101</v>
      </c>
      <c r="F272" s="1104">
        <f ca="1">'[2]Monthly Curve Calc.'!F275</f>
        <v>3.0528509811596467</v>
      </c>
      <c r="G272" s="812">
        <f t="shared" ca="1" si="43"/>
        <v>1.0686665626733163</v>
      </c>
      <c r="H272" s="810">
        <f t="shared" ca="1" si="44"/>
        <v>1.0265794351685471</v>
      </c>
      <c r="I272" s="810">
        <f t="shared" ca="1" si="45"/>
        <v>1.0240794351685472</v>
      </c>
      <c r="J272" s="810">
        <f t="shared" ca="1" si="46"/>
        <v>1.0173249853578423</v>
      </c>
      <c r="K272" s="813">
        <f t="shared" ca="1" si="47"/>
        <v>25.078090277777871</v>
      </c>
      <c r="L272" s="921">
        <f t="shared" si="52"/>
        <v>260</v>
      </c>
      <c r="M272" s="809">
        <f t="shared" ca="1" si="40"/>
        <v>1.0265794351685471</v>
      </c>
      <c r="N272" s="810">
        <f t="shared" si="48"/>
        <v>1.0049999999999999</v>
      </c>
      <c r="O272" s="813">
        <f t="shared" ca="1" si="49"/>
        <v>1.6825466987361488</v>
      </c>
      <c r="Q272" s="809">
        <f t="shared" ca="1" si="41"/>
        <v>1.0265794351685471</v>
      </c>
      <c r="R272" s="810">
        <f t="shared" si="50"/>
        <v>0</v>
      </c>
      <c r="S272" s="813">
        <f t="shared" ca="1" si="51"/>
        <v>1.5841995957021451</v>
      </c>
    </row>
    <row r="273" spans="1:19">
      <c r="A273" s="811">
        <f t="shared" ca="1" si="42"/>
        <v>43132</v>
      </c>
      <c r="B273" s="1102">
        <f ca="1">'[2]Monthly Curve Calc.'!B276</f>
        <v>663.54390634787399</v>
      </c>
      <c r="C273" s="1103">
        <f ca="1">'[2]Monthly Curve Calc.'!C276</f>
        <v>275.58993843530254</v>
      </c>
      <c r="D273" s="1103">
        <f ca="1">'[2]Monthly Curve Calc.'!D276</f>
        <v>202.10131601614094</v>
      </c>
      <c r="E273" s="1103">
        <f ca="1">'[2]Monthly Curve Calc.'!E276</f>
        <v>25.080000000000101</v>
      </c>
      <c r="F273" s="1104">
        <f ca="1">'[2]Monthly Curve Calc.'!F276</f>
        <v>3.057890698388039</v>
      </c>
      <c r="G273" s="812">
        <f t="shared" ca="1" si="43"/>
        <v>1.0686665626733163</v>
      </c>
      <c r="H273" s="810">
        <f t="shared" ca="1" si="44"/>
        <v>1.0265794351685471</v>
      </c>
      <c r="I273" s="810">
        <f t="shared" ca="1" si="45"/>
        <v>1.0240794351685472</v>
      </c>
      <c r="J273" s="810">
        <f t="shared" ca="1" si="46"/>
        <v>1.0173249853578423</v>
      </c>
      <c r="K273" s="813">
        <f t="shared" ca="1" si="47"/>
        <v>25.078090277777871</v>
      </c>
      <c r="L273" s="921">
        <f t="shared" si="52"/>
        <v>261</v>
      </c>
      <c r="M273" s="809">
        <f t="shared" ref="M273:M288" ca="1" si="53">HLOOKUP(M$14,Dec_Change,$L273)</f>
        <v>1.0265794351685471</v>
      </c>
      <c r="N273" s="810">
        <f t="shared" si="48"/>
        <v>1.0049999999999999</v>
      </c>
      <c r="O273" s="813">
        <f t="shared" ca="1" si="49"/>
        <v>1.6825466987361488</v>
      </c>
      <c r="Q273" s="809">
        <f t="shared" ref="Q273:Q288" ca="1" si="54">HLOOKUP(Q$14,Dec_Change,$L273)</f>
        <v>1.0265794351685471</v>
      </c>
      <c r="R273" s="810">
        <f t="shared" si="50"/>
        <v>0</v>
      </c>
      <c r="S273" s="813">
        <f t="shared" ca="1" si="51"/>
        <v>1.5841995957021451</v>
      </c>
    </row>
    <row r="274" spans="1:19">
      <c r="A274" s="811">
        <f t="shared" ca="1" si="42"/>
        <v>43160</v>
      </c>
      <c r="B274" s="1102">
        <f ca="1">'[2]Monthly Curve Calc.'!B277</f>
        <v>667.19165077643947</v>
      </c>
      <c r="C274" s="1103">
        <f ca="1">'[2]Monthly Curve Calc.'!C277</f>
        <v>276.20814335693126</v>
      </c>
      <c r="D274" s="1103">
        <f ca="1">'[2]Monthly Curve Calc.'!D277</f>
        <v>202.40344452550562</v>
      </c>
      <c r="E274" s="1103">
        <f ca="1">'[2]Monthly Curve Calc.'!E277</f>
        <v>25.080000000000101</v>
      </c>
      <c r="F274" s="1104">
        <f ca="1">'[2]Monthly Curve Calc.'!F277</f>
        <v>3.0629387352985575</v>
      </c>
      <c r="G274" s="812">
        <f t="shared" ca="1" si="43"/>
        <v>1.0686665626733163</v>
      </c>
      <c r="H274" s="810">
        <f t="shared" ca="1" si="44"/>
        <v>1.0265794351685471</v>
      </c>
      <c r="I274" s="810">
        <f t="shared" ca="1" si="45"/>
        <v>1.0240794351685472</v>
      </c>
      <c r="J274" s="810">
        <f t="shared" ca="1" si="46"/>
        <v>1.0173249853578423</v>
      </c>
      <c r="K274" s="813">
        <f t="shared" ca="1" si="47"/>
        <v>25.078090277777871</v>
      </c>
      <c r="L274" s="921">
        <f t="shared" si="52"/>
        <v>262</v>
      </c>
      <c r="M274" s="809">
        <f t="shared" ca="1" si="53"/>
        <v>1.0265794351685471</v>
      </c>
      <c r="N274" s="810">
        <f t="shared" si="48"/>
        <v>1.0049999999999999</v>
      </c>
      <c r="O274" s="813">
        <f t="shared" ca="1" si="49"/>
        <v>1.6825466987361488</v>
      </c>
      <c r="Q274" s="809">
        <f t="shared" ca="1" si="54"/>
        <v>1.0265794351685471</v>
      </c>
      <c r="R274" s="810">
        <f t="shared" si="50"/>
        <v>0</v>
      </c>
      <c r="S274" s="813">
        <f t="shared" ca="1" si="51"/>
        <v>1.5841995957021451</v>
      </c>
    </row>
    <row r="275" spans="1:19">
      <c r="A275" s="811">
        <f t="shared" ca="1" si="42"/>
        <v>43191</v>
      </c>
      <c r="B275" s="1102">
        <f ca="1">'[2]Monthly Curve Calc.'!B278</f>
        <v>670.85944819515203</v>
      </c>
      <c r="C275" s="1103">
        <f ca="1">'[2]Monthly Curve Calc.'!C278</f>
        <v>276.8277350393659</v>
      </c>
      <c r="D275" s="1103">
        <f ca="1">'[2]Monthly Curve Calc.'!D278</f>
        <v>202.70602469762031</v>
      </c>
      <c r="E275" s="1103">
        <f ca="1">'[2]Monthly Curve Calc.'!E278</f>
        <v>25.080000000000101</v>
      </c>
      <c r="F275" s="1104">
        <f ca="1">'[2]Monthly Curve Calc.'!F278</f>
        <v>3.0679951056255268</v>
      </c>
      <c r="G275" s="812">
        <f t="shared" ca="1" si="43"/>
        <v>1.0686665626733163</v>
      </c>
      <c r="H275" s="810">
        <f t="shared" ca="1" si="44"/>
        <v>1.0265794351685471</v>
      </c>
      <c r="I275" s="810">
        <f t="shared" ca="1" si="45"/>
        <v>1.0240794351685472</v>
      </c>
      <c r="J275" s="810">
        <f t="shared" ca="1" si="46"/>
        <v>1.0173249853578423</v>
      </c>
      <c r="K275" s="813">
        <f t="shared" ca="1" si="47"/>
        <v>25.078090277777871</v>
      </c>
      <c r="L275" s="921">
        <f t="shared" si="52"/>
        <v>263</v>
      </c>
      <c r="M275" s="809">
        <f t="shared" ca="1" si="53"/>
        <v>1.0265794351685471</v>
      </c>
      <c r="N275" s="810">
        <f t="shared" si="48"/>
        <v>1.0049999999999999</v>
      </c>
      <c r="O275" s="813">
        <f t="shared" ca="1" si="49"/>
        <v>1.6825466987361488</v>
      </c>
      <c r="Q275" s="809">
        <f t="shared" ca="1" si="54"/>
        <v>1.0265794351685471</v>
      </c>
      <c r="R275" s="810">
        <f t="shared" si="50"/>
        <v>0</v>
      </c>
      <c r="S275" s="813">
        <f t="shared" ca="1" si="51"/>
        <v>1.5841995957021451</v>
      </c>
    </row>
    <row r="276" spans="1:19">
      <c r="A276" s="811">
        <f t="shared" ref="A276:A288" ca="1" si="55">EDATE(A275,1)</f>
        <v>43221</v>
      </c>
      <c r="B276" s="1102">
        <f ca="1">'[2]Monthly Curve Calc.'!B279</f>
        <v>674.54740884265959</v>
      </c>
      <c r="C276" s="1103">
        <f ca="1">'[2]Monthly Curve Calc.'!C279</f>
        <v>277.44871659339623</v>
      </c>
      <c r="D276" s="1103">
        <f ca="1">'[2]Monthly Curve Calc.'!D279</f>
        <v>203.00905720769185</v>
      </c>
      <c r="E276" s="1103">
        <f ca="1">'[2]Monthly Curve Calc.'!E279</f>
        <v>25.080000000000101</v>
      </c>
      <c r="F276" s="1104">
        <f ca="1">'[2]Monthly Curve Calc.'!F279</f>
        <v>3.0730598231259436</v>
      </c>
      <c r="G276" s="812">
        <f t="shared" ca="1" si="43"/>
        <v>1.0680000000000009</v>
      </c>
      <c r="H276" s="810">
        <f t="shared" ca="1" si="44"/>
        <v>1.0270225062013858</v>
      </c>
      <c r="I276" s="810">
        <f t="shared" ca="1" si="45"/>
        <v>1.0245225062013859</v>
      </c>
      <c r="J276" s="810">
        <f t="shared" ca="1" si="46"/>
        <v>1.0173249853578423</v>
      </c>
      <c r="K276" s="813">
        <f t="shared" ca="1" si="47"/>
        <v>25.078090277777871</v>
      </c>
      <c r="L276" s="921">
        <f t="shared" si="52"/>
        <v>264</v>
      </c>
      <c r="M276" s="809">
        <f t="shared" ca="1" si="53"/>
        <v>1.0270225062013858</v>
      </c>
      <c r="N276" s="810">
        <f t="shared" si="48"/>
        <v>1.0049999999999999</v>
      </c>
      <c r="O276" s="813">
        <f t="shared" ca="1" si="49"/>
        <v>1.7280133273368676</v>
      </c>
      <c r="Q276" s="809">
        <f t="shared" ca="1" si="54"/>
        <v>1.0270225062013858</v>
      </c>
      <c r="R276" s="810">
        <f t="shared" si="50"/>
        <v>0</v>
      </c>
      <c r="S276" s="813">
        <f t="shared" ca="1" si="51"/>
        <v>1.5841995957021451</v>
      </c>
    </row>
    <row r="277" spans="1:19">
      <c r="A277" s="811">
        <f t="shared" ca="1" si="55"/>
        <v>43252</v>
      </c>
      <c r="B277" s="1102">
        <f ca="1">'[2]Monthly Curve Calc.'!B280</f>
        <v>678.25564356363236</v>
      </c>
      <c r="C277" s="1103">
        <f ca="1">'[2]Monthly Curve Calc.'!C280</f>
        <v>278.07109113679007</v>
      </c>
      <c r="D277" s="1103">
        <f ca="1">'[2]Monthly Curve Calc.'!D280</f>
        <v>203.3125427319365</v>
      </c>
      <c r="E277" s="1103">
        <f ca="1">'[2]Monthly Curve Calc.'!E280</f>
        <v>25.080000000000101</v>
      </c>
      <c r="F277" s="1104">
        <f ca="1">'[2]Monthly Curve Calc.'!F280</f>
        <v>3.078132901579516</v>
      </c>
      <c r="G277" s="812">
        <f t="shared" ref="G277:G288" ca="1" si="56">IF(AND($A277&gt;G$16,MONTH($A277)=MONTH(G$16)),B276/B264,G276)</f>
        <v>1.0680000000000009</v>
      </c>
      <c r="H277" s="810">
        <f t="shared" ref="H277:H288" ca="1" si="57">IF(AND($A277&gt;H$16,MONTH($A277)=MONTH(H$16)),C276/C264,H276)</f>
        <v>1.0270225062013858</v>
      </c>
      <c r="I277" s="810">
        <f t="shared" ref="I277:I288" ca="1" si="58">IF(AND($A277&gt;I$16,MONTH($A277)=MONTH(I$16)),C276/C264-I$18,I276)</f>
        <v>1.0245225062013859</v>
      </c>
      <c r="J277" s="810">
        <f t="shared" ref="J277:J288" ca="1" si="59">IF(AND($A277&gt;J$16,MONTH($A277)=MONTH(J$16)),D276/D264,J276)</f>
        <v>1.0173249853578423</v>
      </c>
      <c r="K277" s="813">
        <f t="shared" ref="K277:K288" ca="1" si="60">IF($A277&gt;=K$16,IF(MONTH($A277)=MONTH(K$16),AVERAGE(E265:E276),K276),K276)</f>
        <v>25.078090277777871</v>
      </c>
      <c r="L277" s="921">
        <f t="shared" si="52"/>
        <v>265</v>
      </c>
      <c r="M277" s="809">
        <f t="shared" ca="1" si="53"/>
        <v>1.0270225062013858</v>
      </c>
      <c r="N277" s="810">
        <f t="shared" ref="N277:N288" si="61">N276</f>
        <v>1.0049999999999999</v>
      </c>
      <c r="O277" s="813">
        <f t="shared" ref="O277:O288" ca="1" si="62">IF(AND($A277&gt;=O$16,MONTH($A277)=MONTH(O$16)),MAX(M277,N277)*O276,O276)</f>
        <v>1.7280133273368676</v>
      </c>
      <c r="Q277" s="809">
        <f t="shared" ca="1" si="54"/>
        <v>1.0270225062013858</v>
      </c>
      <c r="R277" s="810">
        <f t="shared" ref="R277:R288" si="63">R276</f>
        <v>0</v>
      </c>
      <c r="S277" s="813">
        <f t="shared" ref="S277:S288" ca="1" si="64">IF(AND($A277&gt;=S$16,MONTH($A277)=MONTH(S$16)),MAX(Q277,R277)*S276,S276)</f>
        <v>1.6270086391012393</v>
      </c>
    </row>
    <row r="278" spans="1:19">
      <c r="A278" s="811">
        <f t="shared" ca="1" si="55"/>
        <v>43282</v>
      </c>
      <c r="B278" s="1102">
        <f ca="1">'[2]Monthly Curve Calc.'!B281</f>
        <v>681.98426381209447</v>
      </c>
      <c r="C278" s="1103">
        <f ca="1">'[2]Monthly Curve Calc.'!C281</f>
        <v>278.69486179430913</v>
      </c>
      <c r="D278" s="1103">
        <f ca="1">'[2]Monthly Curve Calc.'!D281</f>
        <v>203.61648194758138</v>
      </c>
      <c r="E278" s="1103">
        <f ca="1">'[2]Monthly Curve Calc.'!E281</f>
        <v>25.080000000000101</v>
      </c>
      <c r="F278" s="1104">
        <f ca="1">'[2]Monthly Curve Calc.'!F281</f>
        <v>3.0832143547886992</v>
      </c>
      <c r="G278" s="812">
        <f t="shared" ca="1" si="56"/>
        <v>1.0680000000000009</v>
      </c>
      <c r="H278" s="810">
        <f t="shared" ca="1" si="57"/>
        <v>1.0270225062013858</v>
      </c>
      <c r="I278" s="810">
        <f t="shared" ca="1" si="58"/>
        <v>1.0245225062013859</v>
      </c>
      <c r="J278" s="810">
        <f t="shared" ca="1" si="59"/>
        <v>1.0173249853578423</v>
      </c>
      <c r="K278" s="813">
        <f t="shared" ca="1" si="60"/>
        <v>25.078090277777871</v>
      </c>
      <c r="L278" s="921">
        <f t="shared" si="52"/>
        <v>266</v>
      </c>
      <c r="M278" s="809">
        <f t="shared" ca="1" si="53"/>
        <v>1.0270225062013858</v>
      </c>
      <c r="N278" s="810">
        <f t="shared" si="61"/>
        <v>1.0049999999999999</v>
      </c>
      <c r="O278" s="813">
        <f t="shared" ca="1" si="62"/>
        <v>1.7280133273368676</v>
      </c>
      <c r="Q278" s="809">
        <f t="shared" ca="1" si="54"/>
        <v>1.0270225062013858</v>
      </c>
      <c r="R278" s="810">
        <f t="shared" si="63"/>
        <v>0</v>
      </c>
      <c r="S278" s="813">
        <f t="shared" ca="1" si="64"/>
        <v>1.6270086391012393</v>
      </c>
    </row>
    <row r="279" spans="1:19">
      <c r="A279" s="811">
        <f t="shared" ca="1" si="55"/>
        <v>43313</v>
      </c>
      <c r="B279" s="1102">
        <f ca="1">'[2]Monthly Curve Calc.'!B282</f>
        <v>685.73338165477367</v>
      </c>
      <c r="C279" s="1103">
        <f ca="1">'[2]Monthly Curve Calc.'!C282</f>
        <v>279.32003169772463</v>
      </c>
      <c r="D279" s="1103">
        <f ca="1">'[2]Monthly Curve Calc.'!D282</f>
        <v>203.92087553286606</v>
      </c>
      <c r="E279" s="1103">
        <f ca="1">'[2]Monthly Curve Calc.'!E282</f>
        <v>25.080000000000101</v>
      </c>
      <c r="F279" s="1104">
        <f ca="1">'[2]Monthly Curve Calc.'!F282</f>
        <v>3.0883041965787341</v>
      </c>
      <c r="G279" s="812">
        <f t="shared" ca="1" si="56"/>
        <v>1.0680000000000009</v>
      </c>
      <c r="H279" s="810">
        <f t="shared" ca="1" si="57"/>
        <v>1.0270225062013858</v>
      </c>
      <c r="I279" s="810">
        <f t="shared" ca="1" si="58"/>
        <v>1.0245225062013859</v>
      </c>
      <c r="J279" s="810">
        <f t="shared" ca="1" si="59"/>
        <v>1.0173249853578423</v>
      </c>
      <c r="K279" s="813">
        <f t="shared" ca="1" si="60"/>
        <v>25.078090277777871</v>
      </c>
      <c r="L279" s="921">
        <f t="shared" si="52"/>
        <v>267</v>
      </c>
      <c r="M279" s="809">
        <f t="shared" ca="1" si="53"/>
        <v>1.0270225062013858</v>
      </c>
      <c r="N279" s="810">
        <f t="shared" si="61"/>
        <v>1.0049999999999999</v>
      </c>
      <c r="O279" s="813">
        <f t="shared" ca="1" si="62"/>
        <v>1.7280133273368676</v>
      </c>
      <c r="Q279" s="809">
        <f t="shared" ca="1" si="54"/>
        <v>1.0270225062013858</v>
      </c>
      <c r="R279" s="810">
        <f t="shared" si="63"/>
        <v>0</v>
      </c>
      <c r="S279" s="813">
        <f t="shared" ca="1" si="64"/>
        <v>1.6270086391012393</v>
      </c>
    </row>
    <row r="280" spans="1:19">
      <c r="A280" s="811">
        <f t="shared" ca="1" si="55"/>
        <v>43344</v>
      </c>
      <c r="B280" s="1102">
        <f ca="1">'[2]Monthly Curve Calc.'!B283</f>
        <v>689.50310977446975</v>
      </c>
      <c r="C280" s="1103">
        <f ca="1">'[2]Monthly Curve Calc.'!C283</f>
        <v>279.94660398583289</v>
      </c>
      <c r="D280" s="1103">
        <f ca="1">'[2]Monthly Curve Calc.'!D283</f>
        <v>204.22572416704401</v>
      </c>
      <c r="E280" s="1103">
        <f ca="1">'[2]Monthly Curve Calc.'!E283</f>
        <v>25.080000000000101</v>
      </c>
      <c r="F280" s="1104">
        <f ca="1">'[2]Monthly Curve Calc.'!F283</f>
        <v>3.0934024407976843</v>
      </c>
      <c r="G280" s="812">
        <f t="shared" ca="1" si="56"/>
        <v>1.0680000000000009</v>
      </c>
      <c r="H280" s="810">
        <f t="shared" ca="1" si="57"/>
        <v>1.0270225062013858</v>
      </c>
      <c r="I280" s="810">
        <f t="shared" ca="1" si="58"/>
        <v>1.0245225062013859</v>
      </c>
      <c r="J280" s="810">
        <f t="shared" ca="1" si="59"/>
        <v>1.0173249853578423</v>
      </c>
      <c r="K280" s="813">
        <f t="shared" ca="1" si="60"/>
        <v>25.078090277777871</v>
      </c>
      <c r="L280" s="921">
        <f t="shared" si="52"/>
        <v>268</v>
      </c>
      <c r="M280" s="809">
        <f t="shared" ca="1" si="53"/>
        <v>1.0270225062013858</v>
      </c>
      <c r="N280" s="810">
        <f t="shared" si="61"/>
        <v>1.0049999999999999</v>
      </c>
      <c r="O280" s="813">
        <f t="shared" ca="1" si="62"/>
        <v>1.7280133273368676</v>
      </c>
      <c r="Q280" s="809">
        <f t="shared" ca="1" si="54"/>
        <v>1.0270225062013858</v>
      </c>
      <c r="R280" s="810">
        <f t="shared" si="63"/>
        <v>0</v>
      </c>
      <c r="S280" s="813">
        <f t="shared" ca="1" si="64"/>
        <v>1.6270086391012393</v>
      </c>
    </row>
    <row r="281" spans="1:19">
      <c r="A281" s="811">
        <f t="shared" ca="1" si="55"/>
        <v>43374</v>
      </c>
      <c r="B281" s="1102">
        <f ca="1">'[2]Monthly Curve Calc.'!B284</f>
        <v>693.29356147344106</v>
      </c>
      <c r="C281" s="1103">
        <f ca="1">'[2]Monthly Curve Calc.'!C284</f>
        <v>280.57458180447128</v>
      </c>
      <c r="D281" s="1103">
        <f ca="1">'[2]Monthly Curve Calc.'!D284</f>
        <v>204.53102853038416</v>
      </c>
      <c r="E281" s="1103">
        <f ca="1">'[2]Monthly Curve Calc.'!E284</f>
        <v>25.080000000000101</v>
      </c>
      <c r="F281" s="1104">
        <f ca="1">'[2]Monthly Curve Calc.'!F284</f>
        <v>3.0985091013164747</v>
      </c>
      <c r="G281" s="812">
        <f t="shared" ca="1" si="56"/>
        <v>1.0680000000000009</v>
      </c>
      <c r="H281" s="810">
        <f t="shared" ca="1" si="57"/>
        <v>1.0270225062013858</v>
      </c>
      <c r="I281" s="810">
        <f t="shared" ca="1" si="58"/>
        <v>1.0245225062013859</v>
      </c>
      <c r="J281" s="810">
        <f t="shared" ca="1" si="59"/>
        <v>1.0173249853578423</v>
      </c>
      <c r="K281" s="813">
        <f t="shared" ca="1" si="60"/>
        <v>25.078090277777871</v>
      </c>
      <c r="L281" s="921">
        <f t="shared" si="52"/>
        <v>269</v>
      </c>
      <c r="M281" s="809">
        <f t="shared" ca="1" si="53"/>
        <v>1.0270225062013858</v>
      </c>
      <c r="N281" s="810">
        <f t="shared" si="61"/>
        <v>1.0049999999999999</v>
      </c>
      <c r="O281" s="813">
        <f t="shared" ca="1" si="62"/>
        <v>1.7280133273368676</v>
      </c>
      <c r="Q281" s="809">
        <f t="shared" ca="1" si="54"/>
        <v>1.0270225062013858</v>
      </c>
      <c r="R281" s="810">
        <f t="shared" si="63"/>
        <v>0</v>
      </c>
      <c r="S281" s="813">
        <f t="shared" ca="1" si="64"/>
        <v>1.6270086391012393</v>
      </c>
    </row>
    <row r="282" spans="1:19">
      <c r="A282" s="811">
        <f t="shared" ca="1" si="55"/>
        <v>43405</v>
      </c>
      <c r="B282" s="1102">
        <f ca="1">'[2]Monthly Curve Calc.'!B285</f>
        <v>697.1048506768102</v>
      </c>
      <c r="C282" s="1103">
        <f ca="1">'[2]Monthly Curve Calc.'!C285</f>
        <v>281.20396830653391</v>
      </c>
      <c r="D282" s="1103">
        <f ca="1">'[2]Monthly Curve Calc.'!D285</f>
        <v>204.83678930417238</v>
      </c>
      <c r="E282" s="1103">
        <f ca="1">'[2]Monthly Curve Calc.'!E285</f>
        <v>25.080000000000101</v>
      </c>
      <c r="F282" s="1104">
        <f ca="1">'[2]Monthly Curve Calc.'!F285</f>
        <v>3.1036241920289283</v>
      </c>
      <c r="G282" s="812">
        <f t="shared" ca="1" si="56"/>
        <v>1.0680000000000009</v>
      </c>
      <c r="H282" s="810">
        <f t="shared" ca="1" si="57"/>
        <v>1.0270225062013858</v>
      </c>
      <c r="I282" s="810">
        <f t="shared" ca="1" si="58"/>
        <v>1.0245225062013859</v>
      </c>
      <c r="J282" s="810">
        <f t="shared" ca="1" si="59"/>
        <v>1.0173249853578423</v>
      </c>
      <c r="K282" s="813">
        <f t="shared" ca="1" si="60"/>
        <v>25.078090277777871</v>
      </c>
      <c r="L282" s="921">
        <f t="shared" si="52"/>
        <v>270</v>
      </c>
      <c r="M282" s="809">
        <f t="shared" ca="1" si="53"/>
        <v>1.0270225062013858</v>
      </c>
      <c r="N282" s="810">
        <f t="shared" si="61"/>
        <v>1.0049999999999999</v>
      </c>
      <c r="O282" s="813">
        <f t="shared" ca="1" si="62"/>
        <v>1.7280133273368676</v>
      </c>
      <c r="Q282" s="809">
        <f t="shared" ca="1" si="54"/>
        <v>1.0270225062013858</v>
      </c>
      <c r="R282" s="810">
        <f t="shared" si="63"/>
        <v>0</v>
      </c>
      <c r="S282" s="813">
        <f t="shared" ca="1" si="64"/>
        <v>1.6270086391012393</v>
      </c>
    </row>
    <row r="283" spans="1:19">
      <c r="A283" s="811">
        <f t="shared" ca="1" si="55"/>
        <v>43435</v>
      </c>
      <c r="B283" s="1102">
        <f ca="1">'[2]Monthly Curve Calc.'!B286</f>
        <v>700.93709193598795</v>
      </c>
      <c r="C283" s="1103">
        <f ca="1">'[2]Monthly Curve Calc.'!C286</f>
        <v>281.83476665198742</v>
      </c>
      <c r="D283" s="1103">
        <f ca="1">'[2]Monthly Curve Calc.'!D286</f>
        <v>205.14300717071302</v>
      </c>
      <c r="E283" s="1103">
        <f ca="1">'[2]Monthly Curve Calc.'!E286</f>
        <v>25.080000000000101</v>
      </c>
      <c r="F283" s="1104">
        <f ca="1">'[2]Monthly Curve Calc.'!F286</f>
        <v>3.1087477268518051</v>
      </c>
      <c r="G283" s="812">
        <f t="shared" ca="1" si="56"/>
        <v>1.0680000000000009</v>
      </c>
      <c r="H283" s="810">
        <f t="shared" ca="1" si="57"/>
        <v>1.0270225062013858</v>
      </c>
      <c r="I283" s="810">
        <f t="shared" ca="1" si="58"/>
        <v>1.0245225062013859</v>
      </c>
      <c r="J283" s="810">
        <f t="shared" ca="1" si="59"/>
        <v>1.0173249853578423</v>
      </c>
      <c r="K283" s="813">
        <f t="shared" ca="1" si="60"/>
        <v>25.078090277777871</v>
      </c>
      <c r="L283" s="921">
        <f t="shared" si="52"/>
        <v>271</v>
      </c>
      <c r="M283" s="809">
        <f t="shared" ca="1" si="53"/>
        <v>1.0270225062013858</v>
      </c>
      <c r="N283" s="810">
        <f t="shared" si="61"/>
        <v>1.0049999999999999</v>
      </c>
      <c r="O283" s="813">
        <f t="shared" ca="1" si="62"/>
        <v>1.7280133273368676</v>
      </c>
      <c r="Q283" s="809">
        <f t="shared" ca="1" si="54"/>
        <v>1.0270225062013858</v>
      </c>
      <c r="R283" s="810">
        <f t="shared" si="63"/>
        <v>0</v>
      </c>
      <c r="S283" s="813">
        <f t="shared" ca="1" si="64"/>
        <v>1.6270086391012393</v>
      </c>
    </row>
    <row r="284" spans="1:19">
      <c r="A284" s="811">
        <f t="shared" ca="1" si="55"/>
        <v>43466</v>
      </c>
      <c r="B284" s="1102">
        <f ca="1">'[2]Monthly Curve Calc.'!B287</f>
        <v>704.79040043211614</v>
      </c>
      <c r="C284" s="1103">
        <f ca="1">'[2]Monthly Curve Calc.'!C287</f>
        <v>282.48005636909801</v>
      </c>
      <c r="D284" s="1103">
        <f ca="1">'[2]Monthly Curve Calc.'!D287</f>
        <v>205.46481165790806</v>
      </c>
      <c r="E284" s="1103">
        <f ca="1">'[2]Monthly Curve Calc.'!E287</f>
        <v>25.080000000000101</v>
      </c>
      <c r="F284" s="1104">
        <f ca="1">'[2]Monthly Curve Calc.'!F287</f>
        <v>3.1138921883315391</v>
      </c>
      <c r="G284" s="812">
        <f t="shared" ca="1" si="56"/>
        <v>1.0680000000000009</v>
      </c>
      <c r="H284" s="810">
        <f t="shared" ca="1" si="57"/>
        <v>1.0270225062013858</v>
      </c>
      <c r="I284" s="810">
        <f t="shared" ca="1" si="58"/>
        <v>1.0245225062013859</v>
      </c>
      <c r="J284" s="810">
        <f t="shared" ca="1" si="59"/>
        <v>1.0180874670798168</v>
      </c>
      <c r="K284" s="813">
        <f t="shared" ca="1" si="60"/>
        <v>25.080000000000101</v>
      </c>
      <c r="L284" s="921">
        <f t="shared" si="52"/>
        <v>272</v>
      </c>
      <c r="M284" s="809">
        <f t="shared" ca="1" si="53"/>
        <v>1.0270225062013858</v>
      </c>
      <c r="N284" s="810">
        <f t="shared" si="61"/>
        <v>1.0049999999999999</v>
      </c>
      <c r="O284" s="813">
        <f t="shared" ca="1" si="62"/>
        <v>1.7280133273368676</v>
      </c>
      <c r="Q284" s="809">
        <f t="shared" ca="1" si="54"/>
        <v>1.0270225062013858</v>
      </c>
      <c r="R284" s="810">
        <f t="shared" si="63"/>
        <v>0</v>
      </c>
      <c r="S284" s="813">
        <f t="shared" ca="1" si="64"/>
        <v>1.6270086391012393</v>
      </c>
    </row>
    <row r="285" spans="1:19">
      <c r="A285" s="811">
        <f t="shared" ca="1" si="55"/>
        <v>43497</v>
      </c>
      <c r="B285" s="1102">
        <f ca="1">'[2]Monthly Curve Calc.'!B288</f>
        <v>708.66489197952978</v>
      </c>
      <c r="C285" s="1103">
        <f ca="1">'[2]Monthly Curve Calc.'!C288</f>
        <v>283.12682354345759</v>
      </c>
      <c r="D285" s="1103">
        <f ca="1">'[2]Monthly Curve Calc.'!D288</f>
        <v>205.78712095454995</v>
      </c>
      <c r="E285" s="1103">
        <f ca="1">'[2]Monthly Curve Calc.'!E288</f>
        <v>25.080000000000101</v>
      </c>
      <c r="F285" s="1104">
        <f ca="1">'[2]Monthly Curve Calc.'!F288</f>
        <v>3.1190451630411142</v>
      </c>
      <c r="G285" s="812">
        <f t="shared" ca="1" si="56"/>
        <v>1.0680000000000009</v>
      </c>
      <c r="H285" s="810">
        <f t="shared" ca="1" si="57"/>
        <v>1.0270225062013858</v>
      </c>
      <c r="I285" s="810">
        <f t="shared" ca="1" si="58"/>
        <v>1.0245225062013859</v>
      </c>
      <c r="J285" s="810">
        <f t="shared" ca="1" si="59"/>
        <v>1.0180874670798168</v>
      </c>
      <c r="K285" s="813">
        <f t="shared" ca="1" si="60"/>
        <v>25.080000000000101</v>
      </c>
      <c r="L285" s="921">
        <f t="shared" si="52"/>
        <v>273</v>
      </c>
      <c r="M285" s="809">
        <f t="shared" ca="1" si="53"/>
        <v>1.0270225062013858</v>
      </c>
      <c r="N285" s="810">
        <f t="shared" si="61"/>
        <v>1.0049999999999999</v>
      </c>
      <c r="O285" s="813">
        <f t="shared" ca="1" si="62"/>
        <v>1.7280133273368676</v>
      </c>
      <c r="Q285" s="809">
        <f t="shared" ca="1" si="54"/>
        <v>1.0270225062013858</v>
      </c>
      <c r="R285" s="810">
        <f t="shared" si="63"/>
        <v>0</v>
      </c>
      <c r="S285" s="813">
        <f t="shared" ca="1" si="64"/>
        <v>1.6270086391012393</v>
      </c>
    </row>
    <row r="286" spans="1:19">
      <c r="A286" s="811">
        <f t="shared" ca="1" si="55"/>
        <v>43525</v>
      </c>
      <c r="B286" s="1102">
        <f ca="1">'[2]Monthly Curve Calc.'!B289</f>
        <v>712.56068302923768</v>
      </c>
      <c r="C286" s="1103">
        <f ca="1">'[2]Monthly Curve Calc.'!C289</f>
        <v>283.77507155785662</v>
      </c>
      <c r="D286" s="1103">
        <f ca="1">'[2]Monthly Curve Calc.'!D289</f>
        <v>206.10993585252507</v>
      </c>
      <c r="E286" s="1103">
        <f ca="1">'[2]Monthly Curve Calc.'!E289</f>
        <v>25.080000000000101</v>
      </c>
      <c r="F286" s="1104">
        <f ca="1">'[2]Monthly Curve Calc.'!F289</f>
        <v>3.1242066650685127</v>
      </c>
      <c r="G286" s="812">
        <f t="shared" ca="1" si="56"/>
        <v>1.0680000000000009</v>
      </c>
      <c r="H286" s="810">
        <f t="shared" ca="1" si="57"/>
        <v>1.0270225062013858</v>
      </c>
      <c r="I286" s="810">
        <f t="shared" ca="1" si="58"/>
        <v>1.0245225062013859</v>
      </c>
      <c r="J286" s="810">
        <f t="shared" ca="1" si="59"/>
        <v>1.0180874670798168</v>
      </c>
      <c r="K286" s="813">
        <f t="shared" ca="1" si="60"/>
        <v>25.080000000000101</v>
      </c>
      <c r="L286" s="921">
        <f t="shared" si="52"/>
        <v>274</v>
      </c>
      <c r="M286" s="809">
        <f t="shared" ca="1" si="53"/>
        <v>1.0270225062013858</v>
      </c>
      <c r="N286" s="810">
        <f t="shared" si="61"/>
        <v>1.0049999999999999</v>
      </c>
      <c r="O286" s="813">
        <f t="shared" ca="1" si="62"/>
        <v>1.7280133273368676</v>
      </c>
      <c r="Q286" s="809">
        <f t="shared" ca="1" si="54"/>
        <v>1.0270225062013858</v>
      </c>
      <c r="R286" s="810">
        <f t="shared" si="63"/>
        <v>0</v>
      </c>
      <c r="S286" s="813">
        <f t="shared" ca="1" si="64"/>
        <v>1.6270086391012393</v>
      </c>
    </row>
    <row r="287" spans="1:19">
      <c r="A287" s="811">
        <f t="shared" ca="1" si="55"/>
        <v>43556</v>
      </c>
      <c r="B287" s="1102">
        <f ca="1">'[2]Monthly Curve Calc.'!B290</f>
        <v>716.47789067242263</v>
      </c>
      <c r="C287" s="1103">
        <f ca="1">'[2]Monthly Curve Calc.'!C290</f>
        <v>284.42480380283092</v>
      </c>
      <c r="D287" s="1103">
        <f ca="1">'[2]Monthly Curve Calc.'!D290</f>
        <v>206.43325714496194</v>
      </c>
      <c r="E287" s="1103">
        <f ca="1">'[2]Monthly Curve Calc.'!E290</f>
        <v>25.080000000000101</v>
      </c>
      <c r="F287" s="1104">
        <f ca="1">'[2]Monthly Curve Calc.'!F290</f>
        <v>3.1293767085250299</v>
      </c>
      <c r="G287" s="812">
        <f t="shared" ca="1" si="56"/>
        <v>1.0680000000000009</v>
      </c>
      <c r="H287" s="810">
        <f t="shared" ca="1" si="57"/>
        <v>1.0270225062013858</v>
      </c>
      <c r="I287" s="810">
        <f t="shared" ca="1" si="58"/>
        <v>1.0245225062013859</v>
      </c>
      <c r="J287" s="810">
        <f t="shared" ca="1" si="59"/>
        <v>1.0180874670798168</v>
      </c>
      <c r="K287" s="813">
        <f t="shared" ca="1" si="60"/>
        <v>25.080000000000101</v>
      </c>
      <c r="L287" s="921">
        <f t="shared" si="52"/>
        <v>275</v>
      </c>
      <c r="M287" s="809">
        <f t="shared" ca="1" si="53"/>
        <v>1.0270225062013858</v>
      </c>
      <c r="N287" s="810">
        <f t="shared" si="61"/>
        <v>1.0049999999999999</v>
      </c>
      <c r="O287" s="813">
        <f t="shared" ca="1" si="62"/>
        <v>1.7280133273368676</v>
      </c>
      <c r="Q287" s="809">
        <f t="shared" ca="1" si="54"/>
        <v>1.0270225062013858</v>
      </c>
      <c r="R287" s="810">
        <f t="shared" si="63"/>
        <v>0</v>
      </c>
      <c r="S287" s="813">
        <f t="shared" ca="1" si="64"/>
        <v>1.6270086391012393</v>
      </c>
    </row>
    <row r="288" spans="1:19">
      <c r="A288" s="811">
        <f t="shared" ca="1" si="55"/>
        <v>43586</v>
      </c>
      <c r="B288" s="1102">
        <f ca="1">'[2]Monthly Curve Calc.'!B291</f>
        <v>720.41663264396061</v>
      </c>
      <c r="C288" s="1103">
        <f ca="1">'[2]Monthly Curve Calc.'!C291</f>
        <v>285.07602367667914</v>
      </c>
      <c r="D288" s="1103">
        <f ca="1">'[2]Monthly Curve Calc.'!D291</f>
        <v>206.75708562623331</v>
      </c>
      <c r="E288" s="1103">
        <f ca="1">'[2]Monthly Curve Calc.'!E291</f>
        <v>25.080000000000101</v>
      </c>
      <c r="F288" s="1104">
        <f ca="1">'[2]Monthly Curve Calc.'!F291</f>
        <v>3.1345553075453139</v>
      </c>
      <c r="G288" s="812">
        <f t="shared" ca="1" si="56"/>
        <v>1.0680000000000005</v>
      </c>
      <c r="H288" s="810">
        <f t="shared" ca="1" si="57"/>
        <v>1.027443307883817</v>
      </c>
      <c r="I288" s="810">
        <f t="shared" ca="1" si="58"/>
        <v>1.024943307883817</v>
      </c>
      <c r="J288" s="810">
        <f t="shared" ca="1" si="59"/>
        <v>1.0180874670798168</v>
      </c>
      <c r="K288" s="813">
        <f t="shared" ca="1" si="60"/>
        <v>25.080000000000101</v>
      </c>
      <c r="L288" s="921">
        <f t="shared" si="52"/>
        <v>276</v>
      </c>
      <c r="M288" s="809">
        <f t="shared" ca="1" si="53"/>
        <v>1.027443307883817</v>
      </c>
      <c r="N288" s="810">
        <f t="shared" si="61"/>
        <v>1.0049999999999999</v>
      </c>
      <c r="O288" s="813">
        <f t="shared" ca="1" si="62"/>
        <v>1.7754357291063123</v>
      </c>
      <c r="Q288" s="809">
        <f t="shared" ca="1" si="54"/>
        <v>1.027443307883817</v>
      </c>
      <c r="R288" s="810">
        <f t="shared" si="63"/>
        <v>0</v>
      </c>
      <c r="S288" s="813">
        <f t="shared" ca="1" si="64"/>
        <v>1.6270086391012393</v>
      </c>
    </row>
    <row r="289" spans="1:19" ht="13.5" thickBot="1">
      <c r="A289" s="814"/>
      <c r="B289" s="815"/>
      <c r="C289" s="816"/>
      <c r="D289" s="816"/>
      <c r="E289" s="816"/>
      <c r="F289" s="816"/>
      <c r="G289" s="815"/>
      <c r="H289" s="816"/>
      <c r="I289" s="816"/>
      <c r="J289" s="816"/>
      <c r="K289" s="817"/>
      <c r="M289" s="818"/>
      <c r="N289" s="816"/>
      <c r="O289" s="817"/>
      <c r="Q289" s="818"/>
      <c r="R289" s="816"/>
      <c r="S289" s="817"/>
    </row>
    <row r="291" spans="1:19">
      <c r="A291" s="819">
        <v>1</v>
      </c>
      <c r="B291" s="819">
        <f>A291+1</f>
        <v>2</v>
      </c>
      <c r="C291" s="819">
        <f t="shared" ref="C291:S291" si="65">B291+1</f>
        <v>3</v>
      </c>
      <c r="D291" s="819">
        <f t="shared" si="65"/>
        <v>4</v>
      </c>
      <c r="E291" s="819">
        <f t="shared" si="65"/>
        <v>5</v>
      </c>
      <c r="F291" s="819">
        <f t="shared" si="65"/>
        <v>6</v>
      </c>
      <c r="G291" s="819">
        <f t="shared" si="65"/>
        <v>7</v>
      </c>
      <c r="H291" s="819">
        <f t="shared" si="65"/>
        <v>8</v>
      </c>
      <c r="I291" s="819">
        <f t="shared" si="65"/>
        <v>9</v>
      </c>
      <c r="J291" s="819">
        <f t="shared" si="65"/>
        <v>10</v>
      </c>
      <c r="K291" s="819">
        <f t="shared" si="65"/>
        <v>11</v>
      </c>
      <c r="L291" s="819">
        <f t="shared" si="65"/>
        <v>12</v>
      </c>
      <c r="M291" s="819">
        <f t="shared" si="65"/>
        <v>13</v>
      </c>
      <c r="N291" s="819">
        <f t="shared" si="65"/>
        <v>14</v>
      </c>
      <c r="O291" s="1370">
        <f t="shared" si="65"/>
        <v>15</v>
      </c>
      <c r="P291" s="819">
        <f t="shared" si="65"/>
        <v>16</v>
      </c>
      <c r="Q291" s="819">
        <f t="shared" si="65"/>
        <v>17</v>
      </c>
      <c r="R291" s="819">
        <f t="shared" si="65"/>
        <v>18</v>
      </c>
      <c r="S291" s="819">
        <f t="shared" si="65"/>
        <v>19</v>
      </c>
    </row>
  </sheetData>
  <printOptions horizontalCentered="1"/>
  <pageMargins left="0.25" right="0.25" top="0.5" bottom="0.5" header="0.25" footer="0.25"/>
  <pageSetup scale="48" fitToHeight="4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B78"/>
  <sheetViews>
    <sheetView showGridLines="0" topLeftCell="A7" zoomScale="80" workbookViewId="0">
      <pane ySplit="1" topLeftCell="A8" activePane="bottomLeft" state="frozen"/>
      <selection activeCell="A7" sqref="A7"/>
      <selection pane="bottomLeft" activeCell="H17" sqref="H17"/>
    </sheetView>
  </sheetViews>
  <sheetFormatPr defaultRowHeight="12.75"/>
  <cols>
    <col min="1" max="1" width="2.7109375" style="8" customWidth="1"/>
    <col min="2" max="2" width="42.7109375" style="8" customWidth="1"/>
    <col min="3" max="3" width="14.7109375" style="5" customWidth="1"/>
    <col min="4" max="4" width="20.7109375" style="5" customWidth="1"/>
    <col min="5" max="25" width="11.7109375" style="5" customWidth="1"/>
    <col min="26" max="26" width="12.7109375" style="8" customWidth="1"/>
    <col min="27" max="16384" width="9.140625" style="5"/>
  </cols>
  <sheetData>
    <row r="1" spans="1:28" ht="15.75">
      <c r="A1" s="996" t="str">
        <f>Assm!A1</f>
        <v>GAS ORIENTE BOLIVIANO S.A. (GASBOL) *** DRAFT COPY ***</v>
      </c>
      <c r="B1" s="205"/>
      <c r="C1" s="134"/>
      <c r="D1" s="8"/>
      <c r="H1" s="158"/>
      <c r="K1" s="47"/>
      <c r="S1" s="94"/>
    </row>
    <row r="2" spans="1:28" ht="15.75">
      <c r="A2" s="996" t="str">
        <f>Assm!A2</f>
        <v>369 KM PIPELINE SPUR FOR CUIABA POWER PLANT (BOLIVIA)</v>
      </c>
      <c r="B2" s="205"/>
      <c r="C2" s="134"/>
      <c r="D2" s="8"/>
      <c r="H2" s="158"/>
      <c r="K2" s="47"/>
      <c r="S2" s="94"/>
    </row>
    <row r="3" spans="1:28" ht="15.75">
      <c r="A3" s="206" t="str">
        <f>Assm!A3</f>
        <v>ENRON INTERNATIONAL</v>
      </c>
      <c r="B3" s="206"/>
      <c r="C3" s="134"/>
      <c r="D3" s="8"/>
      <c r="F3" s="29"/>
      <c r="H3" s="158"/>
      <c r="K3" s="47"/>
      <c r="T3" s="69"/>
      <c r="U3" s="69"/>
    </row>
    <row r="4" spans="1:28" ht="15.75">
      <c r="A4" s="820" t="s">
        <v>750</v>
      </c>
      <c r="B4" s="820"/>
      <c r="C4" s="134"/>
      <c r="D4" s="8"/>
      <c r="F4" s="29"/>
      <c r="H4" s="158"/>
      <c r="K4" s="47"/>
    </row>
    <row r="5" spans="1:28" ht="13.5" thickBot="1">
      <c r="AB5" s="1035" t="s">
        <v>865</v>
      </c>
    </row>
    <row r="6" spans="1:28" s="8" customFormat="1">
      <c r="A6" s="411" t="s">
        <v>160</v>
      </c>
      <c r="B6" s="73"/>
      <c r="C6" s="73"/>
      <c r="D6" s="73"/>
      <c r="E6" s="874">
        <v>1</v>
      </c>
      <c r="F6" s="412">
        <f>E6+1</f>
        <v>2</v>
      </c>
      <c r="G6" s="412">
        <f t="shared" ref="G6:V6" si="0">F6+1</f>
        <v>3</v>
      </c>
      <c r="H6" s="412">
        <f t="shared" si="0"/>
        <v>4</v>
      </c>
      <c r="I6" s="412">
        <f t="shared" si="0"/>
        <v>5</v>
      </c>
      <c r="J6" s="412">
        <f t="shared" si="0"/>
        <v>6</v>
      </c>
      <c r="K6" s="412">
        <f t="shared" si="0"/>
        <v>7</v>
      </c>
      <c r="L6" s="412">
        <f t="shared" si="0"/>
        <v>8</v>
      </c>
      <c r="M6" s="412">
        <f t="shared" si="0"/>
        <v>9</v>
      </c>
      <c r="N6" s="412">
        <f t="shared" si="0"/>
        <v>10</v>
      </c>
      <c r="O6" s="412">
        <f t="shared" si="0"/>
        <v>11</v>
      </c>
      <c r="P6" s="412">
        <f t="shared" si="0"/>
        <v>12</v>
      </c>
      <c r="Q6" s="412">
        <f t="shared" si="0"/>
        <v>13</v>
      </c>
      <c r="R6" s="412">
        <f t="shared" si="0"/>
        <v>14</v>
      </c>
      <c r="S6" s="412">
        <f t="shared" si="0"/>
        <v>15</v>
      </c>
      <c r="T6" s="412">
        <f t="shared" si="0"/>
        <v>16</v>
      </c>
      <c r="U6" s="412">
        <f t="shared" si="0"/>
        <v>17</v>
      </c>
      <c r="V6" s="412">
        <f t="shared" si="0"/>
        <v>18</v>
      </c>
      <c r="W6" s="412">
        <f t="shared" ref="W6:Y7" si="1">V6+1</f>
        <v>19</v>
      </c>
      <c r="X6" s="412">
        <f t="shared" si="1"/>
        <v>20</v>
      </c>
      <c r="Y6" s="412">
        <f t="shared" si="1"/>
        <v>21</v>
      </c>
      <c r="Z6" s="413"/>
      <c r="AB6" s="45" t="s">
        <v>866</v>
      </c>
    </row>
    <row r="7" spans="1:28" s="8" customFormat="1" ht="13.5" thickBot="1">
      <c r="A7" s="401" t="s">
        <v>151</v>
      </c>
      <c r="B7" s="227"/>
      <c r="C7" s="76"/>
      <c r="D7" s="76"/>
      <c r="E7" s="875">
        <v>1999</v>
      </c>
      <c r="F7" s="362">
        <f>E7+1</f>
        <v>2000</v>
      </c>
      <c r="G7" s="362">
        <f t="shared" ref="G7:V7" si="2">F7+1</f>
        <v>2001</v>
      </c>
      <c r="H7" s="362">
        <f t="shared" si="2"/>
        <v>2002</v>
      </c>
      <c r="I7" s="362">
        <f t="shared" si="2"/>
        <v>2003</v>
      </c>
      <c r="J7" s="362">
        <f t="shared" si="2"/>
        <v>2004</v>
      </c>
      <c r="K7" s="362">
        <f t="shared" si="2"/>
        <v>2005</v>
      </c>
      <c r="L7" s="362">
        <f t="shared" si="2"/>
        <v>2006</v>
      </c>
      <c r="M7" s="362">
        <f t="shared" si="2"/>
        <v>2007</v>
      </c>
      <c r="N7" s="362">
        <f t="shared" si="2"/>
        <v>2008</v>
      </c>
      <c r="O7" s="362">
        <f t="shared" si="2"/>
        <v>2009</v>
      </c>
      <c r="P7" s="362">
        <f t="shared" si="2"/>
        <v>2010</v>
      </c>
      <c r="Q7" s="362">
        <f t="shared" si="2"/>
        <v>2011</v>
      </c>
      <c r="R7" s="362">
        <f t="shared" si="2"/>
        <v>2012</v>
      </c>
      <c r="S7" s="362">
        <f t="shared" si="2"/>
        <v>2013</v>
      </c>
      <c r="T7" s="362">
        <f t="shared" si="2"/>
        <v>2014</v>
      </c>
      <c r="U7" s="362">
        <f t="shared" si="2"/>
        <v>2015</v>
      </c>
      <c r="V7" s="362">
        <f t="shared" si="2"/>
        <v>2016</v>
      </c>
      <c r="W7" s="362">
        <f t="shared" si="1"/>
        <v>2017</v>
      </c>
      <c r="X7" s="362">
        <f t="shared" si="1"/>
        <v>2018</v>
      </c>
      <c r="Y7" s="362">
        <f t="shared" si="1"/>
        <v>2019</v>
      </c>
      <c r="Z7" s="414" t="s">
        <v>152</v>
      </c>
      <c r="AB7" s="877">
        <v>1</v>
      </c>
    </row>
    <row r="8" spans="1:28" s="8" customFormat="1">
      <c r="A8" s="402"/>
      <c r="B8" s="127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415"/>
      <c r="AB8" s="358">
        <f t="shared" ref="AB8:AB76" si="3">AB7+1</f>
        <v>2</v>
      </c>
    </row>
    <row r="9" spans="1:28" s="8" customFormat="1">
      <c r="A9" s="139" t="s">
        <v>452</v>
      </c>
      <c r="E9" s="8">
        <f>IF(OR(E$7&lt;YEAR(Startops1),E$7&gt;YEAR(Endyr)),0,IF(E$7=YEAR(Startops1),13-MONTH(Startops1),IF(E$7=YEAR(Endyr),MONTH(Endyr),12)))</f>
        <v>0</v>
      </c>
      <c r="F9" s="8">
        <f>IF(OR(F$7&lt;YEAR(Startops1),F$7&gt;YEAR(Endyr)),0,IF(F$7=YEAR(Startops1),13-MONTH(Startops1),IF(F$7=YEAR(Endyr),MONTH(Endyr),12)))</f>
        <v>0</v>
      </c>
      <c r="G9" s="8">
        <f>IF(OR(G$7&lt;YEAR(Startops1),G$7&gt;YEAR(Endyr)),0,IF(G$7=YEAR(Startops1),13-MONTH(Startops1),IF(G$7=YEAR(Endyr),MONTH(Endyr),12)))</f>
        <v>10</v>
      </c>
      <c r="H9" s="1319">
        <f t="shared" ref="H9:Y9" si="4">IF(OR(H$7&lt;YEAR(Startops1),H$7&gt;YEAR(Endyr)),0,IF(H$7=YEAR(Startops1),13-MONTH(Startops1),IF(H$7=YEAR(Endyr),MONTH(Endyr),12)))</f>
        <v>12</v>
      </c>
      <c r="I9" s="8">
        <f t="shared" si="4"/>
        <v>12</v>
      </c>
      <c r="J9" s="8">
        <f t="shared" si="4"/>
        <v>12</v>
      </c>
      <c r="K9" s="8">
        <f t="shared" si="4"/>
        <v>12</v>
      </c>
      <c r="L9" s="8">
        <f t="shared" si="4"/>
        <v>12</v>
      </c>
      <c r="M9" s="8">
        <f t="shared" si="4"/>
        <v>12</v>
      </c>
      <c r="N9" s="8">
        <f t="shared" si="4"/>
        <v>12</v>
      </c>
      <c r="O9" s="8">
        <f t="shared" si="4"/>
        <v>12</v>
      </c>
      <c r="P9" s="8">
        <f t="shared" si="4"/>
        <v>12</v>
      </c>
      <c r="Q9" s="8">
        <f t="shared" si="4"/>
        <v>12</v>
      </c>
      <c r="R9" s="8">
        <f t="shared" si="4"/>
        <v>12</v>
      </c>
      <c r="S9" s="8">
        <f t="shared" si="4"/>
        <v>12</v>
      </c>
      <c r="T9" s="8">
        <f t="shared" si="4"/>
        <v>12</v>
      </c>
      <c r="U9" s="8">
        <f t="shared" si="4"/>
        <v>12</v>
      </c>
      <c r="V9" s="8">
        <f t="shared" si="4"/>
        <v>12</v>
      </c>
      <c r="W9" s="8">
        <f t="shared" si="4"/>
        <v>12</v>
      </c>
      <c r="X9" s="8">
        <f t="shared" si="4"/>
        <v>12</v>
      </c>
      <c r="Y9" s="8">
        <f t="shared" si="4"/>
        <v>4</v>
      </c>
      <c r="Z9" s="416">
        <f>SUM(E9:Y9)</f>
        <v>218</v>
      </c>
      <c r="AB9" s="358">
        <f t="shared" si="3"/>
        <v>3</v>
      </c>
    </row>
    <row r="10" spans="1:28" s="8" customFormat="1">
      <c r="A10" s="139"/>
      <c r="Z10" s="416"/>
      <c r="AB10" s="358">
        <f t="shared" si="3"/>
        <v>4</v>
      </c>
    </row>
    <row r="11" spans="1:28" s="8" customFormat="1">
      <c r="A11" s="139" t="s">
        <v>300</v>
      </c>
      <c r="C11" s="15" t="str">
        <f>Assm!$F$29</f>
        <v>Greater Of CPI Or 1.005</v>
      </c>
      <c r="E11" s="371">
        <f ca="1">VLOOKUP(DATE(E$7,12,1),Curves_Table,Escalation!$O$291)</f>
        <v>1.0374531835205993</v>
      </c>
      <c r="F11" s="371">
        <f ca="1">VLOOKUP(DATE(F$7,12,1),Curves_Table,Escalation!$O$291)</f>
        <v>1.0620799950339679</v>
      </c>
      <c r="G11" s="371">
        <f ca="1">VLOOKUP(DATE(G$7,12,1),Curves_Table,Escalation!$O$291)</f>
        <v>1.097180617479341</v>
      </c>
      <c r="H11" s="371">
        <f ca="1">VLOOKUP(DATE(H$7,12,1),Curves_Table,Escalation!$O$291)</f>
        <v>1.1321906668383659</v>
      </c>
      <c r="I11" s="371">
        <f ca="1">VLOOKUP(DATE(I$7,12,1),Curves_Table,Escalation!$O$291)</f>
        <v>1.166287045927733</v>
      </c>
      <c r="J11" s="371">
        <f ca="1">VLOOKUP(DATE(J$7,12,1),Curves_Table,Escalation!$O$291)</f>
        <v>1.2003493342906499</v>
      </c>
      <c r="K11" s="371">
        <f ca="1">VLOOKUP(DATE(K$7,12,1),Curves_Table,Escalation!$O$291)</f>
        <v>1.2346229437596627</v>
      </c>
      <c r="L11" s="371">
        <f ca="1">VLOOKUP(DATE(L$7,12,1),Curves_Table,Escalation!$O$291)</f>
        <v>1.2691909562879884</v>
      </c>
      <c r="M11" s="371">
        <f ca="1">VLOOKUP(DATE(M$7,12,1),Curves_Table,Escalation!$O$291)</f>
        <v>1.3038965761068158</v>
      </c>
      <c r="N11" s="371">
        <f ca="1">VLOOKUP(DATE(N$7,12,1),Curves_Table,Escalation!$O$291)</f>
        <v>1.3387797805891259</v>
      </c>
      <c r="O11" s="371">
        <f ca="1">VLOOKUP(DATE(O$7,12,1),Curves_Table,Escalation!$O$291)</f>
        <v>1.3739510144936682</v>
      </c>
      <c r="P11" s="371">
        <f ca="1">VLOOKUP(DATE(P$7,12,1),Curves_Table,Escalation!$O$291)</f>
        <v>1.409454688092179</v>
      </c>
      <c r="Q11" s="371">
        <f ca="1">VLOOKUP(DATE(Q$7,12,1),Curves_Table,Escalation!$O$291)</f>
        <v>1.4453629302678073</v>
      </c>
      <c r="R11" s="371">
        <f ca="1">VLOOKUP(DATE(R$7,12,1),Curves_Table,Escalation!$O$291)</f>
        <v>1.4818086105109716</v>
      </c>
      <c r="S11" s="371">
        <f ca="1">VLOOKUP(DATE(S$7,12,1),Curves_Table,Escalation!$O$291)</f>
        <v>1.5190107088932228</v>
      </c>
      <c r="T11" s="371">
        <f ca="1">VLOOKUP(DATE(T$7,12,1),Curves_Table,Escalation!$O$291)</f>
        <v>1.5573978315409176</v>
      </c>
      <c r="U11" s="371">
        <f ca="1">VLOOKUP(DATE(U$7,12,1),Curves_Table,Escalation!$O$291)</f>
        <v>1.5973303982415077</v>
      </c>
      <c r="V11" s="371">
        <f ca="1">VLOOKUP(DATE(V$7,12,1),Curves_Table,Escalation!$O$291)</f>
        <v>1.6389834445299432</v>
      </c>
      <c r="W11" s="371">
        <f ca="1">VLOOKUP(DATE(W$7,12,1),Curves_Table,Escalation!$O$291)</f>
        <v>1.6825466987361488</v>
      </c>
      <c r="X11" s="371">
        <f ca="1">VLOOKUP(DATE(X$7,12,1),Curves_Table,Escalation!$O$291)</f>
        <v>1.7280133273368676</v>
      </c>
      <c r="Y11" s="371">
        <f ca="1">VLOOKUP(DATE(Y$7,12,1),Curves_Table,Escalation!$O$291)</f>
        <v>1.7754357291063123</v>
      </c>
      <c r="Z11" s="419"/>
      <c r="AB11" s="358">
        <f t="shared" si="3"/>
        <v>5</v>
      </c>
    </row>
    <row r="12" spans="1:28" s="8" customFormat="1">
      <c r="A12" s="139" t="s">
        <v>301</v>
      </c>
      <c r="C12" s="15" t="str">
        <f>CPI</f>
        <v>CPI Annual</v>
      </c>
      <c r="E12" s="371">
        <f ca="1">VLOOKUP(DATE(E$7,12,1),Curves_Table,Escalation!$O$291)</f>
        <v>1.0374531835205993</v>
      </c>
      <c r="F12" s="371">
        <f ca="1">VLOOKUP(DATE(F$7,12,1),Curves_Table,Escalation!$O$291)</f>
        <v>1.0620799950339679</v>
      </c>
      <c r="G12" s="371">
        <f ca="1">VLOOKUP(DATE(G$7,12,1),Curves_Table,Escalation!$O$291)</f>
        <v>1.097180617479341</v>
      </c>
      <c r="H12" s="1372">
        <f ca="1">VLOOKUP(DATE(H$7,12,1),Curves_Table,Escalation!$O$291)</f>
        <v>1.1321906668383659</v>
      </c>
      <c r="I12" s="371">
        <f ca="1">VLOOKUP(DATE(I$7,12,1),Curves_Table,Escalation!$O$291)</f>
        <v>1.166287045927733</v>
      </c>
      <c r="J12" s="371">
        <f ca="1">VLOOKUP(DATE(J$7,12,1),Curves_Table,Escalation!$O$291)</f>
        <v>1.2003493342906499</v>
      </c>
      <c r="K12" s="371">
        <f ca="1">VLOOKUP(DATE(K$7,12,1),Curves_Table,Escalation!$O$291)</f>
        <v>1.2346229437596627</v>
      </c>
      <c r="L12" s="371">
        <f ca="1">VLOOKUP(DATE(L$7,12,1),Curves_Table,Escalation!$O$291)</f>
        <v>1.2691909562879884</v>
      </c>
      <c r="M12" s="371">
        <f ca="1">VLOOKUP(DATE(M$7,12,1),Curves_Table,Escalation!$O$291)</f>
        <v>1.3038965761068158</v>
      </c>
      <c r="N12" s="371">
        <f ca="1">VLOOKUP(DATE(N$7,12,1),Curves_Table,Escalation!$O$291)</f>
        <v>1.3387797805891259</v>
      </c>
      <c r="O12" s="371">
        <f ca="1">VLOOKUP(DATE(O$7,12,1),Curves_Table,Escalation!$O$291)</f>
        <v>1.3739510144936682</v>
      </c>
      <c r="P12" s="371">
        <f ca="1">VLOOKUP(DATE(P$7,12,1),Curves_Table,Escalation!$O$291)</f>
        <v>1.409454688092179</v>
      </c>
      <c r="Q12" s="371">
        <f ca="1">VLOOKUP(DATE(Q$7,12,1),Curves_Table,Escalation!$O$291)</f>
        <v>1.4453629302678073</v>
      </c>
      <c r="R12" s="371">
        <f ca="1">VLOOKUP(DATE(R$7,12,1),Curves_Table,Escalation!$O$291)</f>
        <v>1.4818086105109716</v>
      </c>
      <c r="S12" s="371">
        <f ca="1">VLOOKUP(DATE(S$7,12,1),Curves_Table,Escalation!$O$291)</f>
        <v>1.5190107088932228</v>
      </c>
      <c r="T12" s="371">
        <f ca="1">VLOOKUP(DATE(T$7,12,1),Curves_Table,Escalation!$O$291)</f>
        <v>1.5573978315409176</v>
      </c>
      <c r="U12" s="371">
        <f ca="1">VLOOKUP(DATE(U$7,12,1),Curves_Table,Escalation!$O$291)</f>
        <v>1.5973303982415077</v>
      </c>
      <c r="V12" s="371">
        <f ca="1">VLOOKUP(DATE(V$7,12,1),Curves_Table,Escalation!$O$291)</f>
        <v>1.6389834445299432</v>
      </c>
      <c r="W12" s="371">
        <f ca="1">VLOOKUP(DATE(W$7,12,1),Curves_Table,Escalation!$O$291)</f>
        <v>1.6825466987361488</v>
      </c>
      <c r="X12" s="371">
        <f ca="1">VLOOKUP(DATE(X$7,12,1),Curves_Table,Escalation!$O$291)</f>
        <v>1.7280133273368676</v>
      </c>
      <c r="Y12" s="371">
        <f ca="1">VLOOKUP(DATE(Y$7,12,1),Curves_Table,Escalation!$O$291)</f>
        <v>1.7754357291063123</v>
      </c>
      <c r="Z12" s="419"/>
      <c r="AB12" s="358">
        <f t="shared" si="3"/>
        <v>6</v>
      </c>
    </row>
    <row r="13" spans="1:28" s="8" customFormat="1">
      <c r="A13" s="139" t="s">
        <v>859</v>
      </c>
      <c r="C13" s="15" t="str">
        <f>CPI</f>
        <v>CPI Annual</v>
      </c>
      <c r="E13" s="371">
        <f ca="1">VLOOKUP(DATE(E$7,12,1),Curves_Table,Escalation!$S$291)</f>
        <v>1</v>
      </c>
      <c r="F13" s="371">
        <f ca="1">VLOOKUP(DATE(F$7,12,1),Curves_Table,Escalation!$S$291)</f>
        <v>1</v>
      </c>
      <c r="G13" s="371">
        <f ca="1">VLOOKUP(DATE(G$7,12,1),Curves_Table,Escalation!$S$291)</f>
        <v>1.0330489441562738</v>
      </c>
      <c r="H13" s="371">
        <f ca="1">VLOOKUP(DATE(H$7,12,1),Curves_Table,Escalation!$S$291)</f>
        <v>1.0660126093441347</v>
      </c>
      <c r="I13" s="371">
        <f ca="1">VLOOKUP(DATE(I$7,12,1),Curves_Table,Escalation!$S$291)</f>
        <v>1.0981160095105944</v>
      </c>
      <c r="J13" s="371">
        <f ca="1">VLOOKUP(DATE(J$7,12,1),Curves_Table,Escalation!$S$291)</f>
        <v>1.1301873115991226</v>
      </c>
      <c r="K13" s="371">
        <f ca="1">VLOOKUP(DATE(K$7,12,1),Curves_Table,Escalation!$S$291)</f>
        <v>1.1624575827926935</v>
      </c>
      <c r="L13" s="371">
        <f ca="1">VLOOKUP(DATE(L$7,12,1),Curves_Table,Escalation!$S$291)</f>
        <v>1.1950050487933312</v>
      </c>
      <c r="M13" s="371">
        <f ca="1">VLOOKUP(DATE(M$7,12,1),Curves_Table,Escalation!$S$291)</f>
        <v>1.2276820787544478</v>
      </c>
      <c r="N13" s="371">
        <f ca="1">VLOOKUP(DATE(N$7,12,1),Curves_Table,Escalation!$S$291)</f>
        <v>1.260526313318149</v>
      </c>
      <c r="O13" s="371">
        <f ca="1">VLOOKUP(DATE(O$7,12,1),Curves_Table,Escalation!$S$291)</f>
        <v>1.2936417415994408</v>
      </c>
      <c r="P13" s="371">
        <f ca="1">VLOOKUP(DATE(P$7,12,1),Curves_Table,Escalation!$S$291)</f>
        <v>1.3270701780303287</v>
      </c>
      <c r="Q13" s="371">
        <f ca="1">VLOOKUP(DATE(Q$7,12,1),Curves_Table,Escalation!$S$291)</f>
        <v>1.360879535464351</v>
      </c>
      <c r="R13" s="371">
        <f ca="1">VLOOKUP(DATE(R$7,12,1),Curves_Table,Escalation!$S$291)</f>
        <v>1.3951949169926499</v>
      </c>
      <c r="S13" s="371">
        <f ca="1">VLOOKUP(DATE(S$7,12,1),Curves_Table,Escalation!$S$291)</f>
        <v>1.4302225030089568</v>
      </c>
      <c r="T13" s="371">
        <f ca="1">VLOOKUP(DATE(T$7,12,1),Curves_Table,Escalation!$S$291)</f>
        <v>1.4663658470387699</v>
      </c>
      <c r="U13" s="371">
        <f ca="1">VLOOKUP(DATE(U$7,12,1),Curves_Table,Escalation!$S$291)</f>
        <v>1.5039643018513127</v>
      </c>
      <c r="V13" s="371">
        <f ca="1">VLOOKUP(DATE(V$7,12,1),Curves_Table,Escalation!$S$291)</f>
        <v>1.5431826719206061</v>
      </c>
      <c r="W13" s="371">
        <f ca="1">VLOOKUP(DATE(W$7,12,1),Curves_Table,Escalation!$S$291)</f>
        <v>1.5841995957021451</v>
      </c>
      <c r="X13" s="371">
        <f ca="1">VLOOKUP(DATE(X$7,12,1),Curves_Table,Escalation!$S$291)</f>
        <v>1.6270086391012393</v>
      </c>
      <c r="Y13" s="371">
        <f ca="1">VLOOKUP(DATE(Y$7,12,1),Curves_Table,Escalation!$S$291)</f>
        <v>1.6270086391012393</v>
      </c>
      <c r="Z13" s="419"/>
      <c r="AB13" s="358">
        <f t="shared" si="3"/>
        <v>7</v>
      </c>
    </row>
    <row r="14" spans="1:28" s="8" customFormat="1">
      <c r="A14" s="13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419"/>
      <c r="AB14" s="358">
        <f t="shared" si="3"/>
        <v>8</v>
      </c>
    </row>
    <row r="15" spans="1:28">
      <c r="A15" s="74" t="s">
        <v>751</v>
      </c>
      <c r="B15" s="32"/>
      <c r="C15" s="8"/>
      <c r="D15" s="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420"/>
      <c r="AB15" s="358">
        <f t="shared" si="3"/>
        <v>9</v>
      </c>
    </row>
    <row r="16" spans="1:28">
      <c r="A16" s="405" t="s">
        <v>820</v>
      </c>
      <c r="B16" s="19"/>
      <c r="C16" s="8"/>
      <c r="D16" s="8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420"/>
      <c r="AB16" s="358">
        <f t="shared" si="3"/>
        <v>10</v>
      </c>
    </row>
    <row r="17" spans="1:28">
      <c r="A17" s="139"/>
      <c r="B17" s="8" t="s">
        <v>819</v>
      </c>
      <c r="C17" s="8"/>
      <c r="D17" s="8"/>
      <c r="E17" s="226">
        <f ca="1">IF(E$7&lt;YEAR(Startops1),0,VLOOKUP(DATE(E$7,12,1),Revenue_Table,Transportation!$M$249))</f>
        <v>0</v>
      </c>
      <c r="F17" s="226">
        <f ca="1">IF(F$7&lt;YEAR(Startops1),0,VLOOKUP(DATE(F$7,12,1),Revenue_Table,Transportation!$M$249))</f>
        <v>0</v>
      </c>
      <c r="G17" s="226">
        <f ca="1">IF(G$7&lt;YEAR(Startops1),0,VLOOKUP(DATE(G$7,12,1),Revenue_Table,Transportation!$M$249))</f>
        <v>14282.925136278027</v>
      </c>
      <c r="H17" s="1355">
        <f ca="1">IF(H$7&lt;YEAR(Startops1),0,VLOOKUP(DATE(H$7,12,1),Revenue_Table,Transportation!$M$249))</f>
        <v>24055.05101070087</v>
      </c>
      <c r="I17" s="226">
        <f ca="1">IF(I$7&lt;YEAR(Startops1),0,VLOOKUP(DATE(I$7,12,1),Revenue_Table,Transportation!$M$249))</f>
        <v>24793.36661323718</v>
      </c>
      <c r="J17" s="226">
        <f ca="1">IF(J$7&lt;YEAR(Startops1),0,VLOOKUP(DATE(J$7,12,1),Revenue_Table,Transportation!$M$249))</f>
        <v>25593.329628871357</v>
      </c>
      <c r="K17" s="226">
        <f ca="1">IF(K$7&lt;YEAR(Startops1),0,VLOOKUP(DATE(K$7,12,1),Revenue_Table,Transportation!$M$249))</f>
        <v>26258.924245431124</v>
      </c>
      <c r="L17" s="226">
        <f ca="1">IF(L$7&lt;YEAR(Startops1),0,VLOOKUP(DATE(L$7,12,1),Revenue_Table,Transportation!$M$249))</f>
        <v>26998.838079134002</v>
      </c>
      <c r="M17" s="226">
        <f ca="1">IF(M$7&lt;YEAR(Startops1),0,VLOOKUP(DATE(M$7,12,1),Revenue_Table,Transportation!$M$249))</f>
        <v>27742.812098795694</v>
      </c>
      <c r="N17" s="226">
        <f ca="1">IF(N$7&lt;YEAR(Startops1),0,VLOOKUP(DATE(N$7,12,1),Revenue_Table,Transportation!$M$249))</f>
        <v>28566.99450136954</v>
      </c>
      <c r="O17" s="226">
        <f ca="1">IF(O$7&lt;YEAR(Startops1),0,VLOOKUP(DATE(O$7,12,1),Revenue_Table,Transportation!$M$249))</f>
        <v>29243.222568026747</v>
      </c>
      <c r="P17" s="226">
        <f ca="1">IF(P$7&lt;YEAR(Startops1),0,VLOOKUP(DATE(P$7,12,1),Revenue_Table,Transportation!$M$249))</f>
        <v>30002.951649161452</v>
      </c>
      <c r="Q17" s="226">
        <f ca="1">IF(Q$7&lt;YEAR(Startops1),0,VLOOKUP(DATE(Q$7,12,1),Revenue_Table,Transportation!$M$249))</f>
        <v>30770.855661206879</v>
      </c>
      <c r="R17" s="226">
        <f ca="1">IF(R$7&lt;YEAR(Startops1),0,VLOOKUP(DATE(R$7,12,1),Revenue_Table,Transportation!$M$249))</f>
        <v>31634.35592757594</v>
      </c>
      <c r="S17" s="226">
        <f ca="1">IF(S$7&lt;YEAR(Startops1),0,VLOOKUP(DATE(S$7,12,1),Revenue_Table,Transportation!$M$249))</f>
        <v>32342.551229746583</v>
      </c>
      <c r="T17" s="226">
        <f ca="1">IF(T$7&lt;YEAR(Startops1),0,VLOOKUP(DATE(T$7,12,1),Revenue_Table,Transportation!$M$249))</f>
        <v>33158.156039656191</v>
      </c>
      <c r="U17" s="226">
        <f ca="1">IF(U$7&lt;YEAR(Startops1),0,VLOOKUP(DATE(U$7,12,1),Revenue_Table,Transportation!$M$249))</f>
        <v>34004.389875094806</v>
      </c>
      <c r="V17" s="226">
        <f ca="1">IF(V$7&lt;YEAR(Startops1),0,VLOOKUP(DATE(V$7,12,1),Revenue_Table,Transportation!$M$249))</f>
        <v>34980.252818087909</v>
      </c>
      <c r="W17" s="226">
        <f ca="1">IF(W$7&lt;YEAR(Startops1),0,VLOOKUP(DATE(W$7,12,1),Revenue_Table,Transportation!$M$249))</f>
        <v>35807.909346175526</v>
      </c>
      <c r="X17" s="226">
        <f ca="1">IF(X$7&lt;YEAR(Startops1),0,VLOOKUP(DATE(X$7,12,1),Revenue_Table,Transportation!$M$249))</f>
        <v>36770.404189155677</v>
      </c>
      <c r="Y17" s="226">
        <f ca="1">IF(Y$7&lt;YEAR(Startops1),0,VLOOKUP(DATE(Y$7,12,1),Revenue_Table,Transportation!$M$249))</f>
        <v>12194.385801560777</v>
      </c>
      <c r="Z17" s="421">
        <f ca="1">SUM(E17:Y17)</f>
        <v>539201.67641926638</v>
      </c>
      <c r="AB17" s="358">
        <f t="shared" si="3"/>
        <v>11</v>
      </c>
    </row>
    <row r="18" spans="1:28">
      <c r="A18" s="139"/>
      <c r="B18" s="32" t="s">
        <v>581</v>
      </c>
      <c r="C18" s="8"/>
      <c r="D18" s="85"/>
      <c r="E18" s="232">
        <f t="shared" ref="E18:Y18" ca="1" si="5">SUM(E17:E17)</f>
        <v>0</v>
      </c>
      <c r="F18" s="232">
        <f t="shared" ca="1" si="5"/>
        <v>0</v>
      </c>
      <c r="G18" s="232">
        <f t="shared" ca="1" si="5"/>
        <v>14282.925136278027</v>
      </c>
      <c r="H18" s="1354">
        <f ca="1">SUM(H17:H17)</f>
        <v>24055.05101070087</v>
      </c>
      <c r="I18" s="232">
        <f t="shared" ca="1" si="5"/>
        <v>24793.36661323718</v>
      </c>
      <c r="J18" s="232">
        <f t="shared" ca="1" si="5"/>
        <v>25593.329628871357</v>
      </c>
      <c r="K18" s="232">
        <f t="shared" ca="1" si="5"/>
        <v>26258.924245431124</v>
      </c>
      <c r="L18" s="232">
        <f t="shared" ca="1" si="5"/>
        <v>26998.838079134002</v>
      </c>
      <c r="M18" s="232">
        <f t="shared" ca="1" si="5"/>
        <v>27742.812098795694</v>
      </c>
      <c r="N18" s="232">
        <f t="shared" ca="1" si="5"/>
        <v>28566.99450136954</v>
      </c>
      <c r="O18" s="232">
        <f t="shared" ca="1" si="5"/>
        <v>29243.222568026747</v>
      </c>
      <c r="P18" s="232">
        <f t="shared" ca="1" si="5"/>
        <v>30002.951649161452</v>
      </c>
      <c r="Q18" s="232">
        <f t="shared" ca="1" si="5"/>
        <v>30770.855661206879</v>
      </c>
      <c r="R18" s="232">
        <f t="shared" ca="1" si="5"/>
        <v>31634.35592757594</v>
      </c>
      <c r="S18" s="232">
        <f t="shared" ca="1" si="5"/>
        <v>32342.551229746583</v>
      </c>
      <c r="T18" s="232">
        <f t="shared" ca="1" si="5"/>
        <v>33158.156039656191</v>
      </c>
      <c r="U18" s="232">
        <f t="shared" ca="1" si="5"/>
        <v>34004.389875094806</v>
      </c>
      <c r="V18" s="232">
        <f t="shared" ca="1" si="5"/>
        <v>34980.252818087909</v>
      </c>
      <c r="W18" s="232">
        <f t="shared" ca="1" si="5"/>
        <v>35807.909346175526</v>
      </c>
      <c r="X18" s="232">
        <f t="shared" ca="1" si="5"/>
        <v>36770.404189155677</v>
      </c>
      <c r="Y18" s="232">
        <f t="shared" ca="1" si="5"/>
        <v>12194.385801560777</v>
      </c>
      <c r="Z18" s="422">
        <f ca="1">SUM(E18:Y18)</f>
        <v>539201.67641926638</v>
      </c>
      <c r="AB18" s="358">
        <f t="shared" si="3"/>
        <v>12</v>
      </c>
    </row>
    <row r="19" spans="1:28">
      <c r="A19" s="74"/>
      <c r="B19" s="32"/>
      <c r="C19" s="8"/>
      <c r="D19" s="85"/>
      <c r="E19" s="232"/>
      <c r="F19" s="232"/>
      <c r="G19" s="232"/>
      <c r="H19" s="1238">
        <f ca="1">+H17/G17-1</f>
        <v>0.68418239129476754</v>
      </c>
      <c r="I19" s="1238">
        <f t="shared" ref="I19:Y19" ca="1" si="6">+I17/H17-1</f>
        <v>3.0692747323955771E-2</v>
      </c>
      <c r="J19" s="1238">
        <f t="shared" ca="1" si="6"/>
        <v>3.2265203355121397E-2</v>
      </c>
      <c r="K19" s="1238">
        <f t="shared" ca="1" si="6"/>
        <v>2.6006566015893462E-2</v>
      </c>
      <c r="L19" s="1238">
        <f t="shared" ca="1" si="6"/>
        <v>2.8177614086061453E-2</v>
      </c>
      <c r="M19" s="1238">
        <f t="shared" ca="1" si="6"/>
        <v>2.7555779159128768E-2</v>
      </c>
      <c r="N19" s="1238">
        <f t="shared" ca="1" si="6"/>
        <v>2.9707961818680406E-2</v>
      </c>
      <c r="O19" s="1238">
        <f t="shared" ca="1" si="6"/>
        <v>2.3671655995340712E-2</v>
      </c>
      <c r="P19" s="1238">
        <f t="shared" ca="1" si="6"/>
        <v>2.5979663471335623E-2</v>
      </c>
      <c r="Q19" s="1238">
        <f t="shared" ca="1" si="6"/>
        <v>2.559428222345872E-2</v>
      </c>
      <c r="R19" s="1238">
        <f t="shared" ca="1" si="6"/>
        <v>2.8062276716525725E-2</v>
      </c>
      <c r="S19" s="1238">
        <f t="shared" ca="1" si="6"/>
        <v>2.2386904408358888E-2</v>
      </c>
      <c r="T19" s="1238">
        <f t="shared" ca="1" si="6"/>
        <v>2.5217701724144392E-2</v>
      </c>
      <c r="U19" s="1238">
        <f t="shared" ca="1" si="6"/>
        <v>2.5521136773303921E-2</v>
      </c>
      <c r="V19" s="1238">
        <f t="shared" ca="1" si="6"/>
        <v>2.8698145932853025E-2</v>
      </c>
      <c r="W19" s="1238">
        <f t="shared" ca="1" si="6"/>
        <v>2.366067885191625E-2</v>
      </c>
      <c r="X19" s="1238">
        <f t="shared" ca="1" si="6"/>
        <v>2.6879392306184746E-2</v>
      </c>
      <c r="Y19" s="1238">
        <f t="shared" ca="1" si="6"/>
        <v>-0.66836410775280131</v>
      </c>
      <c r="Z19" s="422"/>
      <c r="AB19" s="358">
        <f t="shared" si="3"/>
        <v>13</v>
      </c>
    </row>
    <row r="20" spans="1:28">
      <c r="A20" s="74" t="s">
        <v>752</v>
      </c>
      <c r="B20" s="32"/>
      <c r="C20" s="8"/>
      <c r="D20" s="20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420"/>
      <c r="AB20" s="358">
        <f t="shared" si="3"/>
        <v>14</v>
      </c>
    </row>
    <row r="21" spans="1:28">
      <c r="A21" s="405" t="s">
        <v>302</v>
      </c>
      <c r="B21" s="19"/>
      <c r="C21" s="8"/>
      <c r="D21" s="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420"/>
      <c r="AB21" s="358">
        <f t="shared" si="3"/>
        <v>15</v>
      </c>
    </row>
    <row r="22" spans="1:28">
      <c r="A22" s="139"/>
      <c r="B22" s="8" t="str">
        <f>Assm!A40</f>
        <v>Salaries &amp; Benefits</v>
      </c>
      <c r="C22" s="8"/>
      <c r="D22" s="8"/>
      <c r="E22" s="53">
        <f ca="1">Assm!$E40*E$9/12*E$12</f>
        <v>0</v>
      </c>
      <c r="F22" s="53">
        <f ca="1">Assm!$E40*F$9/12*F$12</f>
        <v>0</v>
      </c>
      <c r="G22" s="53">
        <f ca="1">Assm!$E40*G$9/12*G$12</f>
        <v>215.77885477093707</v>
      </c>
      <c r="H22" s="1321">
        <f ca="1">Assm!$E40*H$9/12*H$12</f>
        <v>267.19699737385434</v>
      </c>
      <c r="I22" s="53">
        <f ca="1">Assm!$E40*I$9/12*I$12</f>
        <v>275.24374283894497</v>
      </c>
      <c r="J22" s="53">
        <f ca="1">Assm!$E40*J$9/12*J$12</f>
        <v>283.28244289259339</v>
      </c>
      <c r="K22" s="53">
        <f ca="1">Assm!$E40*K$9/12*K$12</f>
        <v>291.3710147272804</v>
      </c>
      <c r="L22" s="53">
        <f ca="1">Assm!$E40*L$9/12*L$12</f>
        <v>299.52906568396526</v>
      </c>
      <c r="M22" s="53">
        <f ca="1">Assm!$E40*M$9/12*M$12</f>
        <v>307.71959196120849</v>
      </c>
      <c r="N22" s="53">
        <f ca="1">Assm!$E40*N$9/12*N$12</f>
        <v>315.95202821903371</v>
      </c>
      <c r="O22" s="53">
        <f ca="1">Assm!$E40*O$9/12*O$12</f>
        <v>324.25243942050571</v>
      </c>
      <c r="P22" s="53">
        <f ca="1">Assm!$E40*P$9/12*P$12</f>
        <v>332.63130638975423</v>
      </c>
      <c r="Q22" s="53">
        <f ca="1">Assm!$E40*Q$9/12*Q$12</f>
        <v>341.1056515432025</v>
      </c>
      <c r="R22" s="53">
        <f ca="1">Assm!$E40*R$9/12*R$12</f>
        <v>349.70683208058927</v>
      </c>
      <c r="S22" s="53">
        <f ca="1">Assm!$E40*S$9/12*S$12</f>
        <v>358.48652729880058</v>
      </c>
      <c r="T22" s="53">
        <f ca="1">Assm!$E40*T$9/12*T$12</f>
        <v>367.54588824365658</v>
      </c>
      <c r="U22" s="53">
        <f ca="1">Assm!$E40*U$9/12*U$12</f>
        <v>376.96997398499582</v>
      </c>
      <c r="V22" s="53">
        <f ca="1">Assm!$E40*V$9/12*V$12</f>
        <v>386.80009290906656</v>
      </c>
      <c r="W22" s="53">
        <f ca="1">Assm!$E40*W$9/12*W$12</f>
        <v>397.08102090173111</v>
      </c>
      <c r="X22" s="53">
        <f ca="1">Assm!$E40*X$9/12*X$12</f>
        <v>407.81114525150076</v>
      </c>
      <c r="Y22" s="53">
        <f ca="1">Assm!$E40*Y$9/12*Y$12</f>
        <v>139.66761068969657</v>
      </c>
      <c r="Z22" s="420">
        <f t="shared" ref="Z22:Z35" ca="1" si="7">SUM(E22:Y22)</f>
        <v>6038.1322271813169</v>
      </c>
      <c r="AB22" s="358">
        <f t="shared" si="3"/>
        <v>16</v>
      </c>
    </row>
    <row r="23" spans="1:28">
      <c r="A23" s="139"/>
      <c r="B23" s="8" t="str">
        <f>Assm!A41</f>
        <v>Administrative Expenses - General</v>
      </c>
      <c r="C23" s="8"/>
      <c r="D23" s="8"/>
      <c r="E23" s="53">
        <f ca="1">Assm!$E41*E$9/12*E$12</f>
        <v>0</v>
      </c>
      <c r="F23" s="53">
        <f ca="1">Assm!$E41*F$9/12*F$12</f>
        <v>0</v>
      </c>
      <c r="G23" s="53">
        <f ca="1">Assm!$E41*G$9/12*G$12</f>
        <v>74.059691679855518</v>
      </c>
      <c r="H23" s="1321">
        <f ca="1">Assm!$E41*H$9/12*H$12</f>
        <v>91.707444013907633</v>
      </c>
      <c r="I23" s="53">
        <f ca="1">Assm!$E41*I$9/12*I$12</f>
        <v>94.469250720146377</v>
      </c>
      <c r="J23" s="53">
        <f ca="1">Assm!$E41*J$9/12*J$12</f>
        <v>97.228296077542652</v>
      </c>
      <c r="K23" s="53">
        <f ca="1">Assm!$E41*K$9/12*K$12</f>
        <v>100.00445844453269</v>
      </c>
      <c r="L23" s="53">
        <f ca="1">Assm!$E41*L$9/12*L$12</f>
        <v>102.80446745932706</v>
      </c>
      <c r="M23" s="53">
        <f ca="1">Assm!$E41*M$9/12*M$12</f>
        <v>105.61562266465208</v>
      </c>
      <c r="N23" s="53">
        <f ca="1">Assm!$E41*N$9/12*N$12</f>
        <v>108.4411622277192</v>
      </c>
      <c r="O23" s="53">
        <f ca="1">Assm!$E41*O$9/12*O$12</f>
        <v>111.29003217398713</v>
      </c>
      <c r="P23" s="53">
        <f ca="1">Assm!$E41*P$9/12*P$12</f>
        <v>114.1658297354665</v>
      </c>
      <c r="Q23" s="53">
        <f ca="1">Assm!$E41*Q$9/12*Q$12</f>
        <v>117.07439735169238</v>
      </c>
      <c r="R23" s="53">
        <f ca="1">Assm!$E41*R$9/12*R$12</f>
        <v>120.02649745138869</v>
      </c>
      <c r="S23" s="53">
        <f ca="1">Assm!$E41*S$9/12*S$12</f>
        <v>123.03986742035104</v>
      </c>
      <c r="T23" s="53">
        <f ca="1">Assm!$E41*T$9/12*T$12</f>
        <v>126.14922435481432</v>
      </c>
      <c r="U23" s="53">
        <f ca="1">Assm!$E41*U$9/12*U$12</f>
        <v>129.38376225756213</v>
      </c>
      <c r="V23" s="53">
        <f ca="1">Assm!$E41*V$9/12*V$12</f>
        <v>132.75765900692539</v>
      </c>
      <c r="W23" s="53">
        <f ca="1">Assm!$E41*W$9/12*W$12</f>
        <v>136.28628259762806</v>
      </c>
      <c r="X23" s="53">
        <f ca="1">Assm!$E41*X$9/12*X$12</f>
        <v>139.96907951428628</v>
      </c>
      <c r="Y23" s="53">
        <f ca="1">Assm!$E41*Y$9/12*Y$12</f>
        <v>47.936764685870429</v>
      </c>
      <c r="Z23" s="420">
        <f t="shared" ca="1" si="7"/>
        <v>2072.4097898376558</v>
      </c>
      <c r="AB23" s="358">
        <f t="shared" si="3"/>
        <v>17</v>
      </c>
    </row>
    <row r="24" spans="1:28">
      <c r="A24" s="139"/>
      <c r="B24" s="8" t="str">
        <f>Assm!A42</f>
        <v>Administrative Expenses - Transredes</v>
      </c>
      <c r="C24" s="8"/>
      <c r="D24" s="8"/>
      <c r="E24" s="53">
        <f ca="1">Assm!$E42*E$9/12*E$12</f>
        <v>0</v>
      </c>
      <c r="F24" s="53">
        <f ca="1">Assm!$E42*F$9/12*F$12</f>
        <v>0</v>
      </c>
      <c r="G24" s="53">
        <f ca="1">Assm!$E42*G$9/12*G$12</f>
        <v>342.86894296229406</v>
      </c>
      <c r="H24" s="1321">
        <f ca="1">Assm!$E42*H$9/12*H$12</f>
        <v>424.57150006438718</v>
      </c>
      <c r="I24" s="53">
        <f ca="1">Assm!$E42*I$9/12*I$12</f>
        <v>437.35764222289987</v>
      </c>
      <c r="J24" s="53">
        <f ca="1">Assm!$E42*J$9/12*J$12</f>
        <v>450.13100035899373</v>
      </c>
      <c r="K24" s="53">
        <f ca="1">Assm!$E42*K$9/12*K$12</f>
        <v>462.98360390987352</v>
      </c>
      <c r="L24" s="53">
        <f ca="1">Assm!$E42*L$9/12*L$12</f>
        <v>475.94660860799564</v>
      </c>
      <c r="M24" s="53">
        <f ca="1">Assm!$E42*M$9/12*M$12</f>
        <v>488.96121604005589</v>
      </c>
      <c r="N24" s="53">
        <f ca="1">Assm!$E42*N$9/12*N$12</f>
        <v>502.04241772092223</v>
      </c>
      <c r="O24" s="53">
        <f ca="1">Assm!$E42*O$9/12*O$12</f>
        <v>515.23163043512557</v>
      </c>
      <c r="P24" s="53">
        <f ca="1">Assm!$E42*P$9/12*P$12</f>
        <v>528.54550803456709</v>
      </c>
      <c r="Q24" s="53">
        <f ca="1">Assm!$E42*Q$9/12*Q$12</f>
        <v>542.01109885042774</v>
      </c>
      <c r="R24" s="53">
        <f ca="1">Assm!$E42*R$9/12*R$12</f>
        <v>555.67822894161429</v>
      </c>
      <c r="S24" s="53">
        <f ca="1">Assm!$E42*S$9/12*S$12</f>
        <v>569.62901583495852</v>
      </c>
      <c r="T24" s="53">
        <f ca="1">Assm!$E42*T$9/12*T$12</f>
        <v>584.02418682784412</v>
      </c>
      <c r="U24" s="53">
        <f ca="1">Assm!$E42*U$9/12*U$12</f>
        <v>598.99889934056534</v>
      </c>
      <c r="V24" s="53">
        <f ca="1">Assm!$E42*V$9/12*V$12</f>
        <v>614.61879169872873</v>
      </c>
      <c r="W24" s="53">
        <f ca="1">Assm!$E42*W$9/12*W$12</f>
        <v>630.95501202605578</v>
      </c>
      <c r="X24" s="53">
        <f ca="1">Assm!$E42*X$9/12*X$12</f>
        <v>648.00499775132539</v>
      </c>
      <c r="Y24" s="53">
        <f ca="1">Assm!$E42*Y$9/12*Y$12</f>
        <v>221.92946613828903</v>
      </c>
      <c r="Z24" s="420">
        <f ca="1">SUM(E24:Y24)</f>
        <v>9594.4897677669214</v>
      </c>
      <c r="AB24" s="358">
        <f t="shared" si="3"/>
        <v>18</v>
      </c>
    </row>
    <row r="25" spans="1:28">
      <c r="A25" s="139"/>
      <c r="B25" s="8" t="str">
        <f>Assm!A43</f>
        <v>Equipment Rental</v>
      </c>
      <c r="C25" s="1072" t="s">
        <v>307</v>
      </c>
      <c r="D25" s="434"/>
      <c r="E25" s="53">
        <f ca="1">Trapped!F59</f>
        <v>0</v>
      </c>
      <c r="F25" s="53">
        <f ca="1">Trapped!G59</f>
        <v>0</v>
      </c>
      <c r="G25" s="53">
        <f ca="1">Trapped!H59</f>
        <v>909.92205854259817</v>
      </c>
      <c r="H25" s="1321">
        <f ca="1">Trapped!I59</f>
        <v>1126.7482263028737</v>
      </c>
      <c r="I25" s="53">
        <f ca="1">Trapped!J59</f>
        <v>2210.3390454329178</v>
      </c>
      <c r="J25" s="53">
        <f ca="1">Trapped!K59</f>
        <v>1194.5792550407145</v>
      </c>
      <c r="K25" s="53">
        <f ca="1">Trapped!L59</f>
        <v>1228.6881112690098</v>
      </c>
      <c r="L25" s="53">
        <f ca="1">Trapped!M59</f>
        <v>1263.0899553611118</v>
      </c>
      <c r="M25" s="53">
        <f ca="1">Trapped!N59</f>
        <v>1297.6287452654701</v>
      </c>
      <c r="N25" s="53">
        <f ca="1">Trapped!O59</f>
        <v>1332.344266183834</v>
      </c>
      <c r="O25" s="53">
        <f ca="1">Trapped!P59</f>
        <v>1367.346431966997</v>
      </c>
      <c r="P25" s="53">
        <f ca="1">Trapped!Q59</f>
        <v>1402.6794394065198</v>
      </c>
      <c r="Q25" s="53">
        <f ca="1">Trapped!R59</f>
        <v>1438.4150706620098</v>
      </c>
      <c r="R25" s="53">
        <f ca="1">Trapped!S59</f>
        <v>1474.6855565202452</v>
      </c>
      <c r="S25" s="53">
        <f ca="1">Trapped!T59</f>
        <v>2878.8184624194732</v>
      </c>
      <c r="T25" s="53">
        <f ca="1">Trapped!U59</f>
        <v>1549.9114201647003</v>
      </c>
      <c r="U25" s="53">
        <f ca="1">Trapped!V59</f>
        <v>1589.6520310171607</v>
      </c>
      <c r="V25" s="53">
        <f ca="1">Trapped!W59</f>
        <v>1631.1048511120875</v>
      </c>
      <c r="W25" s="53">
        <f ca="1">Trapped!X59</f>
        <v>1674.4586967553239</v>
      </c>
      <c r="X25" s="53">
        <f ca="1">Trapped!Y59</f>
        <v>1719.706767272359</v>
      </c>
      <c r="Y25" s="53">
        <f ca="1">Trapped!Z59</f>
        <v>588.96706985216611</v>
      </c>
      <c r="Z25" s="420">
        <f t="shared" ca="1" si="7"/>
        <v>27879.085460547572</v>
      </c>
      <c r="AB25" s="358">
        <f t="shared" si="3"/>
        <v>19</v>
      </c>
    </row>
    <row r="26" spans="1:28">
      <c r="A26" s="139"/>
      <c r="B26" s="8" t="str">
        <f>Assm!A44</f>
        <v>Other O&amp;M Expenses</v>
      </c>
      <c r="C26" s="8"/>
      <c r="D26" s="8"/>
      <c r="E26" s="53">
        <f ca="1">((Assm!$E44*E$9/12)+IF(OR(E$6=3,E$6=6,E$6=9,E$6=12,E$6=15,E$6=18),Assm!$B$44,0))*E$12</f>
        <v>0</v>
      </c>
      <c r="F26" s="53">
        <f ca="1">((Assm!$E44*F$9/12)+IF(OR(F$6=3,F$6=6,F$6=9,F$6=12,F$6=15,F$6=18),Assm!$B$44,0))*F$12</f>
        <v>0</v>
      </c>
      <c r="G26" s="53">
        <f ca="1">((Assm!$E44*G$9/12)+IF(OR(G$6=3,G$6=6,G$6=9,G$6=12,G$6=15,G$6=18),Assm!$B$44,0))*G$12</f>
        <v>39.498502229256275</v>
      </c>
      <c r="H26" s="1321">
        <f ca="1">((Assm!$E44*H$9/12)+IF(OR(H$6=3,H$6=6,H$6=9,H$6=12,H$6=15,H$6=18),Assm!$B$44,0))*H$12</f>
        <v>8.151772801236234</v>
      </c>
      <c r="I26" s="53">
        <f ca="1">((Assm!$E44*I$9/12)+IF(OR(I$6=3,I$6=6,I$6=9,I$6=12,I$6=15,I$6=18),Assm!$B$44,0))*I$12</f>
        <v>8.3972667306796787</v>
      </c>
      <c r="J26" s="53">
        <f ca="1">((Assm!$E44*J$9/12)+IF(OR(J$6=3,J$6=6,J$6=9,J$6=12,J$6=15,J$6=18),Assm!$B$44,0))*J$12</f>
        <v>44.652995235612181</v>
      </c>
      <c r="K26" s="53">
        <f ca="1">((Assm!$E44*K$9/12)+IF(OR(K$6=3,K$6=6,K$6=9,K$6=12,K$6=15,K$6=18),Assm!$B$44,0))*K$12</f>
        <v>8.8892851950695722</v>
      </c>
      <c r="L26" s="53">
        <f ca="1">((Assm!$E44*L$9/12)+IF(OR(L$6=3,L$6=6,L$6=9,L$6=12,L$6=15,L$6=18),Assm!$B$44,0))*L$12</f>
        <v>9.1381748852735161</v>
      </c>
      <c r="M26" s="53">
        <f ca="1">((Assm!$E44*M$9/12)+IF(OR(M$6=3,M$6=6,M$6=9,M$6=12,M$6=15,M$6=18),Assm!$B$44,0))*M$12</f>
        <v>48.504952631173552</v>
      </c>
      <c r="N26" s="53">
        <f ca="1">((Assm!$E44*N$9/12)+IF(OR(N$6=3,N$6=6,N$6=9,N$6=12,N$6=15,N$6=18),Assm!$B$44,0))*N$12</f>
        <v>9.6392144202417072</v>
      </c>
      <c r="O26" s="53">
        <f ca="1">((Assm!$E44*O$9/12)+IF(OR(O$6=3,O$6=6,O$6=9,O$6=12,O$6=15,O$6=18),Assm!$B$44,0))*O$12</f>
        <v>9.8924473043544108</v>
      </c>
      <c r="P26" s="53">
        <f ca="1">((Assm!$E44*P$9/12)+IF(OR(P$6=3,P$6=6,P$6=9,P$6=12,P$6=15,P$6=18),Assm!$B$44,0))*P$12</f>
        <v>52.431714397029062</v>
      </c>
      <c r="Q26" s="53">
        <f ca="1">((Assm!$E44*Q$9/12)+IF(OR(Q$6=3,Q$6=6,Q$6=9,Q$6=12,Q$6=15,Q$6=18),Assm!$B$44,0))*Q$12</f>
        <v>10.406613097928213</v>
      </c>
      <c r="R26" s="53">
        <f ca="1">((Assm!$E44*R$9/12)+IF(OR(R$6=3,R$6=6,R$6=9,R$6=12,R$6=15,R$6=18),Assm!$B$44,0))*R$12</f>
        <v>10.669021995678996</v>
      </c>
      <c r="S26" s="53">
        <f ca="1">((Assm!$E44*S$9/12)+IF(OR(S$6=3,S$6=6,S$6=9,S$6=12,S$6=15,S$6=18),Assm!$B$44,0))*S$12</f>
        <v>56.507198370827894</v>
      </c>
      <c r="T26" s="53">
        <f ca="1">((Assm!$E44*T$9/12)+IF(OR(T$6=3,T$6=6,T$6=9,T$6=12,T$6=15,T$6=18),Assm!$B$44,0))*T$12</f>
        <v>11.213264387094608</v>
      </c>
      <c r="U26" s="53">
        <f ca="1">((Assm!$E44*U$9/12)+IF(OR(U$6=3,U$6=6,U$6=9,U$6=12,U$6=15,U$6=18),Assm!$B$44,0))*U$12</f>
        <v>11.500778867338855</v>
      </c>
      <c r="V26" s="53">
        <f ca="1">((Assm!$E44*V$9/12)+IF(OR(V$6=3,V$6=6,V$6=9,V$6=12,V$6=15,V$6=18),Assm!$B$44,0))*V$12</f>
        <v>60.970184136513893</v>
      </c>
      <c r="W26" s="53">
        <f ca="1">((Assm!$E44*W$9/12)+IF(OR(W$6=3,W$6=6,W$6=9,W$6=12,W$6=15,W$6=18),Assm!$B$44,0))*W$12</f>
        <v>12.114336230900271</v>
      </c>
      <c r="X26" s="53">
        <f ca="1">((Assm!$E44*X$9/12)+IF(OR(X$6=3,X$6=6,X$6=9,X$6=12,X$6=15,X$6=18),Assm!$B$44,0))*X$12</f>
        <v>12.441695956825447</v>
      </c>
      <c r="Y26" s="53">
        <f ca="1">((Assm!$E44*Y$9/12)+IF(OR(Y$6=3,Y$6=6,Y$6=9,Y$6=12,Y$6=15,Y$6=18),Assm!$B$44,0))*Y$12</f>
        <v>4.2610457498551497</v>
      </c>
      <c r="Z26" s="420">
        <f t="shared" ca="1" si="7"/>
        <v>429.28046462288961</v>
      </c>
      <c r="AB26" s="358">
        <f t="shared" si="3"/>
        <v>20</v>
      </c>
    </row>
    <row r="27" spans="1:28">
      <c r="A27" s="139"/>
      <c r="B27" s="8" t="str">
        <f>Assm!A45</f>
        <v>Gas Loss</v>
      </c>
      <c r="C27" s="8"/>
      <c r="D27" s="8"/>
      <c r="E27" s="53">
        <f ca="1">Assm!$E45*E$9/12*E$12</f>
        <v>0</v>
      </c>
      <c r="F27" s="53">
        <f ca="1">Assm!$E45*F$9/12*F$12</f>
        <v>0</v>
      </c>
      <c r="G27" s="53">
        <f ca="1">Assm!$E45*G$9/12*G$12</f>
        <v>0</v>
      </c>
      <c r="H27" s="1321">
        <f ca="1">Assm!$E45*H$9/12*H$12</f>
        <v>0</v>
      </c>
      <c r="I27" s="53">
        <f ca="1">Assm!$E45*I$9/12*I$12</f>
        <v>0</v>
      </c>
      <c r="J27" s="53">
        <f ca="1">Assm!$E45*J$9/12*J$12</f>
        <v>0</v>
      </c>
      <c r="K27" s="53">
        <f ca="1">Assm!$E45*K$9/12*K$12</f>
        <v>0</v>
      </c>
      <c r="L27" s="53">
        <f ca="1">Assm!$E45*L$9/12*L$12</f>
        <v>0</v>
      </c>
      <c r="M27" s="53">
        <f ca="1">Assm!$E45*M$9/12*M$12</f>
        <v>0</v>
      </c>
      <c r="N27" s="53">
        <f ca="1">Assm!$E45*N$9/12*N$12</f>
        <v>0</v>
      </c>
      <c r="O27" s="53">
        <f ca="1">Assm!$E45*O$9/12*O$12</f>
        <v>0</v>
      </c>
      <c r="P27" s="53">
        <f ca="1">Assm!$E45*P$9/12*P$12</f>
        <v>0</v>
      </c>
      <c r="Q27" s="53">
        <f ca="1">Assm!$E45*Q$9/12*Q$12</f>
        <v>0</v>
      </c>
      <c r="R27" s="53">
        <f ca="1">Assm!$E45*R$9/12*R$12</f>
        <v>0</v>
      </c>
      <c r="S27" s="53">
        <f ca="1">Assm!$E45*S$9/12*S$12</f>
        <v>0</v>
      </c>
      <c r="T27" s="53">
        <f ca="1">Assm!$E45*T$9/12*T$12</f>
        <v>0</v>
      </c>
      <c r="U27" s="53">
        <f ca="1">Assm!$E45*U$9/12*U$12</f>
        <v>0</v>
      </c>
      <c r="V27" s="53">
        <f ca="1">Assm!$E45*V$9/12*V$12</f>
        <v>0</v>
      </c>
      <c r="W27" s="53">
        <f ca="1">Assm!$E45*W$9/12*W$12</f>
        <v>0</v>
      </c>
      <c r="X27" s="53">
        <f ca="1">Assm!$E45*X$9/12*X$12</f>
        <v>0</v>
      </c>
      <c r="Y27" s="53">
        <f ca="1">Assm!$E45*Y$9/12*Y$12</f>
        <v>0</v>
      </c>
      <c r="Z27" s="420">
        <f t="shared" ca="1" si="7"/>
        <v>0</v>
      </c>
      <c r="AB27" s="358">
        <f t="shared" si="3"/>
        <v>21</v>
      </c>
    </row>
    <row r="28" spans="1:28">
      <c r="A28" s="139"/>
      <c r="B28" s="8" t="str">
        <f>Assm!A46</f>
        <v>Technical Services Fee</v>
      </c>
      <c r="C28" s="228">
        <v>-1</v>
      </c>
      <c r="D28" s="8"/>
      <c r="E28" s="53">
        <f ca="1">Assm!$E46*E$9/12*E$12</f>
        <v>0</v>
      </c>
      <c r="F28" s="53">
        <f ca="1">Assm!$E46*F$9/12*F$12</f>
        <v>0</v>
      </c>
      <c r="G28" s="53">
        <f ca="1">Assm!$E46*G$9/12*G$12</f>
        <v>232.20730588332773</v>
      </c>
      <c r="H28" s="1321">
        <f ca="1">Assm!$E46*H$9/12*H$12</f>
        <v>287.54019927560608</v>
      </c>
      <c r="I28" s="53">
        <f ca="1">Assm!$E46*I$9/12*I$12</f>
        <v>296.1995884801745</v>
      </c>
      <c r="J28" s="53">
        <f ca="1">Assm!$E46*J$9/12*J$12</f>
        <v>304.8503197311278</v>
      </c>
      <c r="K28" s="53">
        <f ca="1">Assm!$E46*K$9/12*K$12</f>
        <v>313.554719780754</v>
      </c>
      <c r="L28" s="53">
        <f ca="1">Assm!$E46*L$9/12*L$12</f>
        <v>322.33388878654785</v>
      </c>
      <c r="M28" s="53">
        <f ca="1">Assm!$E46*M$9/12*M$12</f>
        <v>331.14800564069577</v>
      </c>
      <c r="N28" s="53">
        <f ca="1">Assm!$E46*N$9/12*N$12</f>
        <v>340.00722331665912</v>
      </c>
      <c r="O28" s="53">
        <f ca="1">Assm!$E46*O$9/12*O$12</f>
        <v>348.93959124892791</v>
      </c>
      <c r="P28" s="53">
        <f ca="1">Assm!$E46*P$9/12*P$12</f>
        <v>357.95638822539451</v>
      </c>
      <c r="Q28" s="53">
        <f ca="1">Assm!$E46*Q$9/12*Q$12</f>
        <v>367.07593267425449</v>
      </c>
      <c r="R28" s="53">
        <f ca="1">Assm!$E46*R$9/12*R$12</f>
        <v>376.33196919425041</v>
      </c>
      <c r="S28" s="53">
        <f ca="1">Assm!$E46*S$9/12*S$12</f>
        <v>385.78011171619397</v>
      </c>
      <c r="T28" s="53">
        <f ca="1">Assm!$E46*T$9/12*T$12</f>
        <v>395.52921248078377</v>
      </c>
      <c r="U28" s="53">
        <f ca="1">Assm!$E46*U$9/12*U$12</f>
        <v>405.67080658059922</v>
      </c>
      <c r="V28" s="53">
        <f ca="1">Assm!$E46*V$9/12*V$12</f>
        <v>416.24934744038057</v>
      </c>
      <c r="W28" s="53">
        <f ca="1">Assm!$E46*W$9/12*W$12</f>
        <v>427.3130199846222</v>
      </c>
      <c r="X28" s="53">
        <f ca="1">Assm!$E46*X$9/12*X$12</f>
        <v>438.86008871708958</v>
      </c>
      <c r="Y28" s="53">
        <f ca="1">Assm!$E46*Y$9/12*Y$12</f>
        <v>150.30128708322397</v>
      </c>
      <c r="Z28" s="420">
        <f ca="1">SUM(E28:Y28)</f>
        <v>6497.8490062406136</v>
      </c>
      <c r="AB28" s="358">
        <f t="shared" si="3"/>
        <v>22</v>
      </c>
    </row>
    <row r="29" spans="1:28">
      <c r="A29" s="139"/>
      <c r="B29" s="8" t="str">
        <f>Assm!A47</f>
        <v>Capital Budget Expenses (See Trapped Cash Sheet)</v>
      </c>
      <c r="C29" s="8"/>
      <c r="D29" s="8"/>
      <c r="E29" s="53">
        <f ca="1">Trapped!F44*E$12</f>
        <v>0</v>
      </c>
      <c r="F29" s="53">
        <f ca="1">Trapped!G44*F$12</f>
        <v>13.275999937924599</v>
      </c>
      <c r="G29" s="53">
        <f ca="1">Trapped!H44*G$12</f>
        <v>19.200660805888468</v>
      </c>
      <c r="H29" s="1321">
        <f ca="1">Trapped!I44*H$12</f>
        <v>108.69030401648313</v>
      </c>
      <c r="I29" s="53">
        <f ca="1">Trapped!J44*I$12</f>
        <v>583.72666648683037</v>
      </c>
      <c r="J29" s="53">
        <f ca="1">Trapped!K44*J$12</f>
        <v>21.006113350086373</v>
      </c>
      <c r="K29" s="53">
        <f ca="1">Trapped!L44*K$12</f>
        <v>21.605901515794098</v>
      </c>
      <c r="L29" s="53">
        <f ca="1">Trapped!M44*L$12</f>
        <v>163.7256333611505</v>
      </c>
      <c r="M29" s="53">
        <f ca="1">Trapped!N44*M$12</f>
        <v>22.818190081869275</v>
      </c>
      <c r="N29" s="53">
        <f ca="1">Trapped!O44*N$12</f>
        <v>670.05928018485758</v>
      </c>
      <c r="O29" s="53">
        <f ca="1">Trapped!P44*O$12</f>
        <v>24.044142753639193</v>
      </c>
      <c r="P29" s="53">
        <f ca="1">Trapped!Q44*P$12</f>
        <v>135.30765005684918</v>
      </c>
      <c r="Q29" s="53">
        <f ca="1">Trapped!R44*Q$12</f>
        <v>25.293851279686628</v>
      </c>
      <c r="R29" s="53">
        <f ca="1">Trapped!S44*R$12</f>
        <v>25.931650683942003</v>
      </c>
      <c r="S29" s="53">
        <f ca="1">Trapped!T44*S$12</f>
        <v>760.26485980105804</v>
      </c>
      <c r="T29" s="53">
        <f ca="1">Trapped!U44*T$12</f>
        <v>200.90432026877838</v>
      </c>
      <c r="U29" s="53">
        <f ca="1">Trapped!V44*U$12</f>
        <v>27.953281969226385</v>
      </c>
      <c r="V29" s="53">
        <f ca="1">Trapped!W44*V$12</f>
        <v>28.682210279274006</v>
      </c>
      <c r="W29" s="53">
        <f ca="1">Trapped!X44*W$12</f>
        <v>29.444567227882604</v>
      </c>
      <c r="X29" s="53">
        <f ca="1">Trapped!Y44*X$12</f>
        <v>21.600166591710845</v>
      </c>
      <c r="Y29" s="53">
        <f ca="1">Trapped!Z44*Y$12</f>
        <v>0</v>
      </c>
      <c r="Z29" s="420">
        <f ca="1">SUM(E29:Y29)</f>
        <v>2903.535450652932</v>
      </c>
      <c r="AB29" s="358">
        <f t="shared" si="3"/>
        <v>23</v>
      </c>
    </row>
    <row r="30" spans="1:28">
      <c r="A30" s="139"/>
      <c r="B30" s="8" t="str">
        <f>Assm!A48</f>
        <v>Operating Insurance</v>
      </c>
      <c r="C30" s="228">
        <v>-1</v>
      </c>
      <c r="D30" s="8"/>
      <c r="E30" s="226">
        <f ca="1">Assm!$E48*E$9/12*E$12</f>
        <v>0</v>
      </c>
      <c r="F30" s="226">
        <f ca="1">Assm!$E48*F$9/12*F$12</f>
        <v>0</v>
      </c>
      <c r="G30" s="226">
        <f ca="1">Assm!$E48*G$9/12*G$12</f>
        <v>423.24930931601182</v>
      </c>
      <c r="H30" s="1355">
        <f ca="1">Assm!$E48*H$9/12*H$12</f>
        <v>524.1057781581485</v>
      </c>
      <c r="I30" s="226">
        <f ca="1">Assm!$E48*I$9/12*I$12</f>
        <v>539.88943529154471</v>
      </c>
      <c r="J30" s="226">
        <f ca="1">Assm!$E48*J$9/12*J$12</f>
        <v>555.65731138448768</v>
      </c>
      <c r="K30" s="226">
        <f ca="1">Assm!$E48*K$9/12*K$12</f>
        <v>571.52301076461674</v>
      </c>
      <c r="L30" s="226">
        <f ca="1">Assm!$E48*L$9/12*L$12</f>
        <v>587.52499314814156</v>
      </c>
      <c r="M30" s="226">
        <f ca="1">Assm!$E48*M$9/12*M$12</f>
        <v>603.59067573533446</v>
      </c>
      <c r="N30" s="226">
        <f ca="1">Assm!$E48*N$9/12*N$12</f>
        <v>619.73856457185411</v>
      </c>
      <c r="O30" s="226">
        <f ca="1">Assm!$E48*O$9/12*O$12</f>
        <v>636.01978597230743</v>
      </c>
      <c r="P30" s="226">
        <f ca="1">Assm!$E48*P$9/12*P$12</f>
        <v>652.45489802881491</v>
      </c>
      <c r="Q30" s="226">
        <f ca="1">Assm!$E48*Q$9/12*Q$12</f>
        <v>669.07729013906146</v>
      </c>
      <c r="R30" s="226">
        <f ca="1">Assm!$E48*R$9/12*R$12</f>
        <v>685.94846931746542</v>
      </c>
      <c r="S30" s="226">
        <f ca="1">Assm!$E48*S$9/12*S$12</f>
        <v>703.1698042858884</v>
      </c>
      <c r="T30" s="226">
        <f ca="1">Assm!$E48*T$9/12*T$12</f>
        <v>720.9397023921008</v>
      </c>
      <c r="U30" s="226">
        <f ca="1">Assm!$E48*U$9/12*U$12</f>
        <v>739.42500664117108</v>
      </c>
      <c r="V30" s="226">
        <f ca="1">Assm!$E48*V$9/12*V$12</f>
        <v>758.7067432576896</v>
      </c>
      <c r="W30" s="226">
        <f ca="1">Assm!$E48*W$9/12*W$12</f>
        <v>778.87273995204691</v>
      </c>
      <c r="X30" s="226">
        <f ca="1">Assm!$E48*X$9/12*X$12</f>
        <v>799.9198333974914</v>
      </c>
      <c r="Y30" s="226">
        <f ca="1">Assm!$E48*Y$9/12*Y$12</f>
        <v>273.95742655593011</v>
      </c>
      <c r="Z30" s="421">
        <f t="shared" ca="1" si="7"/>
        <v>11843.770778310107</v>
      </c>
      <c r="AB30" s="358">
        <f t="shared" si="3"/>
        <v>24</v>
      </c>
    </row>
    <row r="31" spans="1:28">
      <c r="A31" s="139"/>
      <c r="B31" s="32" t="s">
        <v>153</v>
      </c>
      <c r="C31" s="97"/>
      <c r="D31" s="8"/>
      <c r="E31" s="232">
        <f ca="1">SUM(E22:E30)*[4]RAROC!D83</f>
        <v>0</v>
      </c>
      <c r="F31" s="232">
        <f ca="1">SUM(F22:F30)*[4]RAROC!E83</f>
        <v>13.275999937924599</v>
      </c>
      <c r="G31" s="232">
        <f ca="1">SUM(G22:G30)*[4]RAROC!F83</f>
        <v>2256.7853261901691</v>
      </c>
      <c r="H31" s="1375">
        <f ca="1">SUM(H22:H30)*[4]RAROC!G83</f>
        <v>2838.7122220064966</v>
      </c>
      <c r="I31" s="232">
        <f ca="1">SUM(I22:I30)*[4]RAROC!H83</f>
        <v>4445.6226382041386</v>
      </c>
      <c r="J31" s="232">
        <f ca="1">SUM(J22:J30)*[4]RAROC!I83</f>
        <v>3541.6652808853905</v>
      </c>
      <c r="K31" s="232">
        <f ca="1">SUM(K22:K30)*[4]RAROC!J83</f>
        <v>2998.6201056069303</v>
      </c>
      <c r="L31" s="232">
        <f ca="1">SUM(L22:L30)*[4]RAROC!K83</f>
        <v>3224.0927872935135</v>
      </c>
      <c r="M31" s="232">
        <f ca="1">SUM(M22:M30)*[4]RAROC!L83</f>
        <v>3205.9870000204601</v>
      </c>
      <c r="N31" s="232">
        <f ca="1">SUM(N22:N30)*[4]RAROC!M83</f>
        <v>3898.2241568451218</v>
      </c>
      <c r="O31" s="232">
        <f ca="1">SUM(O22:O30)*[4]RAROC!N83</f>
        <v>3337.0165012758448</v>
      </c>
      <c r="P31" s="232">
        <f ca="1">SUM(P22:P30)*[4]RAROC!O83</f>
        <v>3576.1727342743957</v>
      </c>
      <c r="Q31" s="232">
        <f ca="1">SUM(Q22:Q30)*[4]RAROC!P83</f>
        <v>3510.4599055982635</v>
      </c>
      <c r="R31" s="232">
        <f ca="1">SUM(R22:R30)*[4]RAROC!Q83</f>
        <v>3598.9782261851747</v>
      </c>
      <c r="S31" s="232">
        <f ca="1">SUM(S22:S30)*[4]RAROC!R83</f>
        <v>5835.6958471475518</v>
      </c>
      <c r="T31" s="232">
        <f ca="1">SUM(T22:T30)*[4]RAROC!S83</f>
        <v>3956.2172191197733</v>
      </c>
      <c r="U31" s="232">
        <f ca="1">SUM(U22:U30)*[4]RAROC!T83</f>
        <v>3879.5545406586189</v>
      </c>
      <c r="V31" s="232">
        <f ca="1">SUM(V22:V30)*[4]RAROC!U83</f>
        <v>4029.8898798406663</v>
      </c>
      <c r="W31" s="232">
        <f ca="1">SUM(W22:W30)*[4]RAROC!V83</f>
        <v>4086.525675676191</v>
      </c>
      <c r="X31" s="232">
        <f ca="1">SUM(X22:X30)*[4]RAROC!W83</f>
        <v>4188.3137744525884</v>
      </c>
      <c r="Y31" s="232">
        <f ca="1">SUM(Y22:Y30)*[4]RAROC!X83</f>
        <v>1427.0206707550315</v>
      </c>
      <c r="Z31" s="422">
        <f t="shared" ca="1" si="7"/>
        <v>67848.830491974251</v>
      </c>
      <c r="AB31" s="358">
        <f t="shared" si="3"/>
        <v>25</v>
      </c>
    </row>
    <row r="32" spans="1:28">
      <c r="A32" s="139"/>
      <c r="B32" s="8" t="s">
        <v>306</v>
      </c>
      <c r="C32" s="15">
        <f>Wh_Serv/(1-Wh_Serv)</f>
        <v>0.14285714285714285</v>
      </c>
      <c r="D32" s="8"/>
      <c r="E32" s="53">
        <f ca="1">SUM(E28,E30)*$C32</f>
        <v>0</v>
      </c>
      <c r="F32" s="53">
        <f t="shared" ref="F32:Y32" ca="1" si="8">SUM(F28,F30)*$C32</f>
        <v>0</v>
      </c>
      <c r="G32" s="53">
        <f t="shared" ca="1" si="8"/>
        <v>93.636659314191363</v>
      </c>
      <c r="H32" s="1321">
        <f ca="1">SUM(H28,H30)*$C32</f>
        <v>115.94942534767921</v>
      </c>
      <c r="I32" s="53">
        <f t="shared" ca="1" si="8"/>
        <v>119.44128911024559</v>
      </c>
      <c r="J32" s="53">
        <f t="shared" ca="1" si="8"/>
        <v>122.92966158794506</v>
      </c>
      <c r="K32" s="53">
        <f t="shared" ca="1" si="8"/>
        <v>126.43967579219581</v>
      </c>
      <c r="L32" s="53">
        <f t="shared" ca="1" si="8"/>
        <v>129.97984027638418</v>
      </c>
      <c r="M32" s="53">
        <f t="shared" ca="1" si="8"/>
        <v>133.53409733943286</v>
      </c>
      <c r="N32" s="53">
        <f t="shared" ca="1" si="8"/>
        <v>137.10654112693044</v>
      </c>
      <c r="O32" s="53">
        <f t="shared" ca="1" si="8"/>
        <v>140.70848246017647</v>
      </c>
      <c r="P32" s="53">
        <f t="shared" ca="1" si="8"/>
        <v>144.34446946488706</v>
      </c>
      <c r="Q32" s="53">
        <f t="shared" ca="1" si="8"/>
        <v>148.02188897333085</v>
      </c>
      <c r="R32" s="53">
        <f t="shared" ca="1" si="8"/>
        <v>151.75434835881654</v>
      </c>
      <c r="S32" s="53">
        <f t="shared" ca="1" si="8"/>
        <v>155.56427371458318</v>
      </c>
      <c r="T32" s="53">
        <f t="shared" ca="1" si="8"/>
        <v>159.49555926755494</v>
      </c>
      <c r="U32" s="53">
        <f t="shared" ca="1" si="8"/>
        <v>163.5851161745386</v>
      </c>
      <c r="V32" s="53">
        <f t="shared" ca="1" si="8"/>
        <v>167.85087009972429</v>
      </c>
      <c r="W32" s="53">
        <f t="shared" ca="1" si="8"/>
        <v>172.31225141952413</v>
      </c>
      <c r="X32" s="53">
        <f t="shared" ca="1" si="8"/>
        <v>176.96856030208301</v>
      </c>
      <c r="Y32" s="53">
        <f t="shared" ca="1" si="8"/>
        <v>60.608387662736291</v>
      </c>
      <c r="Z32" s="420">
        <f t="shared" ca="1" si="7"/>
        <v>2620.2313977929598</v>
      </c>
      <c r="AB32" s="358">
        <f t="shared" si="3"/>
        <v>26</v>
      </c>
    </row>
    <row r="33" spans="1:28">
      <c r="A33" s="139"/>
      <c r="B33" s="8" t="s">
        <v>303</v>
      </c>
      <c r="C33" s="666" t="s">
        <v>580</v>
      </c>
      <c r="D33" s="8"/>
      <c r="E33" s="53">
        <f ca="1">Taxes!D36</f>
        <v>0</v>
      </c>
      <c r="F33" s="53">
        <f ca="1">Taxes!E36</f>
        <v>0</v>
      </c>
      <c r="G33" s="53">
        <f ca="1">Taxes!F36</f>
        <v>142.82925136278027</v>
      </c>
      <c r="H33" s="1321">
        <f ca="1">Taxes!G36</f>
        <v>240.55051010700871</v>
      </c>
      <c r="I33" s="53">
        <f ca="1">Taxes!H36</f>
        <v>247.9336661323718</v>
      </c>
      <c r="J33" s="53">
        <f ca="1">Taxes!I36</f>
        <v>255.93329628871359</v>
      </c>
      <c r="K33" s="53">
        <f ca="1">Taxes!J36</f>
        <v>262.58924245431126</v>
      </c>
      <c r="L33" s="53">
        <f ca="1">Taxes!K36</f>
        <v>269.98838079134003</v>
      </c>
      <c r="M33" s="53">
        <f ca="1">Taxes!L36</f>
        <v>277.42812098795696</v>
      </c>
      <c r="N33" s="53">
        <f ca="1">Taxes!M36</f>
        <v>285.66994501369538</v>
      </c>
      <c r="O33" s="53">
        <f ca="1">Taxes!N36</f>
        <v>292.43222568026749</v>
      </c>
      <c r="P33" s="53">
        <f ca="1">Taxes!O36</f>
        <v>300.02951649161452</v>
      </c>
      <c r="Q33" s="53">
        <f ca="1">Taxes!P36</f>
        <v>307.70855661206878</v>
      </c>
      <c r="R33" s="53">
        <f ca="1">Taxes!Q36</f>
        <v>316.34355927575939</v>
      </c>
      <c r="S33" s="53">
        <f ca="1">Taxes!R36</f>
        <v>323.42551229746584</v>
      </c>
      <c r="T33" s="53">
        <f ca="1">Taxes!S36</f>
        <v>331.58156039656194</v>
      </c>
      <c r="U33" s="53">
        <f ca="1">Taxes!T36</f>
        <v>340.04389875094807</v>
      </c>
      <c r="V33" s="53">
        <f ca="1">Taxes!U36</f>
        <v>349.80252818087911</v>
      </c>
      <c r="W33" s="53">
        <f ca="1">Taxes!V36</f>
        <v>358.07909346175524</v>
      </c>
      <c r="X33" s="53">
        <f ca="1">Taxes!W36</f>
        <v>367.70404189155676</v>
      </c>
      <c r="Y33" s="53">
        <f ca="1">Taxes!X36</f>
        <v>121.94385801560777</v>
      </c>
      <c r="Z33" s="420">
        <f t="shared" ca="1" si="7"/>
        <v>5392.0167641926628</v>
      </c>
      <c r="AB33" s="358">
        <f t="shared" si="3"/>
        <v>27</v>
      </c>
    </row>
    <row r="34" spans="1:28">
      <c r="A34" s="139"/>
      <c r="B34" s="8" t="s">
        <v>304</v>
      </c>
      <c r="C34" s="666" t="s">
        <v>580</v>
      </c>
      <c r="D34" s="8"/>
      <c r="E34" s="226">
        <f ca="1">Taxes!D46</f>
        <v>0</v>
      </c>
      <c r="F34" s="226">
        <f ca="1">Taxes!E46</f>
        <v>0</v>
      </c>
      <c r="G34" s="226">
        <f ca="1">Taxes!F46</f>
        <v>428.48775408834081</v>
      </c>
      <c r="H34" s="1355">
        <f ca="1">Taxes!G46</f>
        <v>721.65153032102603</v>
      </c>
      <c r="I34" s="226">
        <f ca="1">Taxes!H46</f>
        <v>743.80099839711534</v>
      </c>
      <c r="J34" s="226">
        <f ca="1">Taxes!I46</f>
        <v>767.79988886614069</v>
      </c>
      <c r="K34" s="226">
        <f ca="1">Taxes!J46</f>
        <v>787.76772736293367</v>
      </c>
      <c r="L34" s="226">
        <f ca="1">Taxes!K46</f>
        <v>809.96514237402005</v>
      </c>
      <c r="M34" s="226">
        <f ca="1">Taxes!L46</f>
        <v>832.28436296387076</v>
      </c>
      <c r="N34" s="226">
        <f ca="1">Taxes!M46</f>
        <v>857.00983504108615</v>
      </c>
      <c r="O34" s="226">
        <f ca="1">Taxes!N46</f>
        <v>877.29667704080236</v>
      </c>
      <c r="P34" s="226">
        <f ca="1">Taxes!O46</f>
        <v>900.08854947484349</v>
      </c>
      <c r="Q34" s="226">
        <f ca="1">Taxes!P46</f>
        <v>923.12566983620627</v>
      </c>
      <c r="R34" s="226">
        <f ca="1">Taxes!Q46</f>
        <v>0</v>
      </c>
      <c r="S34" s="226">
        <f ca="1">Taxes!R46</f>
        <v>0</v>
      </c>
      <c r="T34" s="226">
        <f ca="1">Taxes!S46</f>
        <v>0</v>
      </c>
      <c r="U34" s="226">
        <f ca="1">Taxes!T46</f>
        <v>0</v>
      </c>
      <c r="V34" s="226">
        <f ca="1">Taxes!U46</f>
        <v>0</v>
      </c>
      <c r="W34" s="226">
        <f ca="1">Taxes!V46</f>
        <v>0</v>
      </c>
      <c r="X34" s="226">
        <f ca="1">Taxes!W46</f>
        <v>0</v>
      </c>
      <c r="Y34" s="226">
        <f ca="1">Taxes!X46</f>
        <v>0</v>
      </c>
      <c r="Z34" s="421">
        <f t="shared" ca="1" si="7"/>
        <v>8649.2781357663862</v>
      </c>
      <c r="AB34" s="358">
        <f t="shared" si="3"/>
        <v>28</v>
      </c>
    </row>
    <row r="35" spans="1:28">
      <c r="A35" s="139"/>
      <c r="B35" s="32" t="s">
        <v>305</v>
      </c>
      <c r="C35" s="32"/>
      <c r="D35" s="8"/>
      <c r="E35" s="232">
        <f ca="1">SUM(E31:E34)</f>
        <v>0</v>
      </c>
      <c r="F35" s="232">
        <f t="shared" ref="F35:Y35" ca="1" si="9">SUM(F31:F34)</f>
        <v>13.275999937924599</v>
      </c>
      <c r="G35" s="232">
        <f t="shared" ca="1" si="9"/>
        <v>2921.7389909554818</v>
      </c>
      <c r="H35" s="1354">
        <f ca="1">SUM(H31:H34)</f>
        <v>3916.8636877822109</v>
      </c>
      <c r="I35" s="232">
        <f t="shared" ca="1" si="9"/>
        <v>5556.7985918438708</v>
      </c>
      <c r="J35" s="232">
        <f t="shared" ca="1" si="9"/>
        <v>4688.3281276281905</v>
      </c>
      <c r="K35" s="232">
        <f t="shared" ca="1" si="9"/>
        <v>4175.4167512163713</v>
      </c>
      <c r="L35" s="232">
        <f t="shared" ca="1" si="9"/>
        <v>4434.0261507352579</v>
      </c>
      <c r="M35" s="232">
        <f t="shared" ca="1" si="9"/>
        <v>4449.2335813117206</v>
      </c>
      <c r="N35" s="232">
        <f t="shared" ca="1" si="9"/>
        <v>5178.0104780268339</v>
      </c>
      <c r="O35" s="232">
        <f t="shared" ca="1" si="9"/>
        <v>4647.4538864570914</v>
      </c>
      <c r="P35" s="232">
        <f t="shared" ca="1" si="9"/>
        <v>4920.6352697057409</v>
      </c>
      <c r="Q35" s="232">
        <f t="shared" ca="1" si="9"/>
        <v>4889.3160210198694</v>
      </c>
      <c r="R35" s="232">
        <f t="shared" ca="1" si="9"/>
        <v>4067.0761338197508</v>
      </c>
      <c r="S35" s="232">
        <f t="shared" ca="1" si="9"/>
        <v>6314.6856331596009</v>
      </c>
      <c r="T35" s="232">
        <f t="shared" ca="1" si="9"/>
        <v>4447.2943387838905</v>
      </c>
      <c r="U35" s="232">
        <f t="shared" ca="1" si="9"/>
        <v>4383.1835555841053</v>
      </c>
      <c r="V35" s="232">
        <f t="shared" ca="1" si="9"/>
        <v>4547.5432781212694</v>
      </c>
      <c r="W35" s="232">
        <f t="shared" ca="1" si="9"/>
        <v>4616.9170205574701</v>
      </c>
      <c r="X35" s="232">
        <f t="shared" ca="1" si="9"/>
        <v>4732.9863766462277</v>
      </c>
      <c r="Y35" s="232">
        <f t="shared" ca="1" si="9"/>
        <v>1609.5729164333754</v>
      </c>
      <c r="Z35" s="422">
        <f t="shared" ca="1" si="7"/>
        <v>84510.35678972624</v>
      </c>
      <c r="AB35" s="358">
        <f t="shared" si="3"/>
        <v>29</v>
      </c>
    </row>
    <row r="36" spans="1:28" s="6" customFormat="1">
      <c r="A36" s="74"/>
      <c r="B36" s="32"/>
      <c r="C36" s="8"/>
      <c r="D36" s="8"/>
      <c r="E36" s="53"/>
      <c r="F36" s="53"/>
      <c r="G36" s="53"/>
      <c r="H36" s="1238">
        <f ca="1">+H35/G35-1</f>
        <v>0.34059329047092546</v>
      </c>
      <c r="I36" s="1238">
        <f t="shared" ref="I36:Y36" ca="1" si="10">+I35/H35-1</f>
        <v>0.41868572275748939</v>
      </c>
      <c r="J36" s="1238">
        <f t="shared" ca="1" si="10"/>
        <v>-0.15628971427728178</v>
      </c>
      <c r="K36" s="1238">
        <f t="shared" ca="1" si="10"/>
        <v>-0.1094017659278681</v>
      </c>
      <c r="L36" s="1238">
        <f t="shared" ca="1" si="10"/>
        <v>6.1936188631601663E-2</v>
      </c>
      <c r="M36" s="1238">
        <f t="shared" ca="1" si="10"/>
        <v>3.4297115216475049E-3</v>
      </c>
      <c r="N36" s="1238">
        <f t="shared" ca="1" si="10"/>
        <v>0.16379829995355188</v>
      </c>
      <c r="O36" s="1238">
        <f t="shared" ca="1" si="10"/>
        <v>-0.10246340632588291</v>
      </c>
      <c r="P36" s="1238">
        <f t="shared" ca="1" si="10"/>
        <v>5.8780870111420302E-2</v>
      </c>
      <c r="Q36" s="1238">
        <f t="shared" ca="1" si="10"/>
        <v>-6.3648791201190713E-3</v>
      </c>
      <c r="R36" s="1238">
        <f t="shared" ca="1" si="10"/>
        <v>-0.16817073874243182</v>
      </c>
      <c r="S36" s="1238">
        <f t="shared" ca="1" si="10"/>
        <v>0.55263521640272839</v>
      </c>
      <c r="T36" s="1238">
        <f t="shared" ca="1" si="10"/>
        <v>-0.2957219730099766</v>
      </c>
      <c r="U36" s="1238">
        <f t="shared" ca="1" si="10"/>
        <v>-1.4415682506257577E-2</v>
      </c>
      <c r="V36" s="1238">
        <f t="shared" ca="1" si="10"/>
        <v>3.749779594052649E-2</v>
      </c>
      <c r="W36" s="1238">
        <f t="shared" ca="1" si="10"/>
        <v>1.5255213242272081E-2</v>
      </c>
      <c r="X36" s="1238">
        <f t="shared" ca="1" si="10"/>
        <v>2.5140013470448475E-2</v>
      </c>
      <c r="Y36" s="1238">
        <f t="shared" ca="1" si="10"/>
        <v>-0.6599244560737757</v>
      </c>
      <c r="Z36" s="420"/>
      <c r="AB36" s="358">
        <f t="shared" si="3"/>
        <v>30</v>
      </c>
    </row>
    <row r="37" spans="1:28" s="6" customFormat="1">
      <c r="A37" s="74" t="s">
        <v>154</v>
      </c>
      <c r="B37" s="32"/>
      <c r="C37" s="32"/>
      <c r="D37" s="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420"/>
      <c r="AB37" s="358">
        <f t="shared" si="3"/>
        <v>31</v>
      </c>
    </row>
    <row r="38" spans="1:28" s="6" customFormat="1">
      <c r="A38" s="139"/>
      <c r="B38" s="8" t="s">
        <v>712</v>
      </c>
      <c r="C38" s="32"/>
      <c r="D38" s="91"/>
      <c r="E38" s="233">
        <f ca="1">Trapped!F86</f>
        <v>0</v>
      </c>
      <c r="F38" s="233">
        <f ca="1">Trapped!G86</f>
        <v>0</v>
      </c>
      <c r="G38" s="233">
        <f ca="1">Trapped!H86</f>
        <v>-37.13560535432287</v>
      </c>
      <c r="H38" s="233">
        <f ca="1">Trapped!I86</f>
        <v>-62.543132627822274</v>
      </c>
      <c r="I38" s="233">
        <f ca="1">Trapped!J86</f>
        <v>-64.462753194416678</v>
      </c>
      <c r="J38" s="233">
        <f ca="1">Trapped!K86</f>
        <v>-66.542657035065531</v>
      </c>
      <c r="K38" s="233">
        <f ca="1">Trapped!L86</f>
        <v>-4.3979601654760154</v>
      </c>
      <c r="L38" s="233">
        <f ca="1">Trapped!M86</f>
        <v>0</v>
      </c>
      <c r="M38" s="233">
        <f ca="1">Trapped!N86</f>
        <v>0</v>
      </c>
      <c r="N38" s="233">
        <f ca="1">Trapped!O86</f>
        <v>0</v>
      </c>
      <c r="O38" s="233">
        <f ca="1">Trapped!P86</f>
        <v>0</v>
      </c>
      <c r="P38" s="233">
        <f ca="1">Trapped!Q86</f>
        <v>0</v>
      </c>
      <c r="Q38" s="233">
        <f ca="1">Trapped!R86</f>
        <v>0</v>
      </c>
      <c r="R38" s="233">
        <f ca="1">Trapped!S86</f>
        <v>0</v>
      </c>
      <c r="S38" s="233">
        <f ca="1">Trapped!T86</f>
        <v>0</v>
      </c>
      <c r="T38" s="233">
        <f ca="1">Trapped!U86</f>
        <v>0</v>
      </c>
      <c r="U38" s="233">
        <f ca="1">Trapped!V86</f>
        <v>0</v>
      </c>
      <c r="V38" s="233">
        <f ca="1">Trapped!W86</f>
        <v>0</v>
      </c>
      <c r="W38" s="233">
        <f ca="1">Trapped!X86</f>
        <v>0</v>
      </c>
      <c r="X38" s="233">
        <f ca="1">Trapped!Y86</f>
        <v>0</v>
      </c>
      <c r="Y38" s="233">
        <f ca="1">Trapped!Z86</f>
        <v>0</v>
      </c>
      <c r="Z38" s="420">
        <f t="shared" ref="Z38:Z44" ca="1" si="11">SUM(E38:Y38)</f>
        <v>-235.08210837710337</v>
      </c>
      <c r="AB38" s="358">
        <f t="shared" si="3"/>
        <v>32</v>
      </c>
    </row>
    <row r="39" spans="1:28">
      <c r="A39" s="406"/>
      <c r="B39" s="86" t="s">
        <v>308</v>
      </c>
      <c r="C39" s="27"/>
      <c r="D39" s="86"/>
      <c r="E39" s="233">
        <f>Trapped!F40</f>
        <v>0</v>
      </c>
      <c r="F39" s="233">
        <f ca="1">Trapped!G40</f>
        <v>0</v>
      </c>
      <c r="G39" s="233">
        <f ca="1">Trapped!H40</f>
        <v>0</v>
      </c>
      <c r="H39" s="233">
        <f ca="1">Trapped!I40</f>
        <v>300.73723743598924</v>
      </c>
      <c r="I39" s="233">
        <f ca="1">Trapped!J40</f>
        <v>562.47985960661993</v>
      </c>
      <c r="J39" s="233">
        <f ca="1">Trapped!K40</f>
        <v>756.46922908770159</v>
      </c>
      <c r="K39" s="233">
        <f ca="1">Trapped!L40</f>
        <v>1035.8643890087278</v>
      </c>
      <c r="L39" s="233">
        <f ca="1">Trapped!M40</f>
        <v>1122.4504678375495</v>
      </c>
      <c r="M39" s="233">
        <f ca="1">Trapped!N40</f>
        <v>1296.2951563630538</v>
      </c>
      <c r="N39" s="233">
        <f ca="1">Trapped!O40</f>
        <v>1296.2951563630538</v>
      </c>
      <c r="O39" s="233">
        <f ca="1">Trapped!P40</f>
        <v>1393.9467648830603</v>
      </c>
      <c r="P39" s="233">
        <f ca="1">Trapped!Q40</f>
        <v>1667.0462321190935</v>
      </c>
      <c r="Q39" s="233">
        <f ca="1">Trapped!R40</f>
        <v>1958.350206234406</v>
      </c>
      <c r="R39" s="233">
        <f ca="1">Trapped!S40</f>
        <v>2137.6623965142148</v>
      </c>
      <c r="S39" s="233">
        <f ca="1">Trapped!T40</f>
        <v>2137.6623965142148</v>
      </c>
      <c r="T39" s="233">
        <f ca="1">Trapped!U40</f>
        <v>2032.2817256823937</v>
      </c>
      <c r="U39" s="233">
        <f ca="1">Trapped!V40</f>
        <v>1945.726648433161</v>
      </c>
      <c r="V39" s="233">
        <f ca="1">Trapped!W40</f>
        <v>1873.3733397677049</v>
      </c>
      <c r="W39" s="233">
        <f ca="1">Trapped!X40</f>
        <v>2190.8212846830415</v>
      </c>
      <c r="X39" s="233">
        <f ca="1">Trapped!Y40</f>
        <v>2510.2862247181911</v>
      </c>
      <c r="Y39" s="233">
        <f ca="1">Trapped!Z40</f>
        <v>943.97906976794263</v>
      </c>
      <c r="Z39" s="423">
        <f t="shared" ca="1" si="11"/>
        <v>27161.727785020121</v>
      </c>
      <c r="AB39" s="358">
        <f t="shared" si="3"/>
        <v>33</v>
      </c>
    </row>
    <row r="40" spans="1:28">
      <c r="A40" s="406"/>
      <c r="B40" s="86" t="s">
        <v>579</v>
      </c>
      <c r="C40" s="27"/>
      <c r="D40" s="86"/>
      <c r="E40" s="233">
        <f>IF(E$7=Assm!$F$54,Assm!$F$55*Assm!$B$54,0)</f>
        <v>0</v>
      </c>
      <c r="F40" s="233">
        <f>IF(F$7=Assm!$F$54,Assm!$F$55*Assm!$B$54,0)</f>
        <v>0</v>
      </c>
      <c r="G40" s="233">
        <f>IF(G$7=Assm!$F$54,Assm!$F$55*Assm!$B$54,0)</f>
        <v>0</v>
      </c>
      <c r="H40" s="233">
        <f>IF(H$7=Assm!$F$54,Assm!$F$55*Assm!$B$54,0)</f>
        <v>0</v>
      </c>
      <c r="I40" s="233">
        <f>IF(I$7=Assm!$F$54,Assm!$F$55*Assm!$B$54,0)</f>
        <v>0</v>
      </c>
      <c r="J40" s="233">
        <f>IF(J$7=Assm!$F$54,Assm!$F$55*Assm!$B$54,0)</f>
        <v>0</v>
      </c>
      <c r="K40" s="233">
        <f>IF(K$7=Assm!$F$54,Assm!$F$55*Assm!$B$54,0)</f>
        <v>0</v>
      </c>
      <c r="L40" s="233">
        <f>IF(L$7=Assm!$F$54,Assm!$F$55*Assm!$B$54,0)</f>
        <v>0</v>
      </c>
      <c r="M40" s="233">
        <f>IF(M$7=Assm!$F$54,Assm!$F$55*Assm!$B$54,0)</f>
        <v>0</v>
      </c>
      <c r="N40" s="233">
        <f>IF(N$7=Assm!$F$54,Assm!$F$55*Assm!$B$54,0)</f>
        <v>0</v>
      </c>
      <c r="O40" s="233">
        <f>IF(O$7=Assm!$F$54,Assm!$F$55*Assm!$B$54,0)</f>
        <v>0</v>
      </c>
      <c r="P40" s="233">
        <f>IF(P$7=Assm!$F$54,Assm!$F$55*Assm!$B$54,0)</f>
        <v>0</v>
      </c>
      <c r="Q40" s="233">
        <f>IF(Q$7=Assm!$F$54,Assm!$F$55*Assm!$B$54,0)</f>
        <v>0</v>
      </c>
      <c r="R40" s="233">
        <f>IF(R$7=Assm!$F$54,Assm!$F$55*Assm!$B$54,0)</f>
        <v>0</v>
      </c>
      <c r="S40" s="233">
        <f>IF(S$7=Assm!$F$54,Assm!$F$55*Assm!$B$54,0)</f>
        <v>0</v>
      </c>
      <c r="T40" s="233">
        <f>IF(T$7=Assm!$F$54,Assm!$F$55*Assm!$B$54,0)</f>
        <v>0</v>
      </c>
      <c r="U40" s="233">
        <f>IF(U$7=Assm!$F$54,Assm!$F$55*Assm!$B$54,0)</f>
        <v>0</v>
      </c>
      <c r="V40" s="233">
        <f>IF(V$7=Assm!$F$54,Assm!$F$55*Assm!$B$54,0)</f>
        <v>0</v>
      </c>
      <c r="W40" s="233">
        <f>IF(W$7=Assm!$F$54,Assm!$F$55*Assm!$B$54,0)</f>
        <v>0</v>
      </c>
      <c r="X40" s="233">
        <f>IF(X$7=Assm!$F$54,Assm!$F$55*Assm!$B$54,0)</f>
        <v>0</v>
      </c>
      <c r="Y40" s="233">
        <f>IF(Y$7=Assm!$F$54,Assm!$F$55*Assm!$B$54,0)</f>
        <v>0</v>
      </c>
      <c r="Z40" s="423">
        <f t="shared" si="11"/>
        <v>0</v>
      </c>
      <c r="AB40" s="358">
        <f t="shared" si="3"/>
        <v>34</v>
      </c>
    </row>
    <row r="41" spans="1:28" s="1282" customFormat="1">
      <c r="A41" s="1278"/>
      <c r="B41" s="1277" t="s">
        <v>49</v>
      </c>
      <c r="C41" s="1279"/>
      <c r="D41" s="1279"/>
      <c r="E41" s="1280">
        <f ca="1">(IF(AND(E$7&gt;YEAR(Fin_Close),E$7&lt;=Assm!$W$65),-Assm!$X$64,0))+(-'Debt Amort'!E25)</f>
        <v>0</v>
      </c>
      <c r="F41" s="1280">
        <f ca="1">(IF(AND(F$7&gt;YEAR(Fin_Close),F$7&lt;=Assm!$W$65),-Assm!$X$64,0))+(-'Debt Amort'!F25)</f>
        <v>0</v>
      </c>
      <c r="G41" s="1280">
        <f ca="1">(IF(AND(G$7&gt;YEAR(Fin_Close),G$7&lt;=Assm!$W$65),-Assm!$X$64,0))+(-'Debt Amort'!G25)</f>
        <v>-1633.0682084244033</v>
      </c>
      <c r="H41" s="1280">
        <f ca="1">(IF(AND(H$7&gt;YEAR(Fin_Close),H$7&lt;=Assm!$W$65),-Assm!$X$64,0))+(-'Debt Amort'!H25)</f>
        <v>-3877.3637002185678</v>
      </c>
      <c r="I41" s="1280">
        <f ca="1">(IF(AND(I$7&gt;YEAR(Fin_Close),I$7&lt;=Assm!$W$65),-Assm!$X$64,0))+(-'Debt Amort'!I25)</f>
        <v>-3816.7107825261087</v>
      </c>
      <c r="J41" s="1280">
        <f ca="1">(IF(AND(J$7&gt;YEAR(Fin_Close),J$7&lt;=Assm!$W$65),-Assm!$X$64,0))+(-'Debt Amort'!J25)</f>
        <v>-30</v>
      </c>
      <c r="K41" s="1280">
        <f ca="1">(IF(AND(K$7&gt;YEAR(Fin_Close),K$7&lt;=Assm!$W$65),-Assm!$X$64,0))+(-'Debt Amort'!K25)</f>
        <v>-30</v>
      </c>
      <c r="L41" s="1280">
        <f ca="1">(IF(AND(L$7&gt;YEAR(Fin_Close),L$7&lt;=Assm!$W$65),-Assm!$X$64,0))+(-'Debt Amort'!L25)</f>
        <v>-30</v>
      </c>
      <c r="M41" s="1280">
        <f ca="1">(IF(AND(M$7&gt;YEAR(Fin_Close),M$7&lt;=Assm!$W$65),-Assm!$X$64,0))+(-'Debt Amort'!M25)</f>
        <v>-30</v>
      </c>
      <c r="N41" s="1280">
        <f ca="1">(IF(AND(N$7&gt;YEAR(Fin_Close),N$7&lt;=Assm!$W$65),-Assm!$X$64,0))+(-'Debt Amort'!N25)</f>
        <v>-30</v>
      </c>
      <c r="O41" s="1280">
        <f ca="1">(IF(AND(O$7&gt;YEAR(Fin_Close),O$7&lt;=Assm!$W$65),-Assm!$X$64,0))+(-'Debt Amort'!O25)</f>
        <v>-30</v>
      </c>
      <c r="P41" s="1280">
        <f ca="1">(IF(AND(P$7&gt;YEAR(Fin_Close),P$7&lt;=Assm!$W$65),-Assm!$X$64,0))+(-'Debt Amort'!P25)</f>
        <v>-30</v>
      </c>
      <c r="Q41" s="1280">
        <f ca="1">(IF(AND(Q$7&gt;YEAR(Fin_Close),Q$7&lt;=Assm!$W$65),-Assm!$X$64,0))+(-'Debt Amort'!Q25)</f>
        <v>-30</v>
      </c>
      <c r="R41" s="1280">
        <f ca="1">(IF(AND(R$7&gt;YEAR(Fin_Close),R$7&lt;=Assm!$W$65),-Assm!$X$64,0))+(-'Debt Amort'!R25)</f>
        <v>-30</v>
      </c>
      <c r="S41" s="1280">
        <f ca="1">(IF(AND(S$7&gt;YEAR(Fin_Close),S$7&lt;=Assm!$W$65),-Assm!$X$64,0))+(-'Debt Amort'!S25)</f>
        <v>-30</v>
      </c>
      <c r="T41" s="1280">
        <f ca="1">(IF(AND(T$7&gt;YEAR(Fin_Close),T$7&lt;=Assm!$W$65),-Assm!$X$64,0))+(-'Debt Amort'!T25)</f>
        <v>-30</v>
      </c>
      <c r="U41" s="1280">
        <f ca="1">(IF(AND(U$7&gt;YEAR(Fin_Close),U$7&lt;=Assm!$W$65),-Assm!$X$64,0))+(-'Debt Amort'!U25)</f>
        <v>-30</v>
      </c>
      <c r="V41" s="1280">
        <f ca="1">(IF(AND(V$7&gt;YEAR(Fin_Close),V$7&lt;=Assm!$W$65),-Assm!$X$64,0))+(-'Debt Amort'!V25)</f>
        <v>0</v>
      </c>
      <c r="W41" s="1280">
        <f ca="1">(IF(AND(W$7&gt;YEAR(Fin_Close),W$7&lt;=Assm!$W$65),-Assm!$X$64,0))+(-'Debt Amort'!W25)</f>
        <v>0</v>
      </c>
      <c r="X41" s="1280">
        <f ca="1">(IF(AND(X$7&gt;YEAR(Fin_Close),X$7&lt;=Assm!$W$65),-Assm!$X$64,0))+(-'Debt Amort'!X25)</f>
        <v>0</v>
      </c>
      <c r="Y41" s="1280">
        <f ca="1">(IF(AND(Y$7&gt;YEAR(Fin_Close),Y$7&lt;=Assm!$W$65),-Assm!$X$64,0))+(-'Debt Amort'!Y25)</f>
        <v>0</v>
      </c>
      <c r="Z41" s="1281">
        <f ca="1">SUM(E41:Y41)</f>
        <v>-9687.1426911690796</v>
      </c>
      <c r="AB41" s="1283">
        <f t="shared" si="3"/>
        <v>35</v>
      </c>
    </row>
    <row r="42" spans="1:28" s="87" customFormat="1">
      <c r="A42" s="406"/>
      <c r="B42" s="86" t="s">
        <v>974</v>
      </c>
      <c r="C42" s="86"/>
      <c r="D42" s="86"/>
      <c r="E42" s="233">
        <f ca="1">IF(E$6&gt;Assm!$X$72+1,0,-'Debt Amort'!E17*Assm!$U$83)</f>
        <v>0</v>
      </c>
      <c r="F42" s="233">
        <f ca="1">IF(F$6&gt;Assm!$X$72+1,0,-'Debt Amort'!F17*Assm!$U$83)</f>
        <v>0</v>
      </c>
      <c r="G42" s="233">
        <f ca="1">IF(G$6&gt;Assm!$X$72+1,0,-'Debt Amort'!G17*Assm!$U$83)</f>
        <v>-53.737089331101906</v>
      </c>
      <c r="H42" s="233">
        <f ca="1">IF(H$6&gt;Assm!$X$72+1,0,-'Debt Amort'!H17*Assm!$U$83)</f>
        <v>-146.05446365802544</v>
      </c>
      <c r="I42" s="233">
        <f ca="1">IF(I$6&gt;Assm!$X$72+1,0,-'Debt Amort'!I17*Assm!$U$83)</f>
        <v>-156.00132661554301</v>
      </c>
      <c r="J42" s="233">
        <f ca="1">IF(J$6&gt;Assm!$X$72+1,0,-'Debt Amort'!J17*Assm!$U$83)</f>
        <v>-205.12219707323308</v>
      </c>
      <c r="K42" s="233">
        <f ca="1">IF(K$6&gt;Assm!$X$72+1,0,-'Debt Amort'!K17*Assm!$U$83)</f>
        <v>-217.98632673924521</v>
      </c>
      <c r="L42" s="233">
        <f ca="1">IF(L$6&gt;Assm!$X$72+1,0,-'Debt Amort'!L17*Assm!$U$83)</f>
        <v>-220.1132107810925</v>
      </c>
      <c r="M42" s="233">
        <f ca="1">IF(M$6&gt;Assm!$X$72+1,0,-'Debt Amort'!M17*Assm!$U$83)</f>
        <v>-215.166006746162</v>
      </c>
      <c r="N42" s="233">
        <f ca="1">IF(N$6&gt;Assm!$X$72+1,0,-'Debt Amort'!N17*Assm!$U$83)</f>
        <v>-169.79108724642157</v>
      </c>
      <c r="O42" s="233">
        <f ca="1">IF(O$6&gt;Assm!$X$72+1,0,-'Debt Amort'!O17*Assm!$U$83)</f>
        <v>-129.56203142102751</v>
      </c>
      <c r="P42" s="233">
        <f ca="1">IF(P$6&gt;Assm!$X$72+1,0,-'Debt Amort'!P17*Assm!$U$83)</f>
        <v>-122.20698994391734</v>
      </c>
      <c r="Q42" s="233">
        <f ca="1">IF(Q$6&gt;Assm!$X$72+1,0,-'Debt Amort'!Q17*Assm!$U$83)</f>
        <v>-130.43131169522471</v>
      </c>
      <c r="R42" s="233">
        <f ca="1">IF(R$6&gt;Assm!$X$72+1,0,-'Debt Amort'!R17*Assm!$U$83)</f>
        <v>-136.08270160935891</v>
      </c>
      <c r="S42" s="233">
        <f ca="1">IF(S$6&gt;Assm!$X$72+1,0,-'Debt Amort'!S17*Assm!$U$83)</f>
        <v>-125.29708434935115</v>
      </c>
      <c r="T42" s="233">
        <f ca="1">IF(T$6&gt;Assm!$X$72+1,0,-'Debt Amort'!T17*Assm!$U$83)</f>
        <v>-118.02560917094134</v>
      </c>
      <c r="U42" s="233">
        <f ca="1">IF(U$6&gt;Assm!$X$72+1,0,-'Debt Amort'!U17*Assm!$U$83)</f>
        <v>-78.365705331034107</v>
      </c>
      <c r="V42" s="233">
        <f ca="1">IF(V$6&gt;Assm!$X$72+1,0,-'Debt Amort'!V17*Assm!$U$83)</f>
        <v>0</v>
      </c>
      <c r="W42" s="233">
        <f ca="1">IF(W$6&gt;Assm!$X$72+1,0,-'Debt Amort'!W17*Assm!$U$83)</f>
        <v>0</v>
      </c>
      <c r="X42" s="233">
        <f ca="1">IF(X$6&gt;Assm!$X$72+1,0,-'Debt Amort'!X17*Assm!$U$83)</f>
        <v>0</v>
      </c>
      <c r="Y42" s="233">
        <f ca="1">IF(Y$6&gt;Assm!$X$72+1,0,-'Debt Amort'!Y17*Assm!$U$83)</f>
        <v>0</v>
      </c>
      <c r="Z42" s="423">
        <f t="shared" ca="1" si="11"/>
        <v>-2223.9431417116793</v>
      </c>
      <c r="AB42" s="358">
        <f t="shared" si="3"/>
        <v>36</v>
      </c>
    </row>
    <row r="43" spans="1:28" s="87" customFormat="1">
      <c r="A43" s="406"/>
      <c r="B43" s="86" t="s">
        <v>857</v>
      </c>
      <c r="C43" s="86"/>
      <c r="D43" s="86"/>
      <c r="E43" s="234">
        <f ca="1">IF(E$9=0,0,-HLOOKUP(E$7,NGO_Table,Assm!$G$65)*E$13*Assm!$F$63)</f>
        <v>0</v>
      </c>
      <c r="F43" s="234">
        <f ca="1">IF(F$9=0,0,-HLOOKUP(F$7,NGO_Table,Assm!$G$65)*F$13*Assm!$F$63)</f>
        <v>0</v>
      </c>
      <c r="G43" s="234">
        <f ca="1">IF(G$9=0,0,-HLOOKUP(G$7,NGO_Table,Assm!$G$65)*G$13*Assm!$F$63)</f>
        <v>-1033.0489441562738</v>
      </c>
      <c r="H43" s="234">
        <f ca="1">IF(H$9=0,0,-HLOOKUP(H$7,NGO_Table,Assm!$G$65)*H$13*Assm!$F$63)</f>
        <v>-2132.0252186882694</v>
      </c>
      <c r="I43" s="234">
        <f ca="1">IF(I$9=0,0,-HLOOKUP(I$7,NGO_Table,Assm!$G$65)*I$13*Assm!$F$63)</f>
        <v>-2196.232019021189</v>
      </c>
      <c r="J43" s="234">
        <f ca="1">IF(J$9=0,0,-HLOOKUP(J$7,NGO_Table,Assm!$G$65)*J$13*Assm!$F$63)</f>
        <v>-2260.374623198245</v>
      </c>
      <c r="K43" s="234">
        <f ca="1">IF(K$9=0,0,-HLOOKUP(K$7,NGO_Table,Assm!$G$65)*K$13*Assm!$F$63)</f>
        <v>-3487.3727483780804</v>
      </c>
      <c r="L43" s="234">
        <f ca="1">IF(L$9=0,0,-HLOOKUP(L$7,NGO_Table,Assm!$G$65)*L$13*Assm!$F$63)</f>
        <v>0</v>
      </c>
      <c r="M43" s="234">
        <f ca="1">IF(M$9=0,0,-HLOOKUP(M$7,NGO_Table,Assm!$G$65)*M$13*Assm!$F$63)</f>
        <v>0</v>
      </c>
      <c r="N43" s="234">
        <f ca="1">IF(N$9=0,0,-HLOOKUP(N$7,NGO_Table,Assm!$G$65)*N$13*Assm!$F$63)</f>
        <v>0</v>
      </c>
      <c r="O43" s="234">
        <f ca="1">IF(O$9=0,0,-HLOOKUP(O$7,NGO_Table,Assm!$G$65)*O$13*Assm!$F$63)</f>
        <v>0</v>
      </c>
      <c r="P43" s="234">
        <f ca="1">IF(P$9=0,0,-HLOOKUP(P$7,NGO_Table,Assm!$G$65)*P$13*Assm!$F$63)</f>
        <v>0</v>
      </c>
      <c r="Q43" s="234">
        <f ca="1">IF(Q$9=0,0,-HLOOKUP(Q$7,NGO_Table,Assm!$G$65)*Q$13*Assm!$F$63)</f>
        <v>0</v>
      </c>
      <c r="R43" s="234">
        <f ca="1">IF(R$9=0,0,-HLOOKUP(R$7,NGO_Table,Assm!$G$65)*R$13*Assm!$F$63)</f>
        <v>0</v>
      </c>
      <c r="S43" s="234">
        <f ca="1">IF(S$9=0,0,-HLOOKUP(S$7,NGO_Table,Assm!$G$65)*S$13*Assm!$F$63)</f>
        <v>0</v>
      </c>
      <c r="T43" s="234">
        <f ca="1">IF(T$9=0,0,-HLOOKUP(T$7,NGO_Table,Assm!$G$65)*T$13*Assm!$F$63)</f>
        <v>0</v>
      </c>
      <c r="U43" s="234">
        <f ca="1">IF(U$9=0,0,-HLOOKUP(U$7,NGO_Table,Assm!$G$65)*U$13*Assm!$F$63)</f>
        <v>0</v>
      </c>
      <c r="V43" s="234">
        <f ca="1">IF(V$9=0,0,-HLOOKUP(V$7,NGO_Table,Assm!$G$65)*V$13*Assm!$F$63)</f>
        <v>0</v>
      </c>
      <c r="W43" s="234">
        <f ca="1">IF(W$9=0,0,-HLOOKUP(W$7,NGO_Table,Assm!$G$65)*W$13*Assm!$F$63)</f>
        <v>0</v>
      </c>
      <c r="X43" s="234">
        <f ca="1">IF(X$9=0,0,-HLOOKUP(X$7,NGO_Table,Assm!$G$65)*X$13*Assm!$F$63)</f>
        <v>0</v>
      </c>
      <c r="Y43" s="234">
        <f ca="1">IF(Y$9=0,0,-HLOOKUP(Y$7,NGO_Table,Assm!$G$65)*Y$13*Assm!$F$63)</f>
        <v>0</v>
      </c>
      <c r="Z43" s="424">
        <f t="shared" ca="1" si="11"/>
        <v>-11109.053553442056</v>
      </c>
      <c r="AB43" s="358">
        <f t="shared" si="3"/>
        <v>37</v>
      </c>
    </row>
    <row r="44" spans="1:28" s="87" customFormat="1">
      <c r="A44" s="406"/>
      <c r="B44" s="88" t="s">
        <v>309</v>
      </c>
      <c r="C44" s="86"/>
      <c r="D44" s="86"/>
      <c r="E44" s="235">
        <f ca="1">SUM(E38:E43)</f>
        <v>0</v>
      </c>
      <c r="F44" s="235">
        <f t="shared" ref="F44:Y44" ca="1" si="12">SUM(F38:F43)</f>
        <v>0</v>
      </c>
      <c r="G44" s="235">
        <f t="shared" ca="1" si="12"/>
        <v>-2756.9898472661021</v>
      </c>
      <c r="H44" s="1376">
        <f ca="1">SUM(H38:H43)</f>
        <v>-5917.2492777566949</v>
      </c>
      <c r="I44" s="235">
        <f t="shared" ca="1" si="12"/>
        <v>-5670.9270217506373</v>
      </c>
      <c r="J44" s="235">
        <f t="shared" ca="1" si="12"/>
        <v>-1805.5702482188422</v>
      </c>
      <c r="K44" s="235">
        <f t="shared" ca="1" si="12"/>
        <v>-2703.8926462740737</v>
      </c>
      <c r="L44" s="235">
        <f t="shared" ca="1" si="12"/>
        <v>872.33725705645702</v>
      </c>
      <c r="M44" s="235">
        <f t="shared" ca="1" si="12"/>
        <v>1051.1291496168919</v>
      </c>
      <c r="N44" s="235">
        <f t="shared" ca="1" si="12"/>
        <v>1096.5040691166323</v>
      </c>
      <c r="O44" s="235">
        <f t="shared" ca="1" si="12"/>
        <v>1234.3847334620327</v>
      </c>
      <c r="P44" s="235">
        <f t="shared" ca="1" si="12"/>
        <v>1514.8392421751762</v>
      </c>
      <c r="Q44" s="235">
        <f t="shared" ca="1" si="12"/>
        <v>1797.9188945391813</v>
      </c>
      <c r="R44" s="235">
        <f t="shared" ca="1" si="12"/>
        <v>1971.5796949048558</v>
      </c>
      <c r="S44" s="235">
        <f t="shared" ca="1" si="12"/>
        <v>1982.3653121648638</v>
      </c>
      <c r="T44" s="235">
        <f t="shared" ca="1" si="12"/>
        <v>1884.2561165114523</v>
      </c>
      <c r="U44" s="235">
        <f t="shared" ca="1" si="12"/>
        <v>1837.3609431021268</v>
      </c>
      <c r="V44" s="235">
        <f t="shared" ca="1" si="12"/>
        <v>1873.3733397677049</v>
      </c>
      <c r="W44" s="235">
        <f t="shared" ca="1" si="12"/>
        <v>2190.8212846830415</v>
      </c>
      <c r="X44" s="235">
        <f t="shared" ca="1" si="12"/>
        <v>2510.2862247181911</v>
      </c>
      <c r="Y44" s="235">
        <f t="shared" ca="1" si="12"/>
        <v>943.97906976794263</v>
      </c>
      <c r="Z44" s="425">
        <f t="shared" ca="1" si="11"/>
        <v>3906.5062903202006</v>
      </c>
      <c r="AB44" s="358">
        <f t="shared" si="3"/>
        <v>38</v>
      </c>
    </row>
    <row r="45" spans="1:28" s="87" customFormat="1">
      <c r="A45" s="406"/>
      <c r="B45" s="86"/>
      <c r="C45" s="86"/>
      <c r="D45" s="86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423"/>
      <c r="AB45" s="358">
        <f t="shared" si="3"/>
        <v>39</v>
      </c>
    </row>
    <row r="46" spans="1:28" s="87" customFormat="1">
      <c r="A46" s="407" t="s">
        <v>155</v>
      </c>
      <c r="B46" s="88"/>
      <c r="C46" s="86"/>
      <c r="D46" s="88"/>
      <c r="E46" s="235">
        <f t="shared" ref="E46:Y46" ca="1" si="13">SUM(E18,-E35,E44)</f>
        <v>0</v>
      </c>
      <c r="F46" s="235">
        <f t="shared" ca="1" si="13"/>
        <v>-13.275999937924599</v>
      </c>
      <c r="G46" s="235">
        <f t="shared" ca="1" si="13"/>
        <v>8604.1962980564422</v>
      </c>
      <c r="H46" s="235">
        <f t="shared" ca="1" si="13"/>
        <v>14220.938045161965</v>
      </c>
      <c r="I46" s="235">
        <f t="shared" ca="1" si="13"/>
        <v>13565.64099964267</v>
      </c>
      <c r="J46" s="235">
        <f t="shared" ca="1" si="13"/>
        <v>19099.431253024326</v>
      </c>
      <c r="K46" s="235">
        <f t="shared" ca="1" si="13"/>
        <v>19379.61484794068</v>
      </c>
      <c r="L46" s="235">
        <f t="shared" ca="1" si="13"/>
        <v>23437.1491854552</v>
      </c>
      <c r="M46" s="235">
        <f t="shared" ca="1" si="13"/>
        <v>24344.707667100865</v>
      </c>
      <c r="N46" s="235">
        <f t="shared" ca="1" si="13"/>
        <v>24485.488092459338</v>
      </c>
      <c r="O46" s="235">
        <f t="shared" ca="1" si="13"/>
        <v>25830.153415031691</v>
      </c>
      <c r="P46" s="235">
        <f t="shared" ca="1" si="13"/>
        <v>26597.155621630889</v>
      </c>
      <c r="Q46" s="235">
        <f t="shared" ca="1" si="13"/>
        <v>27679.458534726189</v>
      </c>
      <c r="R46" s="235">
        <f t="shared" ca="1" si="13"/>
        <v>29538.859488661044</v>
      </c>
      <c r="S46" s="235">
        <f t="shared" ca="1" si="13"/>
        <v>28010.230908751848</v>
      </c>
      <c r="T46" s="235">
        <f t="shared" ca="1" si="13"/>
        <v>30595.117817383754</v>
      </c>
      <c r="U46" s="235">
        <f t="shared" ca="1" si="13"/>
        <v>31458.567262612829</v>
      </c>
      <c r="V46" s="235">
        <f t="shared" ca="1" si="13"/>
        <v>32306.082879734346</v>
      </c>
      <c r="W46" s="235">
        <f t="shared" ca="1" si="13"/>
        <v>33381.813610301098</v>
      </c>
      <c r="X46" s="235">
        <f t="shared" ca="1" si="13"/>
        <v>34547.704037227639</v>
      </c>
      <c r="Y46" s="235">
        <f t="shared" ca="1" si="13"/>
        <v>11528.791954895343</v>
      </c>
      <c r="Z46" s="425">
        <f ca="1">SUM(E46:Y46)</f>
        <v>458597.82591986028</v>
      </c>
      <c r="AB46" s="358">
        <f t="shared" si="3"/>
        <v>40</v>
      </c>
    </row>
    <row r="47" spans="1:28" s="89" customFormat="1">
      <c r="A47" s="406"/>
      <c r="B47" s="86" t="s">
        <v>310</v>
      </c>
      <c r="C47" s="88"/>
      <c r="D47" s="86"/>
      <c r="E47" s="234">
        <f ca="1">-Depr!H34</f>
        <v>0</v>
      </c>
      <c r="F47" s="234">
        <f ca="1">-Depr!I34</f>
        <v>0</v>
      </c>
      <c r="G47" s="234">
        <f ca="1">-Depr!J34</f>
        <v>-6008.749462358709</v>
      </c>
      <c r="H47" s="234">
        <f ca="1">-Depr!K34</f>
        <v>-7210.499354830451</v>
      </c>
      <c r="I47" s="234">
        <f ca="1">-Depr!L34</f>
        <v>-7210.499354830451</v>
      </c>
      <c r="J47" s="234">
        <f ca="1">-Depr!M34</f>
        <v>-7210.499354830451</v>
      </c>
      <c r="K47" s="234">
        <f ca="1">-Depr!N34</f>
        <v>-7210.499354830451</v>
      </c>
      <c r="L47" s="234">
        <f ca="1">-Depr!O34</f>
        <v>-7210.499354830451</v>
      </c>
      <c r="M47" s="234">
        <f ca="1">-Depr!P34</f>
        <v>-7210.499354830451</v>
      </c>
      <c r="N47" s="234">
        <f ca="1">-Depr!Q34</f>
        <v>-7210.499354830451</v>
      </c>
      <c r="O47" s="234">
        <f ca="1">-Depr!R34</f>
        <v>-7210.499354830451</v>
      </c>
      <c r="P47" s="234">
        <f ca="1">-Depr!S34</f>
        <v>-7210.499354830451</v>
      </c>
      <c r="Q47" s="234">
        <f ca="1">-Depr!T34</f>
        <v>-7210.499354830451</v>
      </c>
      <c r="R47" s="234">
        <f ca="1">-Depr!U34</f>
        <v>-7210.499354830451</v>
      </c>
      <c r="S47" s="234">
        <f ca="1">-Depr!V34</f>
        <v>-7210.499354830451</v>
      </c>
      <c r="T47" s="234">
        <f ca="1">-Depr!W34</f>
        <v>-7210.499354830451</v>
      </c>
      <c r="U47" s="234">
        <f ca="1">-Depr!X34</f>
        <v>-7210.499354830451</v>
      </c>
      <c r="V47" s="234">
        <f ca="1">-Depr!Y34</f>
        <v>-7210.499354830451</v>
      </c>
      <c r="W47" s="234">
        <f ca="1">-Depr!Z34</f>
        <v>-7210.499354830451</v>
      </c>
      <c r="X47" s="234">
        <f ca="1">-Depr!AA34</f>
        <v>-7210.499354830451</v>
      </c>
      <c r="Y47" s="234">
        <f ca="1">-Depr!AB34</f>
        <v>-2403.4997849434835</v>
      </c>
      <c r="Z47" s="424">
        <f ca="1">SUM(E47:Y47)</f>
        <v>-130990.73827941983</v>
      </c>
      <c r="AB47" s="358">
        <f t="shared" si="3"/>
        <v>41</v>
      </c>
    </row>
    <row r="48" spans="1:28" s="89" customFormat="1">
      <c r="A48" s="406"/>
      <c r="B48" s="86"/>
      <c r="C48" s="88"/>
      <c r="D48" s="86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424"/>
      <c r="AB48" s="358">
        <f t="shared" si="3"/>
        <v>42</v>
      </c>
    </row>
    <row r="49" spans="1:28" s="87" customFormat="1">
      <c r="A49" s="407" t="s">
        <v>156</v>
      </c>
      <c r="B49" s="88"/>
      <c r="C49" s="86"/>
      <c r="D49" s="88"/>
      <c r="E49" s="235">
        <f ca="1">SUM(E46:E47)</f>
        <v>0</v>
      </c>
      <c r="F49" s="235">
        <f t="shared" ref="F49:Y49" ca="1" si="14">SUM(F46:F47)</f>
        <v>-13.275999937924599</v>
      </c>
      <c r="G49" s="235">
        <f t="shared" ca="1" si="14"/>
        <v>2595.4468356977331</v>
      </c>
      <c r="H49" s="235">
        <f t="shared" ca="1" si="14"/>
        <v>7010.4386903315144</v>
      </c>
      <c r="I49" s="235">
        <f t="shared" ca="1" si="14"/>
        <v>6355.1416448122191</v>
      </c>
      <c r="J49" s="235">
        <f t="shared" ca="1" si="14"/>
        <v>11888.931898193874</v>
      </c>
      <c r="K49" s="235">
        <f t="shared" ca="1" si="14"/>
        <v>12169.115493110228</v>
      </c>
      <c r="L49" s="235">
        <f t="shared" ca="1" si="14"/>
        <v>16226.649830624749</v>
      </c>
      <c r="M49" s="235">
        <f t="shared" ca="1" si="14"/>
        <v>17134.208312270413</v>
      </c>
      <c r="N49" s="235">
        <f t="shared" ca="1" si="14"/>
        <v>17274.988737628886</v>
      </c>
      <c r="O49" s="235">
        <f t="shared" ca="1" si="14"/>
        <v>18619.654060201239</v>
      </c>
      <c r="P49" s="235">
        <f t="shared" ca="1" si="14"/>
        <v>19386.656266800437</v>
      </c>
      <c r="Q49" s="235">
        <f t="shared" ca="1" si="14"/>
        <v>20468.959179895737</v>
      </c>
      <c r="R49" s="235">
        <f t="shared" ca="1" si="14"/>
        <v>22328.360133830593</v>
      </c>
      <c r="S49" s="235">
        <f t="shared" ca="1" si="14"/>
        <v>20799.731553921396</v>
      </c>
      <c r="T49" s="235">
        <f t="shared" ca="1" si="14"/>
        <v>23384.618462553302</v>
      </c>
      <c r="U49" s="235">
        <f t="shared" ca="1" si="14"/>
        <v>24248.067907782377</v>
      </c>
      <c r="V49" s="235">
        <f t="shared" ca="1" si="14"/>
        <v>25095.583524903894</v>
      </c>
      <c r="W49" s="235">
        <f t="shared" ca="1" si="14"/>
        <v>26171.314255470646</v>
      </c>
      <c r="X49" s="235">
        <f t="shared" ca="1" si="14"/>
        <v>27337.204682397187</v>
      </c>
      <c r="Y49" s="235">
        <f t="shared" ca="1" si="14"/>
        <v>9125.2921699518593</v>
      </c>
      <c r="Z49" s="425">
        <f ca="1">SUM(E49:Y49)</f>
        <v>327607.08764044032</v>
      </c>
      <c r="AB49" s="358">
        <f t="shared" si="3"/>
        <v>43</v>
      </c>
    </row>
    <row r="50" spans="1:28" s="89" customFormat="1">
      <c r="A50" s="406"/>
      <c r="B50" s="86" t="s">
        <v>1137</v>
      </c>
      <c r="C50" s="88"/>
      <c r="D50" s="86"/>
      <c r="E50" s="233">
        <f ca="1">-'Debt Amort'!E12</f>
        <v>0</v>
      </c>
      <c r="F50" s="233">
        <f ca="1">-'Debt Amort'!F12</f>
        <v>0</v>
      </c>
      <c r="G50" s="233">
        <f ca="1">-'Debt Amort'!G12</f>
        <v>-4298.9671464881521</v>
      </c>
      <c r="H50" s="233">
        <f ca="1">-'Debt Amort'!H12</f>
        <v>-10278.834132082155</v>
      </c>
      <c r="I50" s="233">
        <f ca="1">-'Debt Amort'!I12</f>
        <v>-10097.18311772179</v>
      </c>
      <c r="J50" s="233">
        <f ca="1">-'Debt Amort'!J12</f>
        <v>-9716.1718009101805</v>
      </c>
      <c r="K50" s="233">
        <f ca="1">-'Debt Amort'!K12</f>
        <v>-8941.2866575846747</v>
      </c>
      <c r="L50" s="233">
        <f ca="1">-'Debt Amort'!L12</f>
        <v>-7982.2263920456498</v>
      </c>
      <c r="M50" s="233">
        <f ca="1">-'Debt Amort'!M12</f>
        <v>-6883.6216529316207</v>
      </c>
      <c r="N50" s="233">
        <f ca="1">-'Debt Amort'!N12</f>
        <v>-5746.3262094991969</v>
      </c>
      <c r="O50" s="233">
        <f ca="1">-'Debt Amort'!O12</f>
        <v>-5020.6998600144798</v>
      </c>
      <c r="P50" s="233">
        <f ca="1">-'Debt Amort'!P12</f>
        <v>-4432.2965418456652</v>
      </c>
      <c r="Q50" s="233">
        <f ca="1">-'Debt Amort'!Q12</f>
        <v>-3843.8932236768501</v>
      </c>
      <c r="R50" s="233">
        <f ca="1">-'Debt Amort'!R12</f>
        <v>-3049.6553585341817</v>
      </c>
      <c r="S50" s="233">
        <f ca="1">-'Debt Amort'!S12</f>
        <v>-2186.805977733562</v>
      </c>
      <c r="T50" s="233">
        <f ca="1">-'Debt Amort'!T12</f>
        <v>-1323.9565969329419</v>
      </c>
      <c r="U50" s="233">
        <f ca="1">-'Debt Amort'!U12</f>
        <v>-403.0711596547298</v>
      </c>
      <c r="V50" s="233">
        <f ca="1">-'Debt Amort'!V12</f>
        <v>0</v>
      </c>
      <c r="W50" s="233">
        <f ca="1">-'Debt Amort'!W12</f>
        <v>0</v>
      </c>
      <c r="X50" s="233">
        <f ca="1">-'Debt Amort'!X12</f>
        <v>0</v>
      </c>
      <c r="Y50" s="233">
        <f ca="1">-'Debt Amort'!Y12</f>
        <v>0</v>
      </c>
      <c r="Z50" s="423">
        <f ca="1">SUM(E50:Y50)</f>
        <v>-84204.995827655803</v>
      </c>
      <c r="AB50" s="358">
        <f t="shared" si="3"/>
        <v>44</v>
      </c>
    </row>
    <row r="51" spans="1:28" s="89" customFormat="1">
      <c r="A51" s="406"/>
      <c r="B51" s="86" t="s">
        <v>1138</v>
      </c>
      <c r="C51" s="88"/>
      <c r="D51" s="86"/>
      <c r="E51" s="233">
        <f ca="1">-'Debt Amort'!E20</f>
        <v>0</v>
      </c>
      <c r="F51" s="233">
        <f ca="1">-'Debt Amort'!F20</f>
        <v>0</v>
      </c>
      <c r="G51" s="233">
        <f ca="1">-'Debt Amort'!G20</f>
        <v>-133.98867062672454</v>
      </c>
      <c r="H51" s="233">
        <f ca="1">-'Debt Amort'!H20</f>
        <v>-318.08515874682439</v>
      </c>
      <c r="I51" s="233">
        <f ca="1">-'Debt Amort'!I20</f>
        <v>-303.21303119621513</v>
      </c>
      <c r="J51" s="233">
        <f ca="1">-'Debt Amort'!J20</f>
        <v>-286.34469232512527</v>
      </c>
      <c r="K51" s="233">
        <f ca="1">-'Debt Amort'!K20</f>
        <v>-267.21220066906335</v>
      </c>
      <c r="L51" s="233">
        <f ca="1">-'Debt Amort'!L20</f>
        <v>-245.51165032046663</v>
      </c>
      <c r="M51" s="233">
        <f ca="1">-'Debt Amort'!M20</f>
        <v>-220.89834360132943</v>
      </c>
      <c r="N51" s="233">
        <f ca="1">-'Debt Amort'!N20</f>
        <v>-192.9813157878161</v>
      </c>
      <c r="O51" s="233">
        <f ca="1">-'Debt Amort'!O20</f>
        <v>-161.31712491603395</v>
      </c>
      <c r="P51" s="233">
        <f ca="1">-'Debt Amort'!P20</f>
        <v>-125.40280802448683</v>
      </c>
      <c r="Q51" s="233">
        <f ca="1">-'Debt Amort'!Q20</f>
        <v>-84.667891948171842</v>
      </c>
      <c r="R51" s="233">
        <f ca="1">-'Debt Amort'!R20</f>
        <v>-38.465331761513497</v>
      </c>
      <c r="S51" s="233">
        <f ca="1">-'Debt Amort'!S20</f>
        <v>0</v>
      </c>
      <c r="T51" s="233">
        <f ca="1">-'Debt Amort'!T20</f>
        <v>0</v>
      </c>
      <c r="U51" s="233">
        <f ca="1">-'Debt Amort'!U20</f>
        <v>0</v>
      </c>
      <c r="V51" s="233">
        <f ca="1">-'Debt Amort'!V20</f>
        <v>0</v>
      </c>
      <c r="W51" s="233">
        <f ca="1">-'Debt Amort'!W20</f>
        <v>0</v>
      </c>
      <c r="X51" s="233">
        <f ca="1">-'Debt Amort'!X20</f>
        <v>0</v>
      </c>
      <c r="Y51" s="233">
        <f ca="1">-'Debt Amort'!Y20</f>
        <v>0</v>
      </c>
      <c r="Z51" s="423">
        <f ca="1">SUM(E51:Y51)</f>
        <v>-2378.0882199237717</v>
      </c>
      <c r="AB51" s="358">
        <f>AB50+1</f>
        <v>45</v>
      </c>
    </row>
    <row r="52" spans="1:28" s="89" customFormat="1">
      <c r="A52" s="406"/>
      <c r="B52" s="86" t="s">
        <v>311</v>
      </c>
      <c r="C52" s="88"/>
      <c r="D52" s="86"/>
      <c r="E52" s="234">
        <f ca="1">-HLOOKUP(DATE(E$7,12,31),Idc_Table,IDC!$AP$57)-SUM($D52:D52)</f>
        <v>0</v>
      </c>
      <c r="F52" s="234">
        <f ca="1">-HLOOKUP(DATE(F$7,12,31),Idc_Table,IDC!$AP$57)-SUM($D52:E52)</f>
        <v>0</v>
      </c>
      <c r="G52" s="234">
        <f ca="1">-HLOOKUP(DATE(G$7,12,31),Idc_Table,IDC!$AP$57)-SUM($D52:F52)</f>
        <v>0</v>
      </c>
      <c r="H52" s="234">
        <f ca="1">-HLOOKUP(DATE(H$7,12,31),Idc_Table,IDC!$AP$57)-SUM($D52:G52)</f>
        <v>0</v>
      </c>
      <c r="I52" s="234">
        <f ca="1">-HLOOKUP(DATE(I$7,12,31),Idc_Table,IDC!$AP$57)-SUM($D52:H52)</f>
        <v>0</v>
      </c>
      <c r="J52" s="234">
        <f ca="1">-HLOOKUP(DATE(J$7,12,31),Idc_Table,IDC!$AP$57)-SUM($D52:I52)</f>
        <v>0</v>
      </c>
      <c r="K52" s="234">
        <f ca="1">-HLOOKUP(DATE(K$7,12,31),Idc_Table,IDC!$AP$57)-SUM($D52:J52)</f>
        <v>0</v>
      </c>
      <c r="L52" s="234">
        <f ca="1">-HLOOKUP(DATE(L$7,12,31),Idc_Table,IDC!$AP$57)-SUM($D52:K52)</f>
        <v>0</v>
      </c>
      <c r="M52" s="234">
        <f ca="1">-HLOOKUP(DATE(M$7,12,31),Idc_Table,IDC!$AP$57)-SUM($D52:L52)</f>
        <v>0</v>
      </c>
      <c r="N52" s="234">
        <f ca="1">-HLOOKUP(DATE(N$7,12,31),Idc_Table,IDC!$AP$57)-SUM($D52:M52)</f>
        <v>0</v>
      </c>
      <c r="O52" s="234">
        <f ca="1">-HLOOKUP(DATE(O$7,12,31),Idc_Table,IDC!$AP$57)-SUM($D52:N52)</f>
        <v>0</v>
      </c>
      <c r="P52" s="234">
        <f ca="1">-HLOOKUP(DATE(P$7,12,31),Idc_Table,IDC!$AP$57)-SUM($D52:O52)</f>
        <v>0</v>
      </c>
      <c r="Q52" s="234">
        <f ca="1">-HLOOKUP(DATE(Q$7,12,31),Idc_Table,IDC!$AP$57)-SUM($D52:P52)</f>
        <v>0</v>
      </c>
      <c r="R52" s="234">
        <f ca="1">-HLOOKUP(DATE(R$7,12,31),Idc_Table,IDC!$AP$57)-SUM($D52:Q52)</f>
        <v>0</v>
      </c>
      <c r="S52" s="234">
        <f ca="1">-HLOOKUP(DATE(S$7,12,31),Idc_Table,IDC!$AP$57)-SUM($D52:R52)</f>
        <v>0</v>
      </c>
      <c r="T52" s="234">
        <f ca="1">-HLOOKUP(DATE(T$7,12,31),Idc_Table,IDC!$AP$57)-SUM($D52:S52)</f>
        <v>0</v>
      </c>
      <c r="U52" s="234">
        <f ca="1">-HLOOKUP(DATE(U$7,12,31),Idc_Table,IDC!$AP$57)-SUM($D52:T52)</f>
        <v>0</v>
      </c>
      <c r="V52" s="234">
        <f ca="1">-HLOOKUP(DATE(V$7,12,31),Idc_Table,IDC!$AP$57)-SUM($D52:U52)</f>
        <v>0</v>
      </c>
      <c r="W52" s="234">
        <f ca="1">-HLOOKUP(DATE(W$7,12,31),Idc_Table,IDC!$AP$57)-SUM($D52:V52)</f>
        <v>0</v>
      </c>
      <c r="X52" s="234">
        <f ca="1">-HLOOKUP(DATE(X$7,12,31),Idc_Table,IDC!$AP$57)-SUM($D52:W52)</f>
        <v>0</v>
      </c>
      <c r="Y52" s="234">
        <f ca="1">-HLOOKUP(DATE(Y$7,12,31),Idc_Table,IDC!$AP$57)-SUM($D52:X52)</f>
        <v>0</v>
      </c>
      <c r="Z52" s="424">
        <f ca="1">SUM(E52:Y52)</f>
        <v>0</v>
      </c>
      <c r="AB52" s="358">
        <f t="shared" si="3"/>
        <v>46</v>
      </c>
    </row>
    <row r="53" spans="1:28" s="89" customFormat="1">
      <c r="A53" s="406"/>
      <c r="B53" s="86"/>
      <c r="C53" s="88"/>
      <c r="D53" s="86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423"/>
      <c r="AB53" s="358">
        <f t="shared" si="3"/>
        <v>47</v>
      </c>
    </row>
    <row r="54" spans="1:28" s="87" customFormat="1">
      <c r="A54" s="407" t="s">
        <v>157</v>
      </c>
      <c r="B54" s="88"/>
      <c r="C54" s="86"/>
      <c r="D54" s="88"/>
      <c r="E54" s="235">
        <f ca="1">SUM(E49:E52)</f>
        <v>0</v>
      </c>
      <c r="F54" s="235">
        <f t="shared" ref="F54:Y54" ca="1" si="15">SUM(F49:F52)</f>
        <v>-13.275999937924599</v>
      </c>
      <c r="G54" s="235">
        <f t="shared" ca="1" si="15"/>
        <v>-1837.5089814171436</v>
      </c>
      <c r="H54" s="235">
        <f t="shared" ca="1" si="15"/>
        <v>-3586.4806004974644</v>
      </c>
      <c r="I54" s="235">
        <f t="shared" ca="1" si="15"/>
        <v>-4045.2545041057861</v>
      </c>
      <c r="J54" s="235">
        <f t="shared" ca="1" si="15"/>
        <v>1886.4154049585682</v>
      </c>
      <c r="K54" s="235">
        <f t="shared" ca="1" si="15"/>
        <v>2960.6166348564902</v>
      </c>
      <c r="L54" s="235">
        <f t="shared" ca="1" si="15"/>
        <v>7998.9117882586324</v>
      </c>
      <c r="M54" s="235">
        <f t="shared" ca="1" si="15"/>
        <v>10029.688315737463</v>
      </c>
      <c r="N54" s="235">
        <f t="shared" ca="1" si="15"/>
        <v>11335.681212341873</v>
      </c>
      <c r="O54" s="235">
        <f t="shared" ca="1" si="15"/>
        <v>13437.637075270726</v>
      </c>
      <c r="P54" s="235">
        <f t="shared" ca="1" si="15"/>
        <v>14828.956916930285</v>
      </c>
      <c r="Q54" s="235">
        <f t="shared" ca="1" si="15"/>
        <v>16540.398064270717</v>
      </c>
      <c r="R54" s="235">
        <f t="shared" ca="1" si="15"/>
        <v>19240.239443534898</v>
      </c>
      <c r="S54" s="235">
        <f t="shared" ca="1" si="15"/>
        <v>18612.925576187834</v>
      </c>
      <c r="T54" s="235">
        <f t="shared" ca="1" si="15"/>
        <v>22060.661865620361</v>
      </c>
      <c r="U54" s="235">
        <f t="shared" ca="1" si="15"/>
        <v>23844.996748127647</v>
      </c>
      <c r="V54" s="235">
        <f t="shared" ca="1" si="15"/>
        <v>25095.583524903894</v>
      </c>
      <c r="W54" s="235">
        <f t="shared" ca="1" si="15"/>
        <v>26171.314255470646</v>
      </c>
      <c r="X54" s="235">
        <f t="shared" ca="1" si="15"/>
        <v>27337.204682397187</v>
      </c>
      <c r="Y54" s="235">
        <f t="shared" ca="1" si="15"/>
        <v>9125.2921699518593</v>
      </c>
      <c r="Z54" s="425">
        <f ca="1">SUM(E54:Y54)</f>
        <v>241024.00359286077</v>
      </c>
      <c r="AB54" s="358">
        <f t="shared" si="3"/>
        <v>48</v>
      </c>
    </row>
    <row r="55" spans="1:28" s="88" customFormat="1">
      <c r="A55" s="406"/>
      <c r="B55" s="86" t="s">
        <v>312</v>
      </c>
      <c r="C55" s="86"/>
      <c r="D55" s="86"/>
      <c r="E55" s="234">
        <f ca="1">-Taxes!D54</f>
        <v>0</v>
      </c>
      <c r="F55" s="234">
        <f ca="1">-Taxes!E54</f>
        <v>0</v>
      </c>
      <c r="G55" s="234">
        <f ca="1">-Taxes!F54</f>
        <v>0</v>
      </c>
      <c r="H55" s="234">
        <f ca="1">-Taxes!G54</f>
        <v>0</v>
      </c>
      <c r="I55" s="234">
        <f ca="1">-Taxes!H54</f>
        <v>0</v>
      </c>
      <c r="J55" s="234">
        <f ca="1">-Taxes!I54</f>
        <v>0</v>
      </c>
      <c r="K55" s="234">
        <f ca="1">-Taxes!J54</f>
        <v>0</v>
      </c>
      <c r="L55" s="234">
        <f ca="1">-Taxes!K54</f>
        <v>-840.85593552884325</v>
      </c>
      <c r="M55" s="234">
        <f ca="1">-Taxes!L54</f>
        <v>-2507.4220789343658</v>
      </c>
      <c r="N55" s="234">
        <f ca="1">-Taxes!M54</f>
        <v>-2833.9203030854683</v>
      </c>
      <c r="O55" s="234">
        <f ca="1">-Taxes!N54</f>
        <v>-3359.4092688176815</v>
      </c>
      <c r="P55" s="234">
        <f ca="1">-Taxes!O54</f>
        <v>-3707.2392292325712</v>
      </c>
      <c r="Q55" s="234">
        <f ca="1">-Taxes!P54</f>
        <v>-4135.0995160676794</v>
      </c>
      <c r="R55" s="234">
        <f ca="1">-Taxes!Q54</f>
        <v>-4810.0598608837245</v>
      </c>
      <c r="S55" s="234">
        <f ca="1">-Taxes!R54</f>
        <v>-4653.2313940469585</v>
      </c>
      <c r="T55" s="234">
        <f ca="1">-Taxes!S54</f>
        <v>-5515.1654664050902</v>
      </c>
      <c r="U55" s="234">
        <f ca="1">-Taxes!T54</f>
        <v>-5961.2491870319118</v>
      </c>
      <c r="V55" s="234">
        <f ca="1">-Taxes!U54</f>
        <v>-6273.8958812259734</v>
      </c>
      <c r="W55" s="234">
        <f ca="1">-Taxes!V54</f>
        <v>-6542.8285638676616</v>
      </c>
      <c r="X55" s="234">
        <f ca="1">-Taxes!W54</f>
        <v>-6834.3011705992967</v>
      </c>
      <c r="Y55" s="234">
        <f ca="1">-Taxes!X54</f>
        <v>-2281.3230424879648</v>
      </c>
      <c r="Z55" s="424">
        <f ca="1">SUM(E55:Y55)</f>
        <v>-60256.000898215192</v>
      </c>
      <c r="AB55" s="358">
        <f t="shared" si="3"/>
        <v>49</v>
      </c>
    </row>
    <row r="56" spans="1:28" s="89" customFormat="1">
      <c r="A56" s="406"/>
      <c r="B56" s="86"/>
      <c r="C56" s="86"/>
      <c r="D56" s="86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423"/>
      <c r="AB56" s="358">
        <f t="shared" si="3"/>
        <v>50</v>
      </c>
    </row>
    <row r="57" spans="1:28" s="86" customFormat="1">
      <c r="A57" s="430" t="s">
        <v>158</v>
      </c>
      <c r="B57" s="431"/>
      <c r="C57" s="431"/>
      <c r="D57" s="431"/>
      <c r="E57" s="432">
        <f ca="1">SUM(E54:E55)</f>
        <v>0</v>
      </c>
      <c r="F57" s="432">
        <f t="shared" ref="F57:Y57" ca="1" si="16">SUM(F54:F55)</f>
        <v>-13.275999937924599</v>
      </c>
      <c r="G57" s="432">
        <f t="shared" ca="1" si="16"/>
        <v>-1837.5089814171436</v>
      </c>
      <c r="H57" s="432">
        <f t="shared" ca="1" si="16"/>
        <v>-3586.4806004974644</v>
      </c>
      <c r="I57" s="432">
        <f t="shared" ca="1" si="16"/>
        <v>-4045.2545041057861</v>
      </c>
      <c r="J57" s="432">
        <f t="shared" ca="1" si="16"/>
        <v>1886.4154049585682</v>
      </c>
      <c r="K57" s="432">
        <f t="shared" ca="1" si="16"/>
        <v>2960.6166348564902</v>
      </c>
      <c r="L57" s="432">
        <f t="shared" ca="1" si="16"/>
        <v>7158.055852729789</v>
      </c>
      <c r="M57" s="432">
        <f t="shared" ca="1" si="16"/>
        <v>7522.2662368030979</v>
      </c>
      <c r="N57" s="432">
        <f t="shared" ca="1" si="16"/>
        <v>8501.7609092564053</v>
      </c>
      <c r="O57" s="432">
        <f t="shared" ca="1" si="16"/>
        <v>10078.227806453044</v>
      </c>
      <c r="P57" s="432">
        <f t="shared" ca="1" si="16"/>
        <v>11121.717687697714</v>
      </c>
      <c r="Q57" s="432">
        <f t="shared" ca="1" si="16"/>
        <v>12405.298548203038</v>
      </c>
      <c r="R57" s="432">
        <f t="shared" ca="1" si="16"/>
        <v>14430.179582651173</v>
      </c>
      <c r="S57" s="432">
        <f t="shared" ca="1" si="16"/>
        <v>13959.694182140876</v>
      </c>
      <c r="T57" s="432">
        <f t="shared" ca="1" si="16"/>
        <v>16545.49639921527</v>
      </c>
      <c r="U57" s="432">
        <f t="shared" ca="1" si="16"/>
        <v>17883.747561095734</v>
      </c>
      <c r="V57" s="432">
        <f t="shared" ca="1" si="16"/>
        <v>18821.68764367792</v>
      </c>
      <c r="W57" s="432">
        <f t="shared" ca="1" si="16"/>
        <v>19628.485691602986</v>
      </c>
      <c r="X57" s="432">
        <f t="shared" ca="1" si="16"/>
        <v>20502.903511797889</v>
      </c>
      <c r="Y57" s="432">
        <f t="shared" ca="1" si="16"/>
        <v>6843.9691274638944</v>
      </c>
      <c r="Z57" s="433">
        <f ca="1">SUM(E57:Y57)</f>
        <v>180768.00269464558</v>
      </c>
      <c r="AB57" s="358">
        <f t="shared" si="3"/>
        <v>51</v>
      </c>
    </row>
    <row r="58" spans="1:28" s="86" customFormat="1">
      <c r="A58" s="408"/>
      <c r="B58" s="230"/>
      <c r="C58" s="230"/>
      <c r="D58" s="330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426"/>
      <c r="AB58" s="358">
        <f t="shared" si="3"/>
        <v>52</v>
      </c>
    </row>
    <row r="59" spans="1:28" s="88" customFormat="1">
      <c r="A59" s="409"/>
      <c r="B59" s="229" t="s">
        <v>314</v>
      </c>
      <c r="C59" s="86"/>
      <c r="D59" s="86"/>
      <c r="E59" s="233">
        <f t="shared" ref="E59:Y59" ca="1" si="17">-E47</f>
        <v>0</v>
      </c>
      <c r="F59" s="233">
        <f t="shared" ca="1" si="17"/>
        <v>0</v>
      </c>
      <c r="G59" s="233">
        <f t="shared" ca="1" si="17"/>
        <v>6008.749462358709</v>
      </c>
      <c r="H59" s="233">
        <f t="shared" ca="1" si="17"/>
        <v>7210.499354830451</v>
      </c>
      <c r="I59" s="233">
        <f t="shared" ca="1" si="17"/>
        <v>7210.499354830451</v>
      </c>
      <c r="J59" s="233">
        <f t="shared" ca="1" si="17"/>
        <v>7210.499354830451</v>
      </c>
      <c r="K59" s="233">
        <f t="shared" ca="1" si="17"/>
        <v>7210.499354830451</v>
      </c>
      <c r="L59" s="233">
        <f t="shared" ca="1" si="17"/>
        <v>7210.499354830451</v>
      </c>
      <c r="M59" s="233">
        <f t="shared" ca="1" si="17"/>
        <v>7210.499354830451</v>
      </c>
      <c r="N59" s="233">
        <f t="shared" ca="1" si="17"/>
        <v>7210.499354830451</v>
      </c>
      <c r="O59" s="233">
        <f t="shared" ca="1" si="17"/>
        <v>7210.499354830451</v>
      </c>
      <c r="P59" s="233">
        <f t="shared" ca="1" si="17"/>
        <v>7210.499354830451</v>
      </c>
      <c r="Q59" s="233">
        <f t="shared" ca="1" si="17"/>
        <v>7210.499354830451</v>
      </c>
      <c r="R59" s="233">
        <f t="shared" ca="1" si="17"/>
        <v>7210.499354830451</v>
      </c>
      <c r="S59" s="233">
        <f t="shared" ca="1" si="17"/>
        <v>7210.499354830451</v>
      </c>
      <c r="T59" s="233">
        <f t="shared" ca="1" si="17"/>
        <v>7210.499354830451</v>
      </c>
      <c r="U59" s="233">
        <f t="shared" ca="1" si="17"/>
        <v>7210.499354830451</v>
      </c>
      <c r="V59" s="233">
        <f t="shared" ca="1" si="17"/>
        <v>7210.499354830451</v>
      </c>
      <c r="W59" s="233">
        <f t="shared" ca="1" si="17"/>
        <v>7210.499354830451</v>
      </c>
      <c r="X59" s="233">
        <f t="shared" ca="1" si="17"/>
        <v>7210.499354830451</v>
      </c>
      <c r="Y59" s="233">
        <f t="shared" ca="1" si="17"/>
        <v>2403.4997849434835</v>
      </c>
      <c r="Z59" s="423">
        <f t="shared" ref="Z59:Z65" ca="1" si="18">SUM(E59:Y59)</f>
        <v>130990.73827941983</v>
      </c>
      <c r="AB59" s="358">
        <f t="shared" si="3"/>
        <v>53</v>
      </c>
    </row>
    <row r="60" spans="1:28" s="87" customFormat="1">
      <c r="A60" s="409"/>
      <c r="B60" s="229" t="s">
        <v>716</v>
      </c>
      <c r="C60" s="90"/>
      <c r="D60" s="80"/>
      <c r="E60" s="233">
        <f ca="1">Trapped!F87</f>
        <v>0</v>
      </c>
      <c r="F60" s="233">
        <f ca="1">Trapped!G87</f>
        <v>0</v>
      </c>
      <c r="G60" s="233">
        <f ca="1">Trapped!H87</f>
        <v>1819.6446623618206</v>
      </c>
      <c r="H60" s="233">
        <f ca="1">Trapped!I87</f>
        <v>3064.6134987632913</v>
      </c>
      <c r="I60" s="233">
        <f ca="1">Trapped!J87</f>
        <v>3158.6749065264171</v>
      </c>
      <c r="J60" s="233">
        <f ca="1">Trapped!K87</f>
        <v>3260.590194718211</v>
      </c>
      <c r="K60" s="233">
        <f ca="1">Trapped!L87</f>
        <v>215.50004810832476</v>
      </c>
      <c r="L60" s="233">
        <f ca="1">Trapped!M87</f>
        <v>0</v>
      </c>
      <c r="M60" s="233">
        <f ca="1">Trapped!N87</f>
        <v>0</v>
      </c>
      <c r="N60" s="233">
        <f ca="1">Trapped!O87</f>
        <v>0</v>
      </c>
      <c r="O60" s="233">
        <f ca="1">Trapped!P87</f>
        <v>0</v>
      </c>
      <c r="P60" s="233">
        <f ca="1">Trapped!Q87</f>
        <v>0</v>
      </c>
      <c r="Q60" s="233">
        <f ca="1">Trapped!R87</f>
        <v>0</v>
      </c>
      <c r="R60" s="233">
        <f ca="1">Trapped!S87</f>
        <v>0</v>
      </c>
      <c r="S60" s="233">
        <f ca="1">Trapped!T87</f>
        <v>0</v>
      </c>
      <c r="T60" s="233">
        <f ca="1">Trapped!U87</f>
        <v>0</v>
      </c>
      <c r="U60" s="233">
        <f ca="1">Trapped!V87</f>
        <v>0</v>
      </c>
      <c r="V60" s="233">
        <f ca="1">Trapped!W87</f>
        <v>0</v>
      </c>
      <c r="W60" s="233">
        <f ca="1">Trapped!X87</f>
        <v>0</v>
      </c>
      <c r="X60" s="233">
        <f ca="1">Trapped!Y87</f>
        <v>0</v>
      </c>
      <c r="Y60" s="233">
        <f ca="1">Trapped!Z87</f>
        <v>0</v>
      </c>
      <c r="Z60" s="423">
        <f t="shared" ca="1" si="18"/>
        <v>11519.023310478065</v>
      </c>
      <c r="AB60" s="358">
        <f t="shared" si="3"/>
        <v>54</v>
      </c>
    </row>
    <row r="61" spans="1:28" s="87" customFormat="1">
      <c r="A61" s="409"/>
      <c r="B61" s="229" t="s">
        <v>711</v>
      </c>
      <c r="C61" s="90"/>
      <c r="D61" s="80"/>
      <c r="E61" s="233">
        <f t="shared" ref="E61:Y61" ca="1" si="19">-E38</f>
        <v>0</v>
      </c>
      <c r="F61" s="233">
        <f t="shared" ca="1" si="19"/>
        <v>0</v>
      </c>
      <c r="G61" s="233">
        <f t="shared" ca="1" si="19"/>
        <v>37.13560535432287</v>
      </c>
      <c r="H61" s="233">
        <f t="shared" ca="1" si="19"/>
        <v>62.543132627822274</v>
      </c>
      <c r="I61" s="233">
        <f t="shared" ca="1" si="19"/>
        <v>64.462753194416678</v>
      </c>
      <c r="J61" s="233">
        <f t="shared" ca="1" si="19"/>
        <v>66.542657035065531</v>
      </c>
      <c r="K61" s="233">
        <f t="shared" ca="1" si="19"/>
        <v>4.3979601654760154</v>
      </c>
      <c r="L61" s="233">
        <f t="shared" ca="1" si="19"/>
        <v>0</v>
      </c>
      <c r="M61" s="233">
        <f t="shared" ca="1" si="19"/>
        <v>0</v>
      </c>
      <c r="N61" s="233">
        <f t="shared" ca="1" si="19"/>
        <v>0</v>
      </c>
      <c r="O61" s="233">
        <f t="shared" ca="1" si="19"/>
        <v>0</v>
      </c>
      <c r="P61" s="233">
        <f t="shared" ca="1" si="19"/>
        <v>0</v>
      </c>
      <c r="Q61" s="233">
        <f t="shared" ca="1" si="19"/>
        <v>0</v>
      </c>
      <c r="R61" s="233">
        <f t="shared" ca="1" si="19"/>
        <v>0</v>
      </c>
      <c r="S61" s="233">
        <f t="shared" ca="1" si="19"/>
        <v>0</v>
      </c>
      <c r="T61" s="233">
        <f t="shared" ca="1" si="19"/>
        <v>0</v>
      </c>
      <c r="U61" s="233">
        <f t="shared" ca="1" si="19"/>
        <v>0</v>
      </c>
      <c r="V61" s="233">
        <f t="shared" ca="1" si="19"/>
        <v>0</v>
      </c>
      <c r="W61" s="233">
        <f t="shared" ca="1" si="19"/>
        <v>0</v>
      </c>
      <c r="X61" s="233">
        <f t="shared" ca="1" si="19"/>
        <v>0</v>
      </c>
      <c r="Y61" s="233">
        <f t="shared" ca="1" si="19"/>
        <v>0</v>
      </c>
      <c r="Z61" s="423">
        <f t="shared" ca="1" si="18"/>
        <v>235.08210837710337</v>
      </c>
      <c r="AB61" s="358">
        <f t="shared" si="3"/>
        <v>55</v>
      </c>
    </row>
    <row r="62" spans="1:28" s="87" customFormat="1">
      <c r="A62" s="409"/>
      <c r="B62" s="229" t="s">
        <v>315</v>
      </c>
      <c r="C62" s="90"/>
      <c r="D62" s="80"/>
      <c r="E62" s="233">
        <f t="shared" ref="E62:Y62" ca="1" si="20">-E52</f>
        <v>0</v>
      </c>
      <c r="F62" s="233">
        <f t="shared" ca="1" si="20"/>
        <v>0</v>
      </c>
      <c r="G62" s="233">
        <f t="shared" ca="1" si="20"/>
        <v>0</v>
      </c>
      <c r="H62" s="233">
        <f t="shared" ca="1" si="20"/>
        <v>0</v>
      </c>
      <c r="I62" s="233">
        <f t="shared" ca="1" si="20"/>
        <v>0</v>
      </c>
      <c r="J62" s="233">
        <f t="shared" ca="1" si="20"/>
        <v>0</v>
      </c>
      <c r="K62" s="233">
        <f t="shared" ca="1" si="20"/>
        <v>0</v>
      </c>
      <c r="L62" s="233">
        <f t="shared" ca="1" si="20"/>
        <v>0</v>
      </c>
      <c r="M62" s="233">
        <f t="shared" ca="1" si="20"/>
        <v>0</v>
      </c>
      <c r="N62" s="233">
        <f t="shared" ca="1" si="20"/>
        <v>0</v>
      </c>
      <c r="O62" s="233">
        <f t="shared" ca="1" si="20"/>
        <v>0</v>
      </c>
      <c r="P62" s="233">
        <f t="shared" ca="1" si="20"/>
        <v>0</v>
      </c>
      <c r="Q62" s="233">
        <f t="shared" ca="1" si="20"/>
        <v>0</v>
      </c>
      <c r="R62" s="233">
        <f t="shared" ca="1" si="20"/>
        <v>0</v>
      </c>
      <c r="S62" s="233">
        <f t="shared" ca="1" si="20"/>
        <v>0</v>
      </c>
      <c r="T62" s="233">
        <f t="shared" ca="1" si="20"/>
        <v>0</v>
      </c>
      <c r="U62" s="233">
        <f t="shared" ca="1" si="20"/>
        <v>0</v>
      </c>
      <c r="V62" s="233">
        <f t="shared" ca="1" si="20"/>
        <v>0</v>
      </c>
      <c r="W62" s="233">
        <f t="shared" ca="1" si="20"/>
        <v>0</v>
      </c>
      <c r="X62" s="233">
        <f t="shared" ca="1" si="20"/>
        <v>0</v>
      </c>
      <c r="Y62" s="233">
        <f t="shared" ca="1" si="20"/>
        <v>0</v>
      </c>
      <c r="Z62" s="423">
        <f t="shared" ca="1" si="18"/>
        <v>0</v>
      </c>
      <c r="AB62" s="358">
        <f t="shared" si="3"/>
        <v>56</v>
      </c>
    </row>
    <row r="63" spans="1:28" s="87" customFormat="1">
      <c r="A63" s="409"/>
      <c r="B63" s="229" t="s">
        <v>316</v>
      </c>
      <c r="C63" s="86"/>
      <c r="D63" s="86"/>
      <c r="E63" s="233">
        <f t="shared" ref="E63:Y63" ca="1" si="21">-E55</f>
        <v>0</v>
      </c>
      <c r="F63" s="233">
        <f t="shared" ca="1" si="21"/>
        <v>0</v>
      </c>
      <c r="G63" s="233">
        <f t="shared" ca="1" si="21"/>
        <v>0</v>
      </c>
      <c r="H63" s="233">
        <f t="shared" ca="1" si="21"/>
        <v>0</v>
      </c>
      <c r="I63" s="233">
        <f t="shared" ca="1" si="21"/>
        <v>0</v>
      </c>
      <c r="J63" s="233">
        <f t="shared" ca="1" si="21"/>
        <v>0</v>
      </c>
      <c r="K63" s="233">
        <f t="shared" ca="1" si="21"/>
        <v>0</v>
      </c>
      <c r="L63" s="233">
        <f t="shared" ca="1" si="21"/>
        <v>840.85593552884325</v>
      </c>
      <c r="M63" s="233">
        <f t="shared" ca="1" si="21"/>
        <v>2507.4220789343658</v>
      </c>
      <c r="N63" s="233">
        <f t="shared" ca="1" si="21"/>
        <v>2833.9203030854683</v>
      </c>
      <c r="O63" s="233">
        <f t="shared" ca="1" si="21"/>
        <v>3359.4092688176815</v>
      </c>
      <c r="P63" s="233">
        <f t="shared" ca="1" si="21"/>
        <v>3707.2392292325712</v>
      </c>
      <c r="Q63" s="233">
        <f t="shared" ca="1" si="21"/>
        <v>4135.0995160676794</v>
      </c>
      <c r="R63" s="233">
        <f t="shared" ca="1" si="21"/>
        <v>4810.0598608837245</v>
      </c>
      <c r="S63" s="233">
        <f t="shared" ca="1" si="21"/>
        <v>4653.2313940469585</v>
      </c>
      <c r="T63" s="233">
        <f t="shared" ca="1" si="21"/>
        <v>5515.1654664050902</v>
      </c>
      <c r="U63" s="233">
        <f t="shared" ca="1" si="21"/>
        <v>5961.2491870319118</v>
      </c>
      <c r="V63" s="233">
        <f t="shared" ca="1" si="21"/>
        <v>6273.8958812259734</v>
      </c>
      <c r="W63" s="233">
        <f t="shared" ca="1" si="21"/>
        <v>6542.8285638676616</v>
      </c>
      <c r="X63" s="233">
        <f t="shared" ca="1" si="21"/>
        <v>6834.3011705992967</v>
      </c>
      <c r="Y63" s="233">
        <f t="shared" ca="1" si="21"/>
        <v>2281.3230424879648</v>
      </c>
      <c r="Z63" s="423">
        <f t="shared" ca="1" si="18"/>
        <v>60256.000898215192</v>
      </c>
      <c r="AB63" s="358">
        <f t="shared" si="3"/>
        <v>57</v>
      </c>
    </row>
    <row r="64" spans="1:28" s="87" customFormat="1">
      <c r="A64" s="409"/>
      <c r="B64" s="229" t="s">
        <v>313</v>
      </c>
      <c r="C64" s="86"/>
      <c r="D64" s="86"/>
      <c r="E64" s="237">
        <f ca="1">-Taxes!D22</f>
        <v>0</v>
      </c>
      <c r="F64" s="237">
        <f ca="1">-Taxes!E22</f>
        <v>0</v>
      </c>
      <c r="G64" s="237">
        <f ca="1">-Taxes!F22</f>
        <v>0</v>
      </c>
      <c r="H64" s="237">
        <f ca="1">-Taxes!G22</f>
        <v>0</v>
      </c>
      <c r="I64" s="237">
        <f ca="1">-Taxes!H22</f>
        <v>0</v>
      </c>
      <c r="J64" s="237">
        <f ca="1">-Taxes!I22</f>
        <v>0</v>
      </c>
      <c r="K64" s="237">
        <f ca="1">-Taxes!J22</f>
        <v>0</v>
      </c>
      <c r="L64" s="237">
        <f ca="1">-Taxes!K22</f>
        <v>0</v>
      </c>
      <c r="M64" s="237">
        <f ca="1">-Taxes!L22</f>
        <v>0</v>
      </c>
      <c r="N64" s="237">
        <f ca="1">-Taxes!M22</f>
        <v>0</v>
      </c>
      <c r="O64" s="237">
        <f ca="1">-Taxes!N22</f>
        <v>0</v>
      </c>
      <c r="P64" s="237">
        <f ca="1">-Taxes!O22</f>
        <v>0</v>
      </c>
      <c r="Q64" s="237">
        <f ca="1">-Taxes!P22</f>
        <v>-1444.7910322207226</v>
      </c>
      <c r="R64" s="237">
        <f ca="1">-Taxes!Q22</f>
        <v>-6622.3010325317155</v>
      </c>
      <c r="S64" s="237">
        <f ca="1">-Taxes!R22</f>
        <v>-6455.8562327545715</v>
      </c>
      <c r="T64" s="237">
        <f ca="1">-Taxes!S22</f>
        <v>-7317.7903051127032</v>
      </c>
      <c r="U64" s="237">
        <f ca="1">-Taxes!T22</f>
        <v>-7763.8740257395248</v>
      </c>
      <c r="V64" s="237">
        <f ca="1">-Taxes!U22</f>
        <v>-8076.5207199335864</v>
      </c>
      <c r="W64" s="237">
        <f ca="1">-Taxes!V22</f>
        <v>-8345.4534025752746</v>
      </c>
      <c r="X64" s="237">
        <f ca="1">-Taxes!W22</f>
        <v>-8636.9260093069097</v>
      </c>
      <c r="Y64" s="237">
        <f ca="1">-Taxes!X22</f>
        <v>-2882.1979887238358</v>
      </c>
      <c r="Z64" s="423">
        <f t="shared" ca="1" si="18"/>
        <v>-57545.71074889884</v>
      </c>
      <c r="AB64" s="358">
        <f t="shared" si="3"/>
        <v>58</v>
      </c>
    </row>
    <row r="65" spans="1:28" s="86" customFormat="1">
      <c r="A65" s="409"/>
      <c r="B65" s="229" t="s">
        <v>1140</v>
      </c>
      <c r="E65" s="237">
        <f ca="1">-'Debt Amort'!E13</f>
        <v>0</v>
      </c>
      <c r="F65" s="237">
        <f ca="1">-'Debt Amort'!F13</f>
        <v>0</v>
      </c>
      <c r="G65" s="237">
        <f ca="1">-'Debt Amort'!G13</f>
        <v>0</v>
      </c>
      <c r="H65" s="237">
        <f ca="1">-'Debt Amort'!H13</f>
        <v>-1405.5229605598795</v>
      </c>
      <c r="I65" s="237">
        <f ca="1">-'Debt Amort'!I13</f>
        <v>-2382.923011521651</v>
      </c>
      <c r="J65" s="237">
        <f ca="1">-'Debt Amort'!J13</f>
        <v>-6693.6039649484646</v>
      </c>
      <c r="K65" s="237">
        <f ca="1">-'Debt Amort'!K13</f>
        <v>-8497.6194815549406</v>
      </c>
      <c r="L65" s="237">
        <f ca="1">-'Debt Amort'!L13</f>
        <v>-9626.8304704417478</v>
      </c>
      <c r="M65" s="237">
        <f ca="1">-'Debt Amort'!M13</f>
        <v>-10329.658886761337</v>
      </c>
      <c r="N65" s="237">
        <f ca="1">-'Debt Amort'!N13</f>
        <v>-7836.9607702145286</v>
      </c>
      <c r="O65" s="237">
        <f ca="1">-'Debt Amort'!O13</f>
        <v>-5344.2626536677199</v>
      </c>
      <c r="P65" s="237">
        <f ca="1">-'Debt Amort'!P13</f>
        <v>-5344.2626536677199</v>
      </c>
      <c r="Q65" s="237">
        <f ca="1">-'Debt Amort'!Q13</f>
        <v>-6590.6117119411247</v>
      </c>
      <c r="R65" s="237">
        <f ca="1">-'Debt Amort'!R13</f>
        <v>-7836.9607702145304</v>
      </c>
      <c r="S65" s="237">
        <f ca="1">-'Debt Amort'!S13</f>
        <v>-7836.9607702145304</v>
      </c>
      <c r="T65" s="237">
        <f ca="1">-'Debt Amort'!T13</f>
        <v>-8118.0921367423653</v>
      </c>
      <c r="U65" s="237">
        <f ca="1">-'Debt Amort'!U13</f>
        <v>-5866.185266827998</v>
      </c>
      <c r="V65" s="237">
        <f ca="1">-'Debt Amort'!V13</f>
        <v>0</v>
      </c>
      <c r="W65" s="237">
        <f ca="1">-'Debt Amort'!W13</f>
        <v>0</v>
      </c>
      <c r="X65" s="237">
        <f ca="1">-'Debt Amort'!X13</f>
        <v>0</v>
      </c>
      <c r="Y65" s="237">
        <f ca="1">-'Debt Amort'!Y13</f>
        <v>0</v>
      </c>
      <c r="Z65" s="427">
        <f t="shared" ca="1" si="18"/>
        <v>-93710.45550927853</v>
      </c>
      <c r="AB65" s="358">
        <f t="shared" si="3"/>
        <v>59</v>
      </c>
    </row>
    <row r="66" spans="1:28" s="86" customFormat="1">
      <c r="A66" s="409"/>
      <c r="B66" s="229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  <c r="Z66" s="427"/>
      <c r="AB66" s="358">
        <f t="shared" si="3"/>
        <v>60</v>
      </c>
    </row>
    <row r="67" spans="1:28" s="86" customFormat="1">
      <c r="A67" s="430" t="s">
        <v>1147</v>
      </c>
      <c r="B67" s="431"/>
      <c r="C67" s="431"/>
      <c r="D67" s="431"/>
      <c r="E67" s="432">
        <f ca="1">SUM(E57:E66)</f>
        <v>0</v>
      </c>
      <c r="F67" s="432">
        <f t="shared" ref="F67:Y67" ca="1" si="22">SUM(F57:F66)</f>
        <v>-13.275999937924599</v>
      </c>
      <c r="G67" s="432">
        <f t="shared" ca="1" si="22"/>
        <v>6028.0207486577092</v>
      </c>
      <c r="H67" s="432">
        <f t="shared" ca="1" si="22"/>
        <v>5345.6524251642204</v>
      </c>
      <c r="I67" s="432">
        <f t="shared" ca="1" si="22"/>
        <v>4005.4594989238481</v>
      </c>
      <c r="J67" s="432">
        <f t="shared" ca="1" si="22"/>
        <v>5730.4436465938288</v>
      </c>
      <c r="K67" s="432">
        <f t="shared" ca="1" si="22"/>
        <v>1893.3945164058005</v>
      </c>
      <c r="L67" s="432">
        <f t="shared" ca="1" si="22"/>
        <v>5582.5806726473347</v>
      </c>
      <c r="M67" s="432">
        <f t="shared" ca="1" si="22"/>
        <v>6910.5287838065797</v>
      </c>
      <c r="N67" s="432">
        <f t="shared" ca="1" si="22"/>
        <v>10709.219796957797</v>
      </c>
      <c r="O67" s="432">
        <f t="shared" ca="1" si="22"/>
        <v>15303.873776433458</v>
      </c>
      <c r="P67" s="432">
        <f t="shared" ca="1" si="22"/>
        <v>16695.193618093017</v>
      </c>
      <c r="Q67" s="432">
        <f t="shared" ca="1" si="22"/>
        <v>15715.494674939324</v>
      </c>
      <c r="R67" s="432">
        <f t="shared" ca="1" si="22"/>
        <v>11991.476995619105</v>
      </c>
      <c r="S67" s="432">
        <f t="shared" ca="1" si="22"/>
        <v>11530.607928049183</v>
      </c>
      <c r="T67" s="432">
        <f t="shared" ca="1" si="22"/>
        <v>13835.278778595744</v>
      </c>
      <c r="U67" s="432">
        <f t="shared" ca="1" si="22"/>
        <v>17425.436810390573</v>
      </c>
      <c r="V67" s="432">
        <f t="shared" ca="1" si="22"/>
        <v>24229.56215980076</v>
      </c>
      <c r="W67" s="432">
        <f t="shared" ca="1" si="22"/>
        <v>25036.360207725826</v>
      </c>
      <c r="X67" s="432">
        <f t="shared" ca="1" si="22"/>
        <v>25910.778027920729</v>
      </c>
      <c r="Y67" s="432">
        <f t="shared" ca="1" si="22"/>
        <v>8646.5939661715074</v>
      </c>
      <c r="Z67" s="433">
        <f ca="1">SUM(E67:Y67)</f>
        <v>232512.68103295835</v>
      </c>
      <c r="AB67" s="358">
        <f t="shared" si="3"/>
        <v>61</v>
      </c>
    </row>
    <row r="68" spans="1:28" s="86" customFormat="1">
      <c r="A68" s="409"/>
      <c r="B68" s="229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427"/>
      <c r="AB68" s="358">
        <f t="shared" si="3"/>
        <v>62</v>
      </c>
    </row>
    <row r="69" spans="1:28" s="86" customFormat="1">
      <c r="A69" s="409"/>
      <c r="B69" s="229" t="s">
        <v>1139</v>
      </c>
      <c r="E69" s="237">
        <f ca="1">-'Debt Amort'!E21</f>
        <v>0</v>
      </c>
      <c r="F69" s="237">
        <f ca="1">-'Debt Amort'!F21</f>
        <v>0</v>
      </c>
      <c r="G69" s="237">
        <f ca="1">-'Debt Amort'!G21</f>
        <v>0</v>
      </c>
      <c r="H69" s="237">
        <f ca="1">-'Debt Amort'!H21</f>
        <v>-110.799981751606</v>
      </c>
      <c r="I69" s="237">
        <f ca="1">-'Debt Amort'!I21</f>
        <v>-125.67210930221523</v>
      </c>
      <c r="J69" s="237">
        <f ca="1">-'Debt Amort'!J21</f>
        <v>-142.54044817330512</v>
      </c>
      <c r="K69" s="237">
        <f ca="1">-'Debt Amort'!K21</f>
        <v>-161.67293982936695</v>
      </c>
      <c r="L69" s="237">
        <f ca="1">-'Debt Amort'!L21</f>
        <v>-183.37349017796362</v>
      </c>
      <c r="M69" s="237">
        <f ca="1">-'Debt Amort'!M21</f>
        <v>-207.98679689710076</v>
      </c>
      <c r="N69" s="237">
        <f ca="1">-'Debt Amort'!N21</f>
        <v>-235.903824710614</v>
      </c>
      <c r="O69" s="237">
        <f ca="1">-'Debt Amort'!O21</f>
        <v>-267.56801558239607</v>
      </c>
      <c r="P69" s="237">
        <f ca="1">-'Debt Amort'!P21</f>
        <v>-303.48233247394296</v>
      </c>
      <c r="Q69" s="237">
        <f ca="1">-'Debt Amort'!Q21</f>
        <v>-344.21724855025781</v>
      </c>
      <c r="R69" s="237">
        <f ca="1">-'Debt Amort'!R21</f>
        <v>-390.41980873691523</v>
      </c>
      <c r="S69" s="237">
        <f ca="1">-'Debt Amort'!S21</f>
        <v>0</v>
      </c>
      <c r="T69" s="237">
        <f ca="1">-'Debt Amort'!T21</f>
        <v>0</v>
      </c>
      <c r="U69" s="237">
        <f ca="1">-'Debt Amort'!U21</f>
        <v>0</v>
      </c>
      <c r="V69" s="237">
        <f ca="1">-'Debt Amort'!V21</f>
        <v>0</v>
      </c>
      <c r="W69" s="237">
        <f ca="1">-'Debt Amort'!W21</f>
        <v>0</v>
      </c>
      <c r="X69" s="237">
        <f ca="1">-'Debt Amort'!X21</f>
        <v>0</v>
      </c>
      <c r="Y69" s="237">
        <f ca="1">-'Debt Amort'!Y21</f>
        <v>0</v>
      </c>
      <c r="Z69" s="427">
        <f ca="1">SUM(E69:Y69)</f>
        <v>-2473.6369961856835</v>
      </c>
      <c r="AB69" s="358">
        <f t="shared" si="3"/>
        <v>63</v>
      </c>
    </row>
    <row r="70" spans="1:28" s="86" customFormat="1">
      <c r="A70" s="409"/>
      <c r="B70" s="229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427"/>
      <c r="AB70" s="358">
        <f t="shared" si="3"/>
        <v>64</v>
      </c>
    </row>
    <row r="71" spans="1:28" s="86" customFormat="1">
      <c r="A71" s="430" t="s">
        <v>321</v>
      </c>
      <c r="B71" s="431"/>
      <c r="C71" s="431"/>
      <c r="D71" s="431"/>
      <c r="E71" s="432">
        <f ca="1">SUM(E67:E70)</f>
        <v>0</v>
      </c>
      <c r="F71" s="432">
        <f t="shared" ref="F71:Y71" ca="1" si="23">SUM(F67:F70)</f>
        <v>-13.275999937924599</v>
      </c>
      <c r="G71" s="432">
        <f t="shared" ca="1" si="23"/>
        <v>6028.0207486577092</v>
      </c>
      <c r="H71" s="432">
        <f t="shared" ca="1" si="23"/>
        <v>5234.8524434126148</v>
      </c>
      <c r="I71" s="432">
        <f t="shared" ca="1" si="23"/>
        <v>3879.7873896216329</v>
      </c>
      <c r="J71" s="432">
        <f t="shared" ca="1" si="23"/>
        <v>5587.9031984205239</v>
      </c>
      <c r="K71" s="432">
        <f t="shared" ca="1" si="23"/>
        <v>1731.7215765764336</v>
      </c>
      <c r="L71" s="432">
        <f t="shared" ca="1" si="23"/>
        <v>5399.2071824693712</v>
      </c>
      <c r="M71" s="432">
        <f t="shared" ca="1" si="23"/>
        <v>6702.5419869094785</v>
      </c>
      <c r="N71" s="432">
        <f t="shared" ca="1" si="23"/>
        <v>10473.315972247183</v>
      </c>
      <c r="O71" s="432">
        <f t="shared" ca="1" si="23"/>
        <v>15036.305760851063</v>
      </c>
      <c r="P71" s="432">
        <f t="shared" ca="1" si="23"/>
        <v>16391.711285619072</v>
      </c>
      <c r="Q71" s="432">
        <f t="shared" ca="1" si="23"/>
        <v>15371.277426389066</v>
      </c>
      <c r="R71" s="432">
        <f t="shared" ca="1" si="23"/>
        <v>11601.05718688219</v>
      </c>
      <c r="S71" s="432">
        <f t="shared" ca="1" si="23"/>
        <v>11530.607928049183</v>
      </c>
      <c r="T71" s="432">
        <f t="shared" ca="1" si="23"/>
        <v>13835.278778595744</v>
      </c>
      <c r="U71" s="432">
        <f t="shared" ca="1" si="23"/>
        <v>17425.436810390573</v>
      </c>
      <c r="V71" s="432">
        <f t="shared" ca="1" si="23"/>
        <v>24229.56215980076</v>
      </c>
      <c r="W71" s="432">
        <f t="shared" ca="1" si="23"/>
        <v>25036.360207725826</v>
      </c>
      <c r="X71" s="432">
        <f t="shared" ca="1" si="23"/>
        <v>25910.778027920729</v>
      </c>
      <c r="Y71" s="432">
        <f t="shared" ca="1" si="23"/>
        <v>8646.5939661715074</v>
      </c>
      <c r="Z71" s="433">
        <f ca="1">SUM(E71:Y71)</f>
        <v>230039.04403677271</v>
      </c>
      <c r="AB71" s="358">
        <f t="shared" si="3"/>
        <v>65</v>
      </c>
    </row>
    <row r="72" spans="1:28" s="86" customFormat="1">
      <c r="A72" s="410"/>
      <c r="B72" s="231"/>
      <c r="C72" s="88"/>
      <c r="D72" s="8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428"/>
      <c r="AB72" s="358">
        <f t="shared" si="3"/>
        <v>66</v>
      </c>
    </row>
    <row r="73" spans="1:28" s="86" customFormat="1">
      <c r="A73" s="409"/>
      <c r="B73" s="229" t="s">
        <v>317</v>
      </c>
      <c r="E73" s="237">
        <f ca="1">-Trapped!F30</f>
        <v>0</v>
      </c>
      <c r="F73" s="237">
        <f ca="1">-Trapped!G30</f>
        <v>0</v>
      </c>
      <c r="G73" s="237">
        <f ca="1">-Trapped!H30</f>
        <v>-6028.0207486577092</v>
      </c>
      <c r="H73" s="237">
        <f ca="1">-Trapped!I30</f>
        <v>-5234.8524434126139</v>
      </c>
      <c r="I73" s="237">
        <f ca="1">-Trapped!J30</f>
        <v>-3879.7873896216333</v>
      </c>
      <c r="J73" s="237">
        <f ca="1">-Trapped!K30</f>
        <v>-5587.9031984205249</v>
      </c>
      <c r="K73" s="237">
        <f ca="1">-Trapped!L30</f>
        <v>-1731.721576576434</v>
      </c>
      <c r="L73" s="237">
        <f ca="1">-Trapped!M30</f>
        <v>-3476.8937705100834</v>
      </c>
      <c r="M73" s="237">
        <f ca="1">-Trapped!N30</f>
        <v>0</v>
      </c>
      <c r="N73" s="237">
        <f ca="1">-Trapped!O30</f>
        <v>-2396.6431084535943</v>
      </c>
      <c r="O73" s="237">
        <f ca="1">-Trapped!P30</f>
        <v>-5461.9893447206668</v>
      </c>
      <c r="P73" s="237">
        <f ca="1">-Trapped!Q30</f>
        <v>-5826.0794823062461</v>
      </c>
      <c r="Q73" s="237">
        <f ca="1">-Trapped!R30</f>
        <v>-3586.2438055961829</v>
      </c>
      <c r="R73" s="237">
        <f ca="1">-Trapped!S30</f>
        <v>0</v>
      </c>
      <c r="S73" s="237">
        <f ca="1">-Trapped!T30</f>
        <v>0</v>
      </c>
      <c r="T73" s="237">
        <f ca="1">-Trapped!U30</f>
        <v>0</v>
      </c>
      <c r="U73" s="237">
        <f ca="1">-Trapped!V30</f>
        <v>-435.87662734962942</v>
      </c>
      <c r="V73" s="237">
        <f ca="1">-Trapped!W30</f>
        <v>-6348.958898306737</v>
      </c>
      <c r="W73" s="237">
        <f ca="1">-Trapped!X30</f>
        <v>-6389.2988007029926</v>
      </c>
      <c r="X73" s="237">
        <f ca="1">-Trapped!Y30</f>
        <v>-6433.0196917127323</v>
      </c>
      <c r="Y73" s="237">
        <f ca="1">-Trapped!Z30</f>
        <v>0</v>
      </c>
      <c r="Z73" s="427">
        <f ca="1">SUM(E73:Y73)</f>
        <v>-62817.288886347786</v>
      </c>
      <c r="AB73" s="358">
        <f t="shared" si="3"/>
        <v>67</v>
      </c>
    </row>
    <row r="74" spans="1:28" s="86" customFormat="1">
      <c r="A74" s="409"/>
      <c r="B74" s="229" t="s">
        <v>318</v>
      </c>
      <c r="E74" s="237">
        <f ca="1">-Trapped!F31</f>
        <v>0</v>
      </c>
      <c r="F74" s="237">
        <f ca="1">-Trapped!G31</f>
        <v>13.275999937924599</v>
      </c>
      <c r="G74" s="237">
        <f ca="1">-Trapped!H31</f>
        <v>0</v>
      </c>
      <c r="H74" s="237">
        <f ca="1">-Trapped!I31</f>
        <v>0</v>
      </c>
      <c r="I74" s="237">
        <f ca="1">-Trapped!J31</f>
        <v>0</v>
      </c>
      <c r="J74" s="237">
        <f ca="1">-Trapped!K31</f>
        <v>0</v>
      </c>
      <c r="K74" s="237">
        <f ca="1">-Trapped!L31</f>
        <v>0</v>
      </c>
      <c r="L74" s="237">
        <f ca="1">-Trapped!M31</f>
        <v>0</v>
      </c>
      <c r="M74" s="237">
        <f ca="1">-Trapped!N31</f>
        <v>443.61093805346536</v>
      </c>
      <c r="N74" s="237">
        <f ca="1">-Trapped!O31</f>
        <v>0</v>
      </c>
      <c r="O74" s="237">
        <f ca="1">-Trapped!P31</f>
        <v>0</v>
      </c>
      <c r="P74" s="237">
        <f ca="1">-Trapped!Q31</f>
        <v>0</v>
      </c>
      <c r="Q74" s="237">
        <f ca="1">-Trapped!R31</f>
        <v>0</v>
      </c>
      <c r="R74" s="237">
        <f ca="1">-Trapped!S31</f>
        <v>2107.6134166364282</v>
      </c>
      <c r="S74" s="237">
        <f ca="1">-Trapped!T31</f>
        <v>1731.1015449846527</v>
      </c>
      <c r="T74" s="237">
        <f ca="1">-Trapped!U31</f>
        <v>1882.942800658755</v>
      </c>
      <c r="U74" s="237">
        <f ca="1">-Trapped!V31</f>
        <v>0</v>
      </c>
      <c r="V74" s="237">
        <f ca="1">-Trapped!W31</f>
        <v>0</v>
      </c>
      <c r="W74" s="237">
        <f ca="1">-Trapped!X31</f>
        <v>0</v>
      </c>
      <c r="X74" s="237">
        <f ca="1">-Trapped!Y31</f>
        <v>0</v>
      </c>
      <c r="Y74" s="237">
        <f ca="1">-Trapped!Z31</f>
        <v>56638.744186076554</v>
      </c>
      <c r="Z74" s="427">
        <f ca="1">SUM(E74:Y74)</f>
        <v>62817.288886347778</v>
      </c>
      <c r="AB74" s="358">
        <f t="shared" si="3"/>
        <v>68</v>
      </c>
    </row>
    <row r="75" spans="1:28" s="86" customFormat="1">
      <c r="A75" s="409"/>
      <c r="B75" s="229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427"/>
      <c r="AB75" s="358">
        <f t="shared" si="3"/>
        <v>69</v>
      </c>
    </row>
    <row r="76" spans="1:28" s="86" customFormat="1">
      <c r="A76" s="430" t="s">
        <v>159</v>
      </c>
      <c r="B76" s="431"/>
      <c r="C76" s="431"/>
      <c r="D76" s="431"/>
      <c r="E76" s="432">
        <f t="shared" ref="E76:Y76" ca="1" si="24">SUM(E71:E75)</f>
        <v>0</v>
      </c>
      <c r="F76" s="432">
        <f t="shared" ca="1" si="24"/>
        <v>0</v>
      </c>
      <c r="G76" s="432">
        <f t="shared" ca="1" si="24"/>
        <v>0</v>
      </c>
      <c r="H76" s="432">
        <f t="shared" ca="1" si="24"/>
        <v>9.0949470177292824E-13</v>
      </c>
      <c r="I76" s="432">
        <f t="shared" ca="1" si="24"/>
        <v>-4.5474735088646412E-13</v>
      </c>
      <c r="J76" s="432">
        <f t="shared" ca="1" si="24"/>
        <v>-9.0949470177292824E-13</v>
      </c>
      <c r="K76" s="432">
        <f t="shared" ca="1" si="24"/>
        <v>-4.5474735088646412E-13</v>
      </c>
      <c r="L76" s="432">
        <f t="shared" ca="1" si="24"/>
        <v>1922.3134119592878</v>
      </c>
      <c r="M76" s="432">
        <f t="shared" ca="1" si="24"/>
        <v>7146.1529249629439</v>
      </c>
      <c r="N76" s="432">
        <f t="shared" ca="1" si="24"/>
        <v>8076.6728637935885</v>
      </c>
      <c r="O76" s="432">
        <f t="shared" ca="1" si="24"/>
        <v>9574.3164161303957</v>
      </c>
      <c r="P76" s="432">
        <f t="shared" ca="1" si="24"/>
        <v>10565.631803312826</v>
      </c>
      <c r="Q76" s="432">
        <f t="shared" ca="1" si="24"/>
        <v>11785.033620792883</v>
      </c>
      <c r="R76" s="432">
        <f t="shared" ca="1" si="24"/>
        <v>13708.670603518618</v>
      </c>
      <c r="S76" s="432">
        <f t="shared" ca="1" si="24"/>
        <v>13261.709473033836</v>
      </c>
      <c r="T76" s="432">
        <f t="shared" ca="1" si="24"/>
        <v>15718.221579254499</v>
      </c>
      <c r="U76" s="432">
        <f t="shared" ca="1" si="24"/>
        <v>16989.560183040943</v>
      </c>
      <c r="V76" s="432">
        <f t="shared" ca="1" si="24"/>
        <v>17880.603261494023</v>
      </c>
      <c r="W76" s="432">
        <f t="shared" ca="1" si="24"/>
        <v>18647.061407022833</v>
      </c>
      <c r="X76" s="432">
        <f t="shared" ca="1" si="24"/>
        <v>19477.758336207997</v>
      </c>
      <c r="Y76" s="432">
        <f t="shared" ca="1" si="24"/>
        <v>65285.338152248063</v>
      </c>
      <c r="Z76" s="433">
        <f ca="1">SUM(E76:Y76)</f>
        <v>230039.04403677274</v>
      </c>
      <c r="AB76" s="358">
        <f t="shared" si="3"/>
        <v>70</v>
      </c>
    </row>
    <row r="77" spans="1:28" s="86" customFormat="1" ht="13.5" thickBot="1">
      <c r="A77" s="141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429"/>
    </row>
    <row r="78" spans="1:28" s="86" customForma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59"/>
  <sheetViews>
    <sheetView zoomScale="75" workbookViewId="0">
      <selection activeCell="N12" sqref="N12"/>
    </sheetView>
  </sheetViews>
  <sheetFormatPr defaultRowHeight="12.75"/>
  <cols>
    <col min="1" max="1" width="17.42578125" customWidth="1"/>
    <col min="2" max="4" width="10.140625" bestFit="1" customWidth="1"/>
    <col min="10" max="10" width="11.5703125" bestFit="1" customWidth="1"/>
  </cols>
  <sheetData>
    <row r="1" spans="1:24">
      <c r="A1" t="s">
        <v>11</v>
      </c>
    </row>
    <row r="3" spans="1:24">
      <c r="A3" s="1217" t="s">
        <v>3</v>
      </c>
      <c r="B3" s="1219">
        <v>36160</v>
      </c>
      <c r="C3" s="1219">
        <v>36525</v>
      </c>
      <c r="D3" s="1218">
        <v>36891</v>
      </c>
      <c r="E3" s="1218">
        <v>37256</v>
      </c>
      <c r="F3" s="1218">
        <v>37621</v>
      </c>
      <c r="G3" s="1218">
        <v>37986</v>
      </c>
      <c r="H3" s="1218">
        <v>38352</v>
      </c>
      <c r="I3" s="1218">
        <v>38717</v>
      </c>
      <c r="J3" s="1218">
        <v>39082</v>
      </c>
      <c r="K3" s="1218">
        <v>39447</v>
      </c>
      <c r="L3" s="1218">
        <v>39813</v>
      </c>
      <c r="M3" s="1218">
        <v>40178</v>
      </c>
      <c r="N3" s="1218">
        <v>40543</v>
      </c>
      <c r="O3" s="1218">
        <v>40908</v>
      </c>
      <c r="P3" s="1218">
        <v>41274</v>
      </c>
      <c r="Q3" s="1218">
        <v>41639</v>
      </c>
      <c r="R3" s="1218">
        <v>42004</v>
      </c>
      <c r="S3" s="1218">
        <v>42369</v>
      </c>
      <c r="T3" s="1218">
        <v>42735</v>
      </c>
      <c r="U3" s="1218">
        <v>43100</v>
      </c>
      <c r="V3" s="1218">
        <v>43465</v>
      </c>
      <c r="W3" s="1218">
        <v>43830</v>
      </c>
      <c r="X3" s="1213"/>
    </row>
    <row r="4" spans="1:24">
      <c r="A4" s="1217" t="s">
        <v>4</v>
      </c>
      <c r="B4" s="1219">
        <f>+IF(B3&lt;$B$12,$B$12,B3)</f>
        <v>36663</v>
      </c>
      <c r="C4" s="1219">
        <f t="shared" ref="C4:W4" si="0">+IF(C3&lt;$B$12,$B$12,C3)</f>
        <v>36663</v>
      </c>
      <c r="D4" s="1218">
        <f t="shared" si="0"/>
        <v>36891</v>
      </c>
      <c r="E4" s="1218">
        <f t="shared" si="0"/>
        <v>37256</v>
      </c>
      <c r="F4" s="1218">
        <f t="shared" si="0"/>
        <v>37621</v>
      </c>
      <c r="G4" s="1218">
        <f t="shared" si="0"/>
        <v>37986</v>
      </c>
      <c r="H4" s="1218">
        <f t="shared" si="0"/>
        <v>38352</v>
      </c>
      <c r="I4" s="1218">
        <f t="shared" si="0"/>
        <v>38717</v>
      </c>
      <c r="J4" s="1218">
        <f t="shared" si="0"/>
        <v>39082</v>
      </c>
      <c r="K4" s="1218">
        <f t="shared" si="0"/>
        <v>39447</v>
      </c>
      <c r="L4" s="1218">
        <f t="shared" si="0"/>
        <v>39813</v>
      </c>
      <c r="M4" s="1218">
        <f t="shared" si="0"/>
        <v>40178</v>
      </c>
      <c r="N4" s="1218">
        <f t="shared" si="0"/>
        <v>40543</v>
      </c>
      <c r="O4" s="1218">
        <f t="shared" si="0"/>
        <v>40908</v>
      </c>
      <c r="P4" s="1218">
        <f t="shared" si="0"/>
        <v>41274</v>
      </c>
      <c r="Q4" s="1218">
        <f t="shared" si="0"/>
        <v>41639</v>
      </c>
      <c r="R4" s="1218">
        <f t="shared" si="0"/>
        <v>42004</v>
      </c>
      <c r="S4" s="1218">
        <f t="shared" si="0"/>
        <v>42369</v>
      </c>
      <c r="T4" s="1218">
        <f t="shared" si="0"/>
        <v>42735</v>
      </c>
      <c r="U4" s="1218">
        <f t="shared" si="0"/>
        <v>43100</v>
      </c>
      <c r="V4" s="1218">
        <f t="shared" si="0"/>
        <v>43465</v>
      </c>
      <c r="W4" s="1218">
        <f t="shared" si="0"/>
        <v>43830</v>
      </c>
      <c r="X4" s="1213"/>
    </row>
    <row r="6" spans="1:24">
      <c r="A6" t="s">
        <v>6</v>
      </c>
      <c r="B6" s="1214">
        <f ca="1">+Returns!E24</f>
        <v>-3111.7009109999995</v>
      </c>
      <c r="C6" s="1214">
        <f ca="1">+Returns!F24</f>
        <v>-8888.2990919999993</v>
      </c>
      <c r="D6" s="1214">
        <f ca="1">+Returns!G24</f>
        <v>-5999.9999999999991</v>
      </c>
      <c r="E6" s="1214">
        <f ca="1">+Returns!H24</f>
        <v>0</v>
      </c>
      <c r="F6" s="1214">
        <f ca="1">+Returns!I24</f>
        <v>0</v>
      </c>
      <c r="G6" s="1214">
        <f ca="1">+Returns!J24</f>
        <v>0</v>
      </c>
      <c r="H6" s="1214">
        <f ca="1">+Returns!K24</f>
        <v>0</v>
      </c>
      <c r="I6" s="1214">
        <f ca="1">+Returns!L24</f>
        <v>0</v>
      </c>
      <c r="J6" s="1214">
        <f ca="1">+Returns!M24</f>
        <v>0</v>
      </c>
      <c r="K6" s="1214">
        <f ca="1">+Returns!N24</f>
        <v>0</v>
      </c>
      <c r="L6" s="1214">
        <f ca="1">+Returns!O24</f>
        <v>0</v>
      </c>
      <c r="M6" s="1214">
        <f ca="1">+Returns!P24</f>
        <v>0</v>
      </c>
      <c r="N6" s="1214">
        <f ca="1">+Returns!Q24</f>
        <v>0</v>
      </c>
      <c r="O6" s="1214">
        <f ca="1">+Returns!R24</f>
        <v>0</v>
      </c>
      <c r="P6" s="1214">
        <f ca="1">+Returns!S24</f>
        <v>0</v>
      </c>
      <c r="Q6" s="1214">
        <f ca="1">+Returns!T24</f>
        <v>0</v>
      </c>
      <c r="R6" s="1214">
        <f ca="1">+Returns!U24</f>
        <v>0</v>
      </c>
      <c r="S6" s="1214">
        <f ca="1">+Returns!V24</f>
        <v>0</v>
      </c>
      <c r="T6" s="1214">
        <f ca="1">+Returns!W24</f>
        <v>0</v>
      </c>
      <c r="U6" s="1214">
        <f ca="1">+Returns!X24</f>
        <v>0</v>
      </c>
      <c r="V6" s="1214">
        <f ca="1">+Returns!Y24</f>
        <v>0</v>
      </c>
      <c r="W6" s="1214">
        <f ca="1">+Returns!Z24</f>
        <v>0</v>
      </c>
      <c r="X6" s="1196"/>
    </row>
    <row r="7" spans="1:24">
      <c r="A7" t="s">
        <v>7</v>
      </c>
      <c r="B7" s="1214">
        <f ca="1">+Returns!E31+Returns!E32+Returns!E33+Returns!E35+Returns!E36</f>
        <v>935.89028984476067</v>
      </c>
      <c r="C7" s="1214">
        <f ca="1">+Returns!F31+Returns!F32+Returns!F33+Returns!F35+Returns!F36</f>
        <v>3956.3594329638668</v>
      </c>
      <c r="D7" s="1214">
        <f ca="1">+Returns!G31+Returns!G32+Returns!G33+Returns!G35+Returns!G36</f>
        <v>559.57952719137256</v>
      </c>
      <c r="E7" s="1214">
        <f ca="1">+Returns!H31+Returns!H32+Returns!H33+Returns!H35+Returns!H36</f>
        <v>-160.44455915539265</v>
      </c>
      <c r="F7" s="1214">
        <f ca="1">+Returns!I31+Returns!I32+Returns!I33+Returns!I35+Returns!I36</f>
        <v>9.2564168743495756</v>
      </c>
      <c r="G7" s="1214">
        <f ca="1">+Returns!J31+Returns!J32+Returns!J33+Returns!J35+Returns!J36</f>
        <v>9.2564168743495756</v>
      </c>
      <c r="H7" s="1214">
        <f ca="1">+Returns!K31+Returns!K32+Returns!K33+Returns!K35+Returns!K36</f>
        <v>9.2564168743495756</v>
      </c>
      <c r="I7" s="1214">
        <f ca="1">+Returns!L31+Returns!L32+Returns!L33+Returns!L35+Returns!L36</f>
        <v>9.2564168743495756</v>
      </c>
      <c r="J7" s="1214">
        <f ca="1">+Returns!M31+Returns!M32+Returns!M33+Returns!M35+Returns!M36</f>
        <v>9.2564168743495756</v>
      </c>
      <c r="K7" s="1214">
        <f ca="1">+Returns!N31+Returns!N32+Returns!N33+Returns!N35+Returns!N36</f>
        <v>9.2564168743495756</v>
      </c>
      <c r="L7" s="1214">
        <f ca="1">+Returns!O31+Returns!O32+Returns!O33+Returns!O35+Returns!O36</f>
        <v>9.2564168743495756</v>
      </c>
      <c r="M7" s="1214">
        <f ca="1">+Returns!P31+Returns!P32+Returns!P33+Returns!P35+Returns!P36</f>
        <v>9.2564168743495756</v>
      </c>
      <c r="N7" s="1214">
        <f ca="1">+Returns!Q31+Returns!Q32+Returns!Q33+Returns!Q35+Returns!Q36</f>
        <v>9.2564168743495756</v>
      </c>
      <c r="O7" s="1214">
        <f ca="1">+Returns!R31+Returns!R32+Returns!R33+Returns!R35+Returns!R36</f>
        <v>9.2564168743495756</v>
      </c>
      <c r="P7" s="1214">
        <f ca="1">+Returns!S31+Returns!S32+Returns!S33+Returns!S35+Returns!S36</f>
        <v>9.2564168743495756</v>
      </c>
      <c r="Q7" s="1214">
        <f ca="1">+Returns!T31+Returns!T32+Returns!T33+Returns!T35+Returns!T36</f>
        <v>9.2564168743495756</v>
      </c>
      <c r="R7" s="1214">
        <f ca="1">+Returns!U31+Returns!U32+Returns!U33+Returns!U35+Returns!U36</f>
        <v>9.2564168743495756</v>
      </c>
      <c r="S7" s="1214">
        <f ca="1">+Returns!V31+Returns!V32+Returns!V33+Returns!V35+Returns!V36</f>
        <v>9.2564168743495756</v>
      </c>
      <c r="T7" s="1214">
        <f ca="1">+Returns!W31+Returns!W32+Returns!W33+Returns!W35+Returns!W36</f>
        <v>9.2564168743495756</v>
      </c>
      <c r="U7" s="1214">
        <f ca="1">+Returns!X31+Returns!X32+Returns!X33+Returns!X35+Returns!X36</f>
        <v>9.2564168743495756</v>
      </c>
      <c r="V7" s="1214">
        <f ca="1">+Returns!Y31+Returns!Y32+Returns!Y33+Returns!Y35+Returns!Y36</f>
        <v>9.2564168743495756</v>
      </c>
      <c r="W7" s="1214">
        <f ca="1">+Returns!Z31+Returns!Z32+Returns!Z33+Returns!Z35+Returns!Z36</f>
        <v>3.0854722914498587</v>
      </c>
      <c r="X7" s="1196"/>
    </row>
    <row r="8" spans="1:24">
      <c r="A8" t="s">
        <v>8</v>
      </c>
      <c r="B8" s="1214">
        <f ca="1">+Returns!E25+Returns!E26+Returns!E28+Returns!E29+Returns!E30+Returns!E37+Returns!E34</f>
        <v>-359.34855106876148</v>
      </c>
      <c r="C8" s="1214">
        <f ca="1">+Returns!F25+Returns!F26+Returns!F28+Returns!F29+Returns!F30+Returns!F37+Returns!F34</f>
        <v>-1520.7875621223309</v>
      </c>
      <c r="D8" s="1214">
        <f ca="1">+Returns!G25+Returns!G26+Returns!G28+Returns!G29+Returns!G30+Returns!G37+Returns!G34</f>
        <v>-307.84442507970783</v>
      </c>
      <c r="E8" s="1214">
        <f ca="1">+Returns!H25+Returns!H26+Returns!H28+Returns!H29+Returns!H30+Returns!H37+Returns!H34</f>
        <v>1347.9819201058517</v>
      </c>
      <c r="F8" s="1214">
        <f ca="1">+Returns!I25+Returns!I26+Returns!I28+Returns!I29+Returns!I30+Returns!I37+Returns!I34</f>
        <v>1426.0361892171461</v>
      </c>
      <c r="G8" s="1214">
        <f ca="1">+Returns!J25+Returns!J26+Returns!J28+Returns!J29+Returns!J30+Returns!J37+Returns!J34</f>
        <v>977.11479338381594</v>
      </c>
      <c r="H8" s="1214">
        <f ca="1">+Returns!K25+Returns!K26+Returns!K28+Returns!K29+Returns!K30+Returns!K37+Returns!K34</f>
        <v>1455.6056824564846</v>
      </c>
      <c r="I8" s="1214">
        <f ca="1">+Returns!L25+Returns!L26+Returns!L28+Returns!L29+Returns!L30+Returns!L37+Returns!L34</f>
        <v>241.0266920131404</v>
      </c>
      <c r="J8" s="1214">
        <f ca="1">+Returns!M25+Returns!M26+Returns!M28+Returns!M29+Returns!M30+Returns!M37+Returns!M34</f>
        <v>1244.3586279785704</v>
      </c>
      <c r="K8" s="1214">
        <f ca="1">+Returns!N25+Returns!N26+Returns!N28+Returns!N29+Returns!N30+Returns!N37+Returns!N34</f>
        <v>1402.836020931041</v>
      </c>
      <c r="L8" s="1214">
        <f ca="1">+Returns!O25+Returns!O26+Returns!O28+Returns!O29+Returns!O30+Returns!O37+Returns!O34</f>
        <v>2498.4011565024607</v>
      </c>
      <c r="M8" s="1214">
        <f ca="1">+Returns!P25+Returns!P26+Returns!P28+Returns!P29+Returns!P30+Returns!P37+Returns!P34</f>
        <v>3791.7775720402642</v>
      </c>
      <c r="N8" s="1214">
        <f ca="1">+Returns!Q25+Returns!Q26+Returns!Q28+Returns!Q29+Returns!Q30+Returns!Q37+Returns!Q34</f>
        <v>4108.5909707534884</v>
      </c>
      <c r="O8" s="1214">
        <f ca="1">+Returns!R25+Returns!R26+Returns!R28+Returns!R29+Returns!R30+Returns!R37+Returns!R34</f>
        <v>3700.5449258054905</v>
      </c>
      <c r="P8" s="1214">
        <f ca="1">+Returns!S25+Returns!S26+Returns!S28+Returns!S29+Returns!S30+Returns!S37+Returns!S34</f>
        <v>2462.1525949203537</v>
      </c>
      <c r="Q8" s="1214">
        <f ca="1">+Returns!T25+Returns!T26+Returns!T28+Returns!T29+Returns!T30+Returns!T37+Returns!T34</f>
        <v>2456.4448482733023</v>
      </c>
      <c r="R8" s="1214">
        <f ca="1">+Returns!U25+Returns!U26+Returns!U28+Returns!U29+Returns!U30+Returns!U37+Returns!U34</f>
        <v>3074.1617496013214</v>
      </c>
      <c r="S8" s="1214">
        <f ca="1">+Returns!V25+Returns!V26+Returns!V28+Returns!V29+Returns!V30+Returns!V37+Returns!V34</f>
        <v>4118.2450118649595</v>
      </c>
      <c r="T8" s="1214">
        <f ca="1">+Returns!W25+Returns!W26+Returns!W28+Returns!W29+Returns!W30+Returns!W37+Returns!W34</f>
        <v>6137.9941722140693</v>
      </c>
      <c r="U8" s="1214">
        <f ca="1">+Returns!X25+Returns!X26+Returns!X28+Returns!X29+Returns!X30+Returns!X37+Returns!X34</f>
        <v>6289.4642667859134</v>
      </c>
      <c r="V8" s="1214">
        <f ca="1">+Returns!Y25+Returns!Y26+Returns!Y28+Returns!Y29+Returns!Y30+Returns!Y37+Returns!Y34</f>
        <v>6458.3496241127687</v>
      </c>
      <c r="W8" s="1214">
        <f ca="1">+Returns!Z25+Returns!Z26+Returns!Z28+Returns!Z29+Returns!Z30+Returns!Z37+Returns!Z34</f>
        <v>-119.87717709255919</v>
      </c>
      <c r="X8" s="1196"/>
    </row>
    <row r="9" spans="1:24">
      <c r="A9" t="s">
        <v>938</v>
      </c>
      <c r="B9" s="1214">
        <f>+Returns!E27</f>
        <v>0</v>
      </c>
      <c r="C9" s="1214">
        <f>+Returns!F27</f>
        <v>0</v>
      </c>
      <c r="D9" s="1214">
        <f>+Returns!G27</f>
        <v>0</v>
      </c>
      <c r="E9" s="1214">
        <f>+Returns!H27</f>
        <v>0</v>
      </c>
      <c r="F9" s="1214">
        <f>+Returns!I27</f>
        <v>0</v>
      </c>
      <c r="G9" s="1214">
        <f>+Returns!J27</f>
        <v>0</v>
      </c>
      <c r="H9" s="1214">
        <f>+Returns!K27</f>
        <v>0</v>
      </c>
      <c r="I9" s="1214">
        <f>+Returns!L27</f>
        <v>0</v>
      </c>
      <c r="J9" s="1214">
        <f>+Returns!M27</f>
        <v>0</v>
      </c>
      <c r="K9" s="1214">
        <f>+Returns!N27</f>
        <v>0</v>
      </c>
      <c r="L9" s="1214">
        <f>+Returns!O27</f>
        <v>0</v>
      </c>
      <c r="M9" s="1214">
        <f>+Returns!P27</f>
        <v>0</v>
      </c>
      <c r="N9" s="1214">
        <f>+Returns!Q27</f>
        <v>0</v>
      </c>
      <c r="O9" s="1214">
        <f>+Returns!R27</f>
        <v>0</v>
      </c>
      <c r="P9" s="1214">
        <f>+Returns!S27</f>
        <v>0</v>
      </c>
      <c r="Q9" s="1214">
        <f>+Returns!T27</f>
        <v>0</v>
      </c>
      <c r="R9" s="1214">
        <f>+Returns!U27</f>
        <v>0</v>
      </c>
      <c r="S9" s="1214">
        <f>+Returns!V27</f>
        <v>0</v>
      </c>
      <c r="T9" s="1214">
        <f>+Returns!W27</f>
        <v>0</v>
      </c>
      <c r="U9" s="1214">
        <f>+Returns!X27</f>
        <v>0</v>
      </c>
      <c r="V9" s="1214">
        <f>+Returns!Y27</f>
        <v>0</v>
      </c>
      <c r="W9" s="1214">
        <f ca="1">+Returns!Z27</f>
        <v>103759.12759405807</v>
      </c>
    </row>
    <row r="10" spans="1:24" ht="13.5" thickBot="1">
      <c r="A10" s="1201" t="s">
        <v>9</v>
      </c>
      <c r="B10" s="1216">
        <f ca="1">+SUM(B6:B9)</f>
        <v>-2535.159172224</v>
      </c>
      <c r="C10" s="1216">
        <f t="shared" ref="C10:W10" ca="1" si="1">+SUM(C6:C9)</f>
        <v>-6452.7272211584632</v>
      </c>
      <c r="D10" s="1216">
        <f t="shared" ca="1" si="1"/>
        <v>-5748.2648978883335</v>
      </c>
      <c r="E10" s="1216">
        <f t="shared" ca="1" si="1"/>
        <v>1187.5373609504591</v>
      </c>
      <c r="F10" s="1216">
        <f t="shared" ca="1" si="1"/>
        <v>1435.2926060914956</v>
      </c>
      <c r="G10" s="1216">
        <f t="shared" ca="1" si="1"/>
        <v>986.37121025816555</v>
      </c>
      <c r="H10" s="1216">
        <f t="shared" ca="1" si="1"/>
        <v>1464.8620993308341</v>
      </c>
      <c r="I10" s="1216">
        <f t="shared" ca="1" si="1"/>
        <v>250.28310888748999</v>
      </c>
      <c r="J10" s="1216">
        <f t="shared" ca="1" si="1"/>
        <v>1253.6150448529199</v>
      </c>
      <c r="K10" s="1216">
        <f t="shared" ca="1" si="1"/>
        <v>1412.0924378053905</v>
      </c>
      <c r="L10" s="1216">
        <f t="shared" ca="1" si="1"/>
        <v>2507.6575733768104</v>
      </c>
      <c r="M10" s="1216">
        <f t="shared" ca="1" si="1"/>
        <v>3801.0339889146139</v>
      </c>
      <c r="N10" s="1216">
        <f t="shared" ca="1" si="1"/>
        <v>4117.8473876278376</v>
      </c>
      <c r="O10" s="1216">
        <f t="shared" ca="1" si="1"/>
        <v>3709.8013426798402</v>
      </c>
      <c r="P10" s="1216">
        <f t="shared" ca="1" si="1"/>
        <v>2471.4090117947035</v>
      </c>
      <c r="Q10" s="1216">
        <f t="shared" ca="1" si="1"/>
        <v>2465.7012651476521</v>
      </c>
      <c r="R10" s="1216">
        <f t="shared" ca="1" si="1"/>
        <v>3083.4181664756711</v>
      </c>
      <c r="S10" s="1216">
        <f t="shared" ca="1" si="1"/>
        <v>4127.5014287393087</v>
      </c>
      <c r="T10" s="1216">
        <f t="shared" ca="1" si="1"/>
        <v>6147.2505890884186</v>
      </c>
      <c r="U10" s="1216">
        <f t="shared" ca="1" si="1"/>
        <v>6298.7206836602627</v>
      </c>
      <c r="V10" s="1216">
        <f t="shared" ca="1" si="1"/>
        <v>6467.6060409871179</v>
      </c>
      <c r="W10" s="1216">
        <f t="shared" ca="1" si="1"/>
        <v>103642.33588925695</v>
      </c>
    </row>
    <row r="11" spans="1:24" ht="13.5" thickTop="1"/>
    <row r="12" spans="1:24">
      <c r="A12" t="s">
        <v>5</v>
      </c>
      <c r="B12" s="1224">
        <v>36663</v>
      </c>
      <c r="D12" t="s">
        <v>12</v>
      </c>
      <c r="F12" s="1246">
        <v>0.3</v>
      </c>
      <c r="H12" t="s">
        <v>17</v>
      </c>
      <c r="J12" s="1213">
        <v>36951</v>
      </c>
      <c r="L12" t="s">
        <v>21</v>
      </c>
      <c r="N12" s="1366">
        <v>0</v>
      </c>
    </row>
    <row r="13" spans="1:24">
      <c r="A13" t="s">
        <v>10</v>
      </c>
      <c r="B13" s="1247">
        <f ca="1">[1]!GasBol_Disc</f>
        <v>0.19</v>
      </c>
      <c r="D13" t="s">
        <v>13</v>
      </c>
      <c r="F13" s="1246">
        <v>0.3</v>
      </c>
      <c r="H13" t="s">
        <v>16</v>
      </c>
      <c r="J13" s="1213">
        <v>37104</v>
      </c>
    </row>
    <row r="14" spans="1:24">
      <c r="A14" t="s">
        <v>126</v>
      </c>
      <c r="B14" s="1214">
        <f ca="1">+XNPV(B13,B10:W10,B4:W4)</f>
        <v>-2576.1826357244377</v>
      </c>
      <c r="D14" t="s">
        <v>14</v>
      </c>
      <c r="F14" s="1246">
        <v>0.4</v>
      </c>
      <c r="H14" t="s">
        <v>19</v>
      </c>
      <c r="J14" s="1220">
        <v>0.11</v>
      </c>
    </row>
    <row r="15" spans="1:24">
      <c r="A15" t="s">
        <v>125</v>
      </c>
      <c r="B15" s="1221">
        <f ca="1">XIRR(B10:W10,B4:W4)</f>
        <v>0.17004532217979432</v>
      </c>
      <c r="D15" t="s">
        <v>15</v>
      </c>
      <c r="F15" s="1214">
        <v>1</v>
      </c>
      <c r="H15" t="s">
        <v>20</v>
      </c>
      <c r="J15">
        <v>0</v>
      </c>
    </row>
    <row r="17" spans="1:24" ht="13.5" thickBot="1">
      <c r="A17" s="1201" t="s">
        <v>18</v>
      </c>
      <c r="B17" s="1216">
        <f ca="1">+XNPV(B13,C17:W17,C4:W4)</f>
        <v>85963.710248042436</v>
      </c>
      <c r="C17" s="1216">
        <f ca="1">+CF!E46</f>
        <v>0</v>
      </c>
      <c r="D17" s="1216">
        <f ca="1">+CF!F46</f>
        <v>-13.275999937924599</v>
      </c>
      <c r="E17" s="1216">
        <f ca="1">+CF!G46</f>
        <v>8604.1962980564422</v>
      </c>
      <c r="F17" s="1216">
        <f ca="1">+CF!H46</f>
        <v>14220.938045161965</v>
      </c>
      <c r="G17" s="1216">
        <f ca="1">+CF!I46</f>
        <v>13565.64099964267</v>
      </c>
      <c r="H17" s="1216">
        <f ca="1">+CF!J46</f>
        <v>19099.431253024326</v>
      </c>
      <c r="I17" s="1216">
        <f ca="1">+CF!K46</f>
        <v>19379.61484794068</v>
      </c>
      <c r="J17" s="1216">
        <f ca="1">+CF!L46</f>
        <v>23437.1491854552</v>
      </c>
      <c r="K17" s="1216">
        <f ca="1">+CF!M46</f>
        <v>24344.707667100865</v>
      </c>
      <c r="L17" s="1216">
        <f ca="1">+CF!N46</f>
        <v>24485.488092459338</v>
      </c>
      <c r="M17" s="1216">
        <f ca="1">+CF!O46</f>
        <v>25830.153415031691</v>
      </c>
      <c r="N17" s="1216">
        <f ca="1">+CF!P46</f>
        <v>26597.155621630889</v>
      </c>
      <c r="O17" s="1216">
        <f ca="1">+CF!Q46</f>
        <v>27679.458534726189</v>
      </c>
      <c r="P17" s="1216">
        <f ca="1">+CF!R46</f>
        <v>29538.859488661044</v>
      </c>
      <c r="Q17" s="1216">
        <f ca="1">+CF!S46</f>
        <v>28010.230908751848</v>
      </c>
      <c r="R17" s="1216">
        <f ca="1">+CF!T46</f>
        <v>30595.117817383754</v>
      </c>
      <c r="S17" s="1216">
        <f ca="1">+CF!U46</f>
        <v>31458.567262612829</v>
      </c>
      <c r="T17" s="1216">
        <f ca="1">+CF!V46</f>
        <v>32306.082879734346</v>
      </c>
      <c r="U17" s="1216">
        <f ca="1">+CF!W46</f>
        <v>33381.813610301098</v>
      </c>
      <c r="V17" s="1216">
        <f ca="1">+CF!X46</f>
        <v>34547.704037227639</v>
      </c>
      <c r="W17" s="1216">
        <f ca="1">+CF!Y46</f>
        <v>11528.791954895343</v>
      </c>
      <c r="X17" s="1196"/>
    </row>
    <row r="18" spans="1:24" ht="13.5" thickTop="1">
      <c r="C18" s="1215"/>
      <c r="D18" s="1215"/>
      <c r="E18" s="1215"/>
      <c r="F18" s="1215"/>
      <c r="G18" s="1215"/>
      <c r="H18" s="1215"/>
      <c r="I18" s="1215"/>
      <c r="J18" s="1215"/>
      <c r="K18" s="1215"/>
      <c r="L18" s="1215"/>
      <c r="M18" s="1215"/>
      <c r="N18" s="1215"/>
      <c r="O18" s="1215"/>
      <c r="P18" s="1215"/>
      <c r="Q18" s="1215"/>
      <c r="R18" s="1215"/>
      <c r="S18" s="1215"/>
      <c r="T18" s="1215"/>
      <c r="U18" s="1215"/>
      <c r="V18" s="1215"/>
      <c r="W18" s="1215"/>
    </row>
    <row r="19" spans="1:24" ht="13.5" thickBot="1">
      <c r="A19" s="1201" t="s">
        <v>22</v>
      </c>
      <c r="B19" s="1225">
        <f>+BS_IS!F35</f>
        <v>0</v>
      </c>
      <c r="C19" s="1225">
        <f ca="1">+BS_IS!G35</f>
        <v>0</v>
      </c>
      <c r="D19" s="1225">
        <f ca="1">+BS_IS!H35</f>
        <v>0</v>
      </c>
      <c r="E19" s="1225">
        <f ca="1">+BS_IS!I35</f>
        <v>0</v>
      </c>
      <c r="F19" s="1225">
        <f ca="1">+BS_IS!J35</f>
        <v>0</v>
      </c>
      <c r="G19" s="1225">
        <f ca="1">+BS_IS!K35</f>
        <v>0</v>
      </c>
      <c r="H19" s="1225">
        <f ca="1">+BS_IS!L35</f>
        <v>0</v>
      </c>
      <c r="I19" s="1225">
        <f ca="1">+BS_IS!M35</f>
        <v>0</v>
      </c>
      <c r="J19" s="1225">
        <f ca="1">+BS_IS!N35</f>
        <v>0</v>
      </c>
      <c r="K19" s="1225">
        <f ca="1">+BS_IS!O35</f>
        <v>0</v>
      </c>
      <c r="L19" s="1225">
        <f ca="1">+BS_IS!P35</f>
        <v>0</v>
      </c>
      <c r="M19" s="1225">
        <f ca="1">+BS_IS!Q35</f>
        <v>0</v>
      </c>
      <c r="N19" s="1225">
        <f ca="1">+BS_IS!R35</f>
        <v>0</v>
      </c>
      <c r="O19" s="1225">
        <f ca="1">+BS_IS!S35</f>
        <v>0</v>
      </c>
      <c r="P19" s="1225">
        <f ca="1">+BS_IS!T35</f>
        <v>0</v>
      </c>
      <c r="Q19" s="1225">
        <f ca="1">+BS_IS!U35</f>
        <v>0</v>
      </c>
      <c r="R19" s="1225">
        <f ca="1">+BS_IS!V35</f>
        <v>0</v>
      </c>
      <c r="S19" s="1225">
        <f ca="1">+BS_IS!W35</f>
        <v>0</v>
      </c>
      <c r="T19" s="1225">
        <f ca="1">+BS_IS!X35</f>
        <v>0</v>
      </c>
      <c r="U19" s="1225">
        <f ca="1">+BS_IS!Y35</f>
        <v>0</v>
      </c>
      <c r="V19" s="1225">
        <f ca="1">+BS_IS!Z35</f>
        <v>0</v>
      </c>
      <c r="W19" s="1225">
        <f ca="1">+BS_IS!AA35</f>
        <v>0</v>
      </c>
    </row>
    <row r="20" spans="1:24" ht="13.5" thickTop="1"/>
    <row r="28" spans="1:24">
      <c r="A28" s="1213"/>
    </row>
    <row r="30" spans="1:24">
      <c r="A30" s="6" t="s">
        <v>27</v>
      </c>
    </row>
    <row r="32" spans="1:24">
      <c r="A32" t="s">
        <v>26</v>
      </c>
      <c r="D32" s="1215"/>
      <c r="F32" t="s">
        <v>19</v>
      </c>
      <c r="J32" t="s">
        <v>21</v>
      </c>
    </row>
    <row r="33" spans="1:11">
      <c r="A33" s="1215"/>
      <c r="B33" t="s">
        <v>23</v>
      </c>
      <c r="C33" t="s">
        <v>24</v>
      </c>
      <c r="D33" s="1213"/>
      <c r="F33" s="1215"/>
      <c r="G33" t="s">
        <v>23</v>
      </c>
      <c r="J33" s="1215"/>
      <c r="K33" t="s">
        <v>23</v>
      </c>
    </row>
    <row r="34" spans="1:11">
      <c r="A34" s="1213">
        <v>36951</v>
      </c>
      <c r="B34" s="1227">
        <v>6288.8793765469427</v>
      </c>
      <c r="C34" s="1227">
        <v>123315.91004156313</v>
      </c>
      <c r="D34" s="1213"/>
      <c r="F34" s="1220">
        <v>0.1</v>
      </c>
      <c r="G34" s="1227">
        <v>6865.3948426702073</v>
      </c>
      <c r="J34" s="1220">
        <v>-0.2</v>
      </c>
      <c r="K34" s="1227">
        <v>360.44761622378064</v>
      </c>
    </row>
    <row r="35" spans="1:11">
      <c r="A35" s="1213">
        <v>36982</v>
      </c>
      <c r="B35" s="1227">
        <v>6093.2642321468475</v>
      </c>
      <c r="C35" s="1227">
        <v>122072.56411094649</v>
      </c>
      <c r="D35" s="1213"/>
      <c r="F35" s="1228">
        <v>0.105</v>
      </c>
      <c r="G35" s="1227">
        <v>6576.8453406055678</v>
      </c>
      <c r="J35" s="1220">
        <v>-0.1</v>
      </c>
      <c r="K35" s="1227">
        <v>3374.8129976958198</v>
      </c>
    </row>
    <row r="36" spans="1:11">
      <c r="A36" s="1213">
        <v>37012</v>
      </c>
      <c r="B36" s="1227">
        <v>5896.8318688735189</v>
      </c>
      <c r="C36" s="1227">
        <v>120811.17427470491</v>
      </c>
      <c r="D36" s="1213"/>
      <c r="F36" s="1220">
        <v>0.11</v>
      </c>
      <c r="G36" s="1227">
        <v>6288.8793765469427</v>
      </c>
      <c r="J36" s="1220">
        <v>0</v>
      </c>
      <c r="K36" s="1227">
        <v>6288.8793765469427</v>
      </c>
    </row>
    <row r="37" spans="1:11">
      <c r="A37" s="1213">
        <v>37043</v>
      </c>
      <c r="B37" s="1227">
        <v>5781.0587193042002</v>
      </c>
      <c r="C37" s="1227">
        <v>120076.9537082918</v>
      </c>
      <c r="D37" s="1213"/>
      <c r="F37" s="1228">
        <v>0.115</v>
      </c>
      <c r="G37" s="1227">
        <v>5999.2635273088617</v>
      </c>
      <c r="H37" s="1227">
        <f>+G36-G37</f>
        <v>289.61584923808095</v>
      </c>
      <c r="J37" s="1220">
        <v>0.1</v>
      </c>
      <c r="K37" s="1227">
        <v>9122.0887625585674</v>
      </c>
    </row>
    <row r="38" spans="1:11">
      <c r="A38" s="1213">
        <v>37073</v>
      </c>
      <c r="B38" s="1227">
        <v>5735.7559408121015</v>
      </c>
      <c r="C38" s="1227">
        <v>119820.07296891745</v>
      </c>
      <c r="F38" s="1220">
        <v>0.12</v>
      </c>
      <c r="G38" s="1227">
        <v>5709.0968891522398</v>
      </c>
      <c r="J38" s="1220">
        <v>0.2</v>
      </c>
      <c r="K38" s="1227">
        <v>11871.20082591919</v>
      </c>
    </row>
    <row r="40" spans="1:11">
      <c r="A40" t="s">
        <v>25</v>
      </c>
      <c r="F40" t="s">
        <v>28</v>
      </c>
    </row>
    <row r="41" spans="1:11">
      <c r="A41" s="1215"/>
      <c r="B41" t="s">
        <v>23</v>
      </c>
      <c r="C41" t="s">
        <v>24</v>
      </c>
      <c r="F41" s="1215"/>
      <c r="G41" t="s">
        <v>23</v>
      </c>
    </row>
    <row r="42" spans="1:11">
      <c r="A42" s="1213">
        <v>37104</v>
      </c>
      <c r="B42" s="1227">
        <v>6288.8793765469427</v>
      </c>
      <c r="C42" s="1227">
        <v>123315.91004156313</v>
      </c>
      <c r="F42" s="1227">
        <v>2500</v>
      </c>
      <c r="G42" s="1227">
        <v>5988.4653259539282</v>
      </c>
    </row>
    <row r="43" spans="1:11">
      <c r="A43" s="1213">
        <v>37591</v>
      </c>
      <c r="B43" s="1227">
        <v>7464.8263771203128</v>
      </c>
      <c r="C43" s="1227">
        <v>117704.90457332459</v>
      </c>
      <c r="F43" s="1227">
        <v>5000</v>
      </c>
      <c r="G43" s="1227">
        <v>5684.8568965858121</v>
      </c>
    </row>
    <row r="44" spans="1:11">
      <c r="A44" s="1213">
        <v>37316</v>
      </c>
      <c r="B44" s="1227">
        <v>6928.8232560153028</v>
      </c>
      <c r="C44" s="1227">
        <v>121113.78705177085</v>
      </c>
      <c r="F44" s="1227">
        <v>7500</v>
      </c>
      <c r="G44" s="1227">
        <v>5361.9738096726705</v>
      </c>
    </row>
    <row r="45" spans="1:11">
      <c r="A45" s="1213">
        <v>37408</v>
      </c>
      <c r="B45" s="1227">
        <v>7086.5858246134985</v>
      </c>
      <c r="C45" s="1227">
        <v>119908.88353431744</v>
      </c>
      <c r="F45" s="1227">
        <v>10000</v>
      </c>
      <c r="G45" s="1227">
        <v>5053.5511676876777</v>
      </c>
    </row>
    <row r="46" spans="1:11">
      <c r="A46" s="1213">
        <v>37500</v>
      </c>
      <c r="B46" s="1227">
        <v>7313.9733263724247</v>
      </c>
      <c r="C46" s="1227">
        <v>119007.43893471031</v>
      </c>
      <c r="F46" s="1227">
        <v>12500</v>
      </c>
      <c r="G46" s="1227">
        <v>4745.4896187755012</v>
      </c>
    </row>
    <row r="48" spans="1:11">
      <c r="A48" t="s">
        <v>29</v>
      </c>
    </row>
    <row r="50" spans="1:7" ht="25.5">
      <c r="A50" s="1229"/>
      <c r="B50" s="130"/>
      <c r="C50" s="1230" t="s">
        <v>30</v>
      </c>
      <c r="D50" s="1230" t="s">
        <v>33</v>
      </c>
      <c r="E50" s="1230" t="s">
        <v>34</v>
      </c>
      <c r="F50" s="1230" t="s">
        <v>35</v>
      </c>
      <c r="G50" s="1230" t="s">
        <v>916</v>
      </c>
    </row>
    <row r="51" spans="1:7" ht="13.5" thickBot="1">
      <c r="A51" s="1203"/>
      <c r="B51" s="1203"/>
      <c r="C51" s="1231" t="s">
        <v>31</v>
      </c>
      <c r="D51" s="1231" t="s">
        <v>32</v>
      </c>
      <c r="E51" s="1231" t="s">
        <v>31</v>
      </c>
      <c r="F51" s="1231" t="s">
        <v>31</v>
      </c>
      <c r="G51" s="1231" t="s">
        <v>39</v>
      </c>
    </row>
    <row r="52" spans="1:7">
      <c r="A52" t="s">
        <v>1170</v>
      </c>
      <c r="C52" s="1198">
        <f>300/430</f>
        <v>0.69767441860465118</v>
      </c>
      <c r="D52" s="1198">
        <f>234/319</f>
        <v>0.73354231974921635</v>
      </c>
      <c r="E52" s="1198">
        <f>118.5/305</f>
        <v>0.38852459016393442</v>
      </c>
      <c r="F52" s="1198">
        <f>188.1/312.6</f>
        <v>0.60172744721689053</v>
      </c>
      <c r="G52" s="1220">
        <f ca="1">+AVERAGE(CommonSize!I33:AA33)</f>
        <v>0.84063794001554448</v>
      </c>
    </row>
    <row r="53" spans="1:7">
      <c r="A53" t="s">
        <v>1166</v>
      </c>
      <c r="C53" s="1198">
        <f>146/430</f>
        <v>0.33953488372093021</v>
      </c>
      <c r="D53" s="1198">
        <v>0.25359999999999999</v>
      </c>
      <c r="E53" s="1198">
        <v>0.25</v>
      </c>
      <c r="F53" s="1198">
        <v>0.25180000000000002</v>
      </c>
      <c r="G53" s="1220">
        <f ca="1">+AVERAGE(CommonSize!I42:AA42)</f>
        <v>0.30608654633200155</v>
      </c>
    </row>
    <row r="54" spans="1:7">
      <c r="A54" s="1232" t="s">
        <v>37</v>
      </c>
      <c r="B54" s="1232"/>
      <c r="C54" s="1233">
        <v>1.1499999999999999</v>
      </c>
      <c r="D54" s="1233">
        <f>173/19</f>
        <v>9.1052631578947363</v>
      </c>
      <c r="E54" s="1233">
        <f>91.5/46.5</f>
        <v>1.967741935483871</v>
      </c>
      <c r="F54" s="1233">
        <f>101/-11</f>
        <v>-9.1818181818181817</v>
      </c>
      <c r="G54" s="1233">
        <f ca="1">+AVERAGE(CommonSize!I56:AA56)</f>
        <v>1.3757659885161182</v>
      </c>
    </row>
    <row r="55" spans="1:7">
      <c r="A55" t="s">
        <v>1169</v>
      </c>
      <c r="C55" s="1228">
        <v>0.16520000000000001</v>
      </c>
      <c r="D55" s="1228">
        <v>0.15840000000000001</v>
      </c>
      <c r="E55" s="1228">
        <v>0.24790000000000001</v>
      </c>
      <c r="F55" s="1228">
        <v>0.14560000000000001</v>
      </c>
      <c r="G55" s="1220">
        <f ca="1">+AVERAGE(CommonSize!I50:AA50)</f>
        <v>0.21143621013388228</v>
      </c>
    </row>
    <row r="56" spans="1:7">
      <c r="A56" s="1232" t="s">
        <v>1168</v>
      </c>
      <c r="B56" s="1232"/>
      <c r="C56" s="1234">
        <v>6.8500000000000005E-2</v>
      </c>
      <c r="D56" s="1234">
        <v>4.3900000000000002E-2</v>
      </c>
      <c r="E56" s="1234">
        <v>0.1181</v>
      </c>
      <c r="F56" s="1234">
        <v>5.57E-2</v>
      </c>
      <c r="G56" s="1235">
        <f ca="1">AVERAGE(CommonSize!I49:AA49)</f>
        <v>0.14872888087929642</v>
      </c>
    </row>
    <row r="57" spans="1:7">
      <c r="A57" t="s">
        <v>1177</v>
      </c>
      <c r="C57" s="1226">
        <v>0.2</v>
      </c>
      <c r="D57">
        <v>0.17</v>
      </c>
      <c r="E57">
        <v>0.47</v>
      </c>
      <c r="F57">
        <v>0.22</v>
      </c>
      <c r="G57" s="1226">
        <f ca="1">+AVERAGE(CommonSize!I59:AA59)</f>
        <v>0.28792951314564058</v>
      </c>
    </row>
    <row r="58" spans="1:7">
      <c r="A58" s="1232" t="s">
        <v>36</v>
      </c>
      <c r="B58" s="1232"/>
      <c r="C58" s="1232">
        <v>0.21</v>
      </c>
      <c r="D58" s="1232">
        <v>0.18</v>
      </c>
      <c r="E58" s="1232">
        <v>0.56000000000000005</v>
      </c>
      <c r="F58" s="1232">
        <v>0.24</v>
      </c>
      <c r="G58" s="1233">
        <f ca="1">+AVERAGE(CommonSize!I61:AA61)</f>
        <v>0.5639186972290513</v>
      </c>
    </row>
    <row r="59" spans="1:7" ht="13.5" thickBot="1">
      <c r="A59" s="1236" t="s">
        <v>38</v>
      </c>
      <c r="B59" s="1236"/>
      <c r="C59" s="1236">
        <v>3.79</v>
      </c>
      <c r="D59" s="1236">
        <v>3.46</v>
      </c>
      <c r="E59" s="1236">
        <v>7.03</v>
      </c>
      <c r="F59" s="1236">
        <v>3.22</v>
      </c>
      <c r="G59" s="1237">
        <f ca="1">+AVERAGE(CommonSize!I66:V66)</f>
        <v>5.0955731726384856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A73"/>
  <sheetViews>
    <sheetView topLeftCell="A41" zoomScale="75" workbookViewId="0">
      <selection activeCell="D44" sqref="D44"/>
    </sheetView>
  </sheetViews>
  <sheetFormatPr defaultRowHeight="12.75"/>
  <cols>
    <col min="6" max="6" width="10.28515625" bestFit="1" customWidth="1"/>
  </cols>
  <sheetData>
    <row r="1" spans="1:27">
      <c r="A1" s="6" t="s">
        <v>1165</v>
      </c>
    </row>
    <row r="2" spans="1:27">
      <c r="A2" s="6"/>
    </row>
    <row r="3" spans="1:27" ht="13.5" thickBot="1">
      <c r="A3" s="79" t="s">
        <v>241</v>
      </c>
      <c r="B3" s="1203"/>
      <c r="C3" s="1203"/>
      <c r="D3" s="1203"/>
      <c r="E3" s="1203"/>
      <c r="F3" s="1211">
        <f>+BS_IS!G7</f>
        <v>1998</v>
      </c>
      <c r="G3" s="1211">
        <f>+BS_IS!H7</f>
        <v>1999</v>
      </c>
      <c r="H3" s="1211">
        <f>+BS_IS!I7</f>
        <v>2000</v>
      </c>
      <c r="I3" s="1211">
        <f>+BS_IS!J7</f>
        <v>2001</v>
      </c>
      <c r="J3" s="1211">
        <f>+BS_IS!K7</f>
        <v>2002</v>
      </c>
      <c r="K3" s="1211">
        <f>+BS_IS!L7</f>
        <v>2003</v>
      </c>
      <c r="L3" s="1211">
        <f>+BS_IS!M7</f>
        <v>2004</v>
      </c>
      <c r="M3" s="1211">
        <f>+BS_IS!N7</f>
        <v>2005</v>
      </c>
      <c r="N3" s="1211">
        <f>+BS_IS!O7</f>
        <v>2006</v>
      </c>
      <c r="O3" s="1211">
        <f>+BS_IS!P7</f>
        <v>2007</v>
      </c>
      <c r="P3" s="1211">
        <f>+BS_IS!Q7</f>
        <v>2008</v>
      </c>
      <c r="Q3" s="1211">
        <f>+BS_IS!R7</f>
        <v>2009</v>
      </c>
      <c r="R3" s="1211">
        <f>+BS_IS!S7</f>
        <v>2010</v>
      </c>
      <c r="S3" s="1211">
        <f>+BS_IS!T7</f>
        <v>2011</v>
      </c>
      <c r="T3" s="1211">
        <f>+BS_IS!U7</f>
        <v>2012</v>
      </c>
      <c r="U3" s="1211">
        <f>+BS_IS!V7</f>
        <v>2013</v>
      </c>
      <c r="V3" s="1211">
        <f>+BS_IS!W7</f>
        <v>2014</v>
      </c>
      <c r="W3" s="1211">
        <f>+BS_IS!X7</f>
        <v>2015</v>
      </c>
      <c r="X3" s="1211">
        <f>+BS_IS!Y7</f>
        <v>2016</v>
      </c>
      <c r="Y3" s="1211">
        <f>+BS_IS!Z7</f>
        <v>2017</v>
      </c>
      <c r="Z3" s="1211">
        <f>+BS_IS!AA7</f>
        <v>2018</v>
      </c>
      <c r="AA3" s="1211">
        <f>+BS_IS!AB7</f>
        <v>2019</v>
      </c>
    </row>
    <row r="4" spans="1:27">
      <c r="A4" s="6"/>
    </row>
    <row r="5" spans="1:27">
      <c r="A5" s="71" t="s">
        <v>388</v>
      </c>
    </row>
    <row r="6" spans="1:27">
      <c r="A6" s="5" t="s">
        <v>389</v>
      </c>
      <c r="F6" s="1197">
        <f ca="1">+BS_IS!G9/BS_IS!G18</f>
        <v>-8.7684651685946836E-17</v>
      </c>
      <c r="G6" s="1197">
        <f ca="1">+BS_IS!H9/BS_IS!H18</f>
        <v>-1.5034489344722168E-16</v>
      </c>
      <c r="H6" s="1197">
        <f ca="1">+BS_IS!I9/BS_IS!I18</f>
        <v>-8.2452747210786077E-17</v>
      </c>
      <c r="I6" s="1197">
        <f ca="1">+BS_IS!J9/BS_IS!J18</f>
        <v>-8.2495676504639073E-17</v>
      </c>
      <c r="J6" s="1197">
        <f ca="1">+BS_IS!K9/BS_IS!K18</f>
        <v>-8.5316291409722604E-17</v>
      </c>
      <c r="K6" s="1197">
        <f ca="1">+BS_IS!L9/BS_IS!L18</f>
        <v>-8.9234929137140155E-17</v>
      </c>
      <c r="L6" s="1197">
        <f ca="1">+BS_IS!M9/BS_IS!M18</f>
        <v>-9.2441608907725291E-17</v>
      </c>
      <c r="M6" s="1197">
        <f ca="1">+BS_IS!N9/BS_IS!N18</f>
        <v>-9.6431223205724331E-17</v>
      </c>
      <c r="N6" s="1197">
        <f ca="1">+BS_IS!O9/BS_IS!O18</f>
        <v>-9.923725539375589E-17</v>
      </c>
      <c r="O6" s="1197">
        <f ca="1">+BS_IS!P9/BS_IS!P18</f>
        <v>-1.055327291949621E-16</v>
      </c>
      <c r="P6" s="1197">
        <f ca="1">+BS_IS!Q9/BS_IS!Q18</f>
        <v>-1.0991825743898245E-16</v>
      </c>
      <c r="Q6" s="1197">
        <f ca="1">+BS_IS!R9/BS_IS!R18</f>
        <v>-1.1160281122877169E-16</v>
      </c>
      <c r="R6" s="1197">
        <f ca="1">+BS_IS!S9/BS_IS!S18</f>
        <v>-1.1297366767415571E-16</v>
      </c>
      <c r="S6" s="1197">
        <f ca="1">+BS_IS!T9/BS_IS!T18</f>
        <v>-1.1672719767189761E-16</v>
      </c>
      <c r="T6" s="1197">
        <f ca="1">+BS_IS!U9/BS_IS!U18</f>
        <v>-1.2762962788364153E-16</v>
      </c>
      <c r="U6" s="1197">
        <f ca="1">+BS_IS!V9/BS_IS!V18</f>
        <v>-1.4019486480238532E-16</v>
      </c>
      <c r="V6" s="1197">
        <f ca="1">+BS_IS!W9/BS_IS!W18</f>
        <v>-1.5579329797031504E-16</v>
      </c>
      <c r="W6" s="1197">
        <f ca="1">+BS_IS!X9/BS_IS!X18</f>
        <v>-1.6987429277527257E-16</v>
      </c>
      <c r="X6" s="1197">
        <f ca="1">+BS_IS!Y9/BS_IS!Y18</f>
        <v>-1.718495493966589E-16</v>
      </c>
      <c r="Y6" s="1197">
        <f ca="1">+BS_IS!Z9/BS_IS!Z18</f>
        <v>-1.7377555751260957E-16</v>
      </c>
      <c r="Z6" s="1197">
        <f ca="1">+BS_IS!AA9/BS_IS!AA18</f>
        <v>-1.7563923628794056E-16</v>
      </c>
      <c r="AA6" s="1197">
        <f ca="1">+BS_IS!AB9/BS_IS!AB18</f>
        <v>-9.4650825758819957E-16</v>
      </c>
    </row>
    <row r="7" spans="1:27">
      <c r="A7" s="5" t="s">
        <v>390</v>
      </c>
      <c r="F7" s="1197">
        <f ca="1">+BS_IS!G10/BS_IS!G18</f>
        <v>7.9552286651936893E-2</v>
      </c>
      <c r="G7" s="1197">
        <f ca="1">+BS_IS!H10/BS_IS!H18</f>
        <v>7.8672006987311985E-2</v>
      </c>
      <c r="H7" s="1197">
        <f ca="1">+BS_IS!I10/BS_IS!I18</f>
        <v>7.6114158394646858E-2</v>
      </c>
      <c r="I7" s="1197">
        <f ca="1">+BS_IS!J10/BS_IS!J18</f>
        <v>6.4124031284150784E-2</v>
      </c>
      <c r="J7" s="1197">
        <f ca="1">+BS_IS!K10/BS_IS!K18</f>
        <v>4.5363153627879023E-2</v>
      </c>
      <c r="K7" s="1197">
        <f ca="1">+BS_IS!L10/BS_IS!L18</f>
        <v>2.4858312362486042E-2</v>
      </c>
      <c r="L7" s="1197">
        <f ca="1">+BS_IS!M10/BS_IS!M18</f>
        <v>1.5964693394198899E-3</v>
      </c>
      <c r="M7" s="1197">
        <f ca="1">+BS_IS!N10/BS_IS!N18</f>
        <v>0</v>
      </c>
      <c r="N7" s="1197">
        <f ca="1">+BS_IS!O10/BS_IS!O18</f>
        <v>0</v>
      </c>
      <c r="O7" s="1197">
        <f ca="1">+BS_IS!P10/BS_IS!P18</f>
        <v>0</v>
      </c>
      <c r="P7" s="1197">
        <f ca="1">+BS_IS!Q10/BS_IS!Q18</f>
        <v>0</v>
      </c>
      <c r="Q7" s="1197">
        <f ca="1">+BS_IS!R10/BS_IS!R18</f>
        <v>0</v>
      </c>
      <c r="R7" s="1197">
        <f ca="1">+BS_IS!S10/BS_IS!S18</f>
        <v>0</v>
      </c>
      <c r="S7" s="1197">
        <f ca="1">+BS_IS!T10/BS_IS!T18</f>
        <v>0</v>
      </c>
      <c r="T7" s="1197">
        <f ca="1">+BS_IS!U10/BS_IS!U18</f>
        <v>0</v>
      </c>
      <c r="U7" s="1197">
        <f ca="1">+BS_IS!V10/BS_IS!V18</f>
        <v>0</v>
      </c>
      <c r="V7" s="1197">
        <f ca="1">+BS_IS!W10/BS_IS!W18</f>
        <v>0</v>
      </c>
      <c r="W7" s="1197">
        <f ca="1">+BS_IS!X10/BS_IS!X18</f>
        <v>0</v>
      </c>
      <c r="X7" s="1197">
        <f ca="1">+BS_IS!Y10/BS_IS!Y18</f>
        <v>0</v>
      </c>
      <c r="Y7" s="1197">
        <f ca="1">+BS_IS!Z10/BS_IS!Z18</f>
        <v>0</v>
      </c>
      <c r="Z7" s="1199">
        <f ca="1">+BS_IS!AA10/BS_IS!AA18</f>
        <v>0</v>
      </c>
      <c r="AA7" s="1197">
        <f ca="1">+BS_IS!AB10/BS_IS!AB18</f>
        <v>0</v>
      </c>
    </row>
    <row r="8" spans="1:27">
      <c r="A8" s="5" t="s">
        <v>244</v>
      </c>
      <c r="F8" s="1197">
        <f ca="1">+BS_IS!G11/BS_IS!G18</f>
        <v>0</v>
      </c>
      <c r="G8" s="1197">
        <f ca="1">+BS_IS!H11/BS_IS!H18</f>
        <v>0</v>
      </c>
      <c r="H8" s="1197">
        <f ca="1">+BS_IS!I11/BS_IS!I18</f>
        <v>0</v>
      </c>
      <c r="I8" s="1197">
        <f ca="1">+BS_IS!J11/BS_IS!J18</f>
        <v>1.4253635873415402E-3</v>
      </c>
      <c r="J8" s="1197">
        <f ca="1">+BS_IS!K11/BS_IS!K18</f>
        <v>1.4740982841155317E-3</v>
      </c>
      <c r="K8" s="1197">
        <f ca="1">+BS_IS!L11/BS_IS!L18</f>
        <v>1.5418046629865469E-3</v>
      </c>
      <c r="L8" s="1197">
        <f ca="1">+BS_IS!M11/BS_IS!M18</f>
        <v>1.5972098038971709E-3</v>
      </c>
      <c r="M8" s="1197">
        <f ca="1">+BS_IS!N11/BS_IS!N18</f>
        <v>1.6661425187841773E-3</v>
      </c>
      <c r="N8" s="1197">
        <f ca="1">+BS_IS!O11/BS_IS!O18</f>
        <v>1.7146252547916043E-3</v>
      </c>
      <c r="O8" s="1197">
        <f ca="1">+BS_IS!P11/BS_IS!P18</f>
        <v>1.8233987020982317E-3</v>
      </c>
      <c r="P8" s="1197">
        <f ca="1">+BS_IS!Q11/BS_IS!Q18</f>
        <v>1.8991720339277245E-3</v>
      </c>
      <c r="Q8" s="1197">
        <f ca="1">+BS_IS!R11/BS_IS!R18</f>
        <v>1.9282778214625264E-3</v>
      </c>
      <c r="R8" s="1197">
        <f ca="1">+BS_IS!S11/BS_IS!S18</f>
        <v>1.9519635337751343E-3</v>
      </c>
      <c r="S8" s="1197">
        <f ca="1">+BS_IS!T11/BS_IS!T18</f>
        <v>2.0168171747107851E-3</v>
      </c>
      <c r="T8" s="1197">
        <f ca="1">+BS_IS!U11/BS_IS!U18</f>
        <v>2.2051897985352377E-3</v>
      </c>
      <c r="U8" s="1197">
        <f ca="1">+BS_IS!V11/BS_IS!V18</f>
        <v>2.4222924629311087E-3</v>
      </c>
      <c r="V8" s="1197">
        <f ca="1">+BS_IS!W11/BS_IS!W18</f>
        <v>2.6918028130389388E-3</v>
      </c>
      <c r="W8" s="1197">
        <f ca="1">+BS_IS!X11/BS_IS!X18</f>
        <v>2.9350948026185776E-3</v>
      </c>
      <c r="X8" s="1197">
        <f ca="1">+BS_IS!Y11/BS_IS!Y18</f>
        <v>2.9692233652665974E-3</v>
      </c>
      <c r="Y8" s="1197">
        <f ca="1">+BS_IS!Z11/BS_IS!Z18</f>
        <v>3.0025010102744053E-3</v>
      </c>
      <c r="Z8" s="1199">
        <f ca="1">+BS_IS!AA11/BS_IS!AA18</f>
        <v>3.0347017264502245E-3</v>
      </c>
      <c r="AA8" s="1197">
        <f ca="1">+BS_IS!AB11/BS_IS!AB18</f>
        <v>1.6353807407209278E-2</v>
      </c>
    </row>
    <row r="9" spans="1:27">
      <c r="A9" s="5" t="s">
        <v>391</v>
      </c>
      <c r="F9" s="1197">
        <f ca="1">+BS_IS!G12/BS_IS!G18</f>
        <v>0</v>
      </c>
      <c r="G9" s="1197">
        <f ca="1">+BS_IS!H12/BS_IS!H18</f>
        <v>0</v>
      </c>
      <c r="H9" s="1197">
        <f ca="1">+BS_IS!I12/BS_IS!I18</f>
        <v>0</v>
      </c>
      <c r="I9" s="1197">
        <f ca="1">+BS_IS!J12/BS_IS!J18</f>
        <v>3.905509672216359E-2</v>
      </c>
      <c r="J9" s="1197">
        <f ca="1">+BS_IS!K12/BS_IS!K18</f>
        <v>7.5466282030189485E-2</v>
      </c>
      <c r="K9" s="1197">
        <f ca="1">+BS_IS!L12/BS_IS!L18</f>
        <v>0.10612283952216016</v>
      </c>
      <c r="L9" s="1197">
        <f ca="1">+BS_IS!M12/BS_IS!M18</f>
        <v>0.15050481686323297</v>
      </c>
      <c r="M9" s="1197">
        <f ca="1">+BS_IS!N12/BS_IS!N18</f>
        <v>0.1701153122811028</v>
      </c>
      <c r="N9" s="1197">
        <f ca="1">+BS_IS!O12/BS_IS!O18</f>
        <v>0.20216350736390296</v>
      </c>
      <c r="O9" s="1197">
        <f ca="1">+BS_IS!P12/BS_IS!P18</f>
        <v>0.21131175429702242</v>
      </c>
      <c r="P9" s="1197">
        <f ca="1">+BS_IS!Q12/BS_IS!Q18</f>
        <v>0.24078230754910543</v>
      </c>
      <c r="Q9" s="1197">
        <f ca="1">+BS_IS!R12/BS_IS!R18</f>
        <v>0.29234620614180196</v>
      </c>
      <c r="R9" s="1197">
        <f ca="1">+BS_IS!S12/BS_IS!S18</f>
        <v>0.34762944566529419</v>
      </c>
      <c r="S9" s="1197">
        <f ca="1">+BS_IS!T12/BS_IS!T18</f>
        <v>0.39205572711432718</v>
      </c>
      <c r="T9" s="1197">
        <f ca="1">+BS_IS!U12/BS_IS!U18</f>
        <v>0.40754824856416605</v>
      </c>
      <c r="U9" s="1197">
        <f ca="1">+BS_IS!V12/BS_IS!V18</f>
        <v>0.42861153755938453</v>
      </c>
      <c r="V9" s="1197">
        <f ca="1">+BS_IS!W12/BS_IS!W18</f>
        <v>0.45326124981599253</v>
      </c>
      <c r="W9" s="1197">
        <f ca="1">+BS_IS!X12/BS_IS!X18</f>
        <v>0.50004333353066055</v>
      </c>
      <c r="X9" s="1197">
        <f ca="1">+BS_IS!Y12/BS_IS!Y18</f>
        <v>0.59154624709681092</v>
      </c>
      <c r="Y9" s="1197">
        <f ca="1">+BS_IS!Z12/BS_IS!Z18</f>
        <v>0.68537545326869043</v>
      </c>
      <c r="Z9" s="1197">
        <f ca="1">+BS_IS!AA12/BS_IS!AA18</f>
        <v>0.78146356120632332</v>
      </c>
      <c r="AA9" s="1197">
        <f ca="1">+BS_IS!AB12/BS_IS!AB18</f>
        <v>9.8687793692316659E-4</v>
      </c>
    </row>
    <row r="10" spans="1:27">
      <c r="A10" s="5" t="s">
        <v>392</v>
      </c>
      <c r="F10" s="1197">
        <f ca="1">+BS_IS!G16/BS_IS!G18</f>
        <v>0.92044771334806319</v>
      </c>
      <c r="G10" s="1197">
        <f ca="1">+BS_IS!H16/BS_IS!H18</f>
        <v>0.92132799301268808</v>
      </c>
      <c r="H10" s="1197">
        <f ca="1">+BS_IS!I16/BS_IS!I18</f>
        <v>0.92388584160535325</v>
      </c>
      <c r="I10" s="1197">
        <f ca="1">+BS_IS!J16/BS_IS!J18</f>
        <v>0.89539550840634419</v>
      </c>
      <c r="J10" s="1197">
        <f ca="1">+BS_IS!K16/BS_IS!K18</f>
        <v>0.87769646605781604</v>
      </c>
      <c r="K10" s="1197">
        <f ca="1">+BS_IS!L16/BS_IS!L18</f>
        <v>0.86747704345236742</v>
      </c>
      <c r="L10" s="1197">
        <f ca="1">+BS_IS!M16/BS_IS!M18</f>
        <v>0.84630150399344994</v>
      </c>
      <c r="M10" s="1197">
        <f ca="1">+BS_IS!N16/BS_IS!N18</f>
        <v>0.82821854520011318</v>
      </c>
      <c r="N10" s="1197">
        <f ca="1">+BS_IS!O16/BS_IS!O18</f>
        <v>0.79612186738130553</v>
      </c>
      <c r="O10" s="1197">
        <f ca="1">+BS_IS!P16/BS_IS!P18</f>
        <v>0.78686484700087933</v>
      </c>
      <c r="P10" s="1197">
        <f ca="1">+BS_IS!Q16/BS_IS!Q18</f>
        <v>0.7573185204169669</v>
      </c>
      <c r="Q10" s="1197">
        <f ca="1">+BS_IS!R16/BS_IS!R18</f>
        <v>0.70572551603673561</v>
      </c>
      <c r="R10" s="1197">
        <f ca="1">+BS_IS!S16/BS_IS!S18</f>
        <v>0.65041859080093078</v>
      </c>
      <c r="S10" s="1197">
        <f ca="1">+BS_IS!T16/BS_IS!T18</f>
        <v>0.60592745571096218</v>
      </c>
      <c r="T10" s="1197">
        <f ca="1">+BS_IS!U16/BS_IS!U18</f>
        <v>0.59024656163729872</v>
      </c>
      <c r="U10" s="1197">
        <f ca="1">+BS_IS!V16/BS_IS!V18</f>
        <v>0.56896616997768457</v>
      </c>
      <c r="V10" s="1197">
        <f ca="1">+BS_IS!W16/BS_IS!W18</f>
        <v>0.5440469473709687</v>
      </c>
      <c r="W10" s="1197">
        <f ca="1">+BS_IS!X16/BS_IS!X18</f>
        <v>0.49702157166672106</v>
      </c>
      <c r="X10" s="1197">
        <f ca="1">+BS_IS!Y16/BS_IS!Y18</f>
        <v>0.40548452953792269</v>
      </c>
      <c r="Y10" s="1197">
        <f ca="1">+BS_IS!Z16/BS_IS!Z18</f>
        <v>0.31162204572103541</v>
      </c>
      <c r="Z10" s="1197">
        <f ca="1">+BS_IS!AA16/BS_IS!AA18</f>
        <v>0.21550173706722667</v>
      </c>
      <c r="AA10" s="1197">
        <f ca="1">+BS_IS!AB16/BS_IS!AB18</f>
        <v>0.98265931465586853</v>
      </c>
    </row>
    <row r="11" spans="1:27">
      <c r="A11" s="5" t="s">
        <v>245</v>
      </c>
      <c r="F11" s="1197">
        <f ca="1">+BS_IS!G17/BS_IS!G18</f>
        <v>0</v>
      </c>
      <c r="G11" s="1197">
        <f ca="1">+BS_IS!H17/BS_IS!H18</f>
        <v>0</v>
      </c>
      <c r="H11" s="1197">
        <f ca="1">+BS_IS!I17/BS_IS!I18</f>
        <v>0</v>
      </c>
      <c r="I11" s="1197">
        <f ca="1">+BS_IS!J17/BS_IS!J18</f>
        <v>0</v>
      </c>
      <c r="J11" s="1197">
        <f ca="1">+BS_IS!K17/BS_IS!K18</f>
        <v>0</v>
      </c>
      <c r="K11" s="1197">
        <f ca="1">+BS_IS!L17/BS_IS!L18</f>
        <v>0</v>
      </c>
      <c r="L11" s="1197">
        <f ca="1">+BS_IS!M17/BS_IS!M18</f>
        <v>0</v>
      </c>
      <c r="M11" s="1197">
        <f ca="1">+BS_IS!N17/BS_IS!N18</f>
        <v>0</v>
      </c>
      <c r="N11" s="1197">
        <f ca="1">+BS_IS!O17/BS_IS!O18</f>
        <v>0</v>
      </c>
      <c r="O11" s="1197">
        <f ca="1">+BS_IS!P17/BS_IS!P18</f>
        <v>0</v>
      </c>
      <c r="P11" s="1197">
        <f ca="1">+BS_IS!Q17/BS_IS!Q18</f>
        <v>0</v>
      </c>
      <c r="Q11" s="1197">
        <f ca="1">+BS_IS!R17/BS_IS!R18</f>
        <v>0</v>
      </c>
      <c r="R11" s="1197">
        <f ca="1">+BS_IS!S17/BS_IS!S18</f>
        <v>0</v>
      </c>
      <c r="S11" s="1197">
        <f ca="1">+BS_IS!T17/BS_IS!T18</f>
        <v>0</v>
      </c>
      <c r="T11" s="1197">
        <f ca="1">+BS_IS!U17/BS_IS!U18</f>
        <v>0</v>
      </c>
      <c r="U11" s="1197">
        <f ca="1">+BS_IS!V17/BS_IS!V18</f>
        <v>0</v>
      </c>
      <c r="V11" s="1197">
        <f ca="1">+BS_IS!W17/BS_IS!W18</f>
        <v>0</v>
      </c>
      <c r="W11" s="1197">
        <f ca="1">+BS_IS!X17/BS_IS!X18</f>
        <v>0</v>
      </c>
      <c r="X11" s="1197">
        <f ca="1">+BS_IS!Y17/BS_IS!Y18</f>
        <v>0</v>
      </c>
      <c r="Y11" s="1197">
        <f ca="1">+BS_IS!Z17/BS_IS!Z18</f>
        <v>0</v>
      </c>
      <c r="Z11" s="1197">
        <f ca="1">+BS_IS!AA17/BS_IS!AA18</f>
        <v>0</v>
      </c>
      <c r="AA11" s="1197">
        <f ca="1">+BS_IS!AB17/BS_IS!AB18</f>
        <v>0</v>
      </c>
    </row>
    <row r="12" spans="1:27" ht="13.5" thickBot="1">
      <c r="A12" s="1201"/>
      <c r="B12" s="1201"/>
      <c r="C12" s="1201" t="s">
        <v>246</v>
      </c>
      <c r="D12" s="1201"/>
      <c r="E12" s="1201"/>
      <c r="F12" s="1202">
        <f ca="1">+BS_IS!G18/BS_IS!G18</f>
        <v>1</v>
      </c>
      <c r="G12" s="1202">
        <f ca="1">+BS_IS!H18/BS_IS!H18</f>
        <v>1</v>
      </c>
      <c r="H12" s="1202">
        <f ca="1">+BS_IS!I18/BS_IS!I18</f>
        <v>1</v>
      </c>
      <c r="I12" s="1202">
        <f ca="1">+BS_IS!J18/BS_IS!J18</f>
        <v>1</v>
      </c>
      <c r="J12" s="1202">
        <f ca="1">+BS_IS!K18/BS_IS!K18</f>
        <v>1</v>
      </c>
      <c r="K12" s="1202">
        <f ca="1">+BS_IS!L18/BS_IS!L18</f>
        <v>1</v>
      </c>
      <c r="L12" s="1202">
        <f ca="1">+BS_IS!M18/BS_IS!M18</f>
        <v>1</v>
      </c>
      <c r="M12" s="1202">
        <f ca="1">+BS_IS!N18/BS_IS!N18</f>
        <v>1</v>
      </c>
      <c r="N12" s="1202">
        <f ca="1">+BS_IS!O18/BS_IS!O18</f>
        <v>1</v>
      </c>
      <c r="O12" s="1202">
        <f ca="1">+BS_IS!P18/BS_IS!P18</f>
        <v>1</v>
      </c>
      <c r="P12" s="1202">
        <f ca="1">+BS_IS!Q18/BS_IS!Q18</f>
        <v>1</v>
      </c>
      <c r="Q12" s="1202">
        <f ca="1">+BS_IS!R18/BS_IS!R18</f>
        <v>1</v>
      </c>
      <c r="R12" s="1202">
        <f ca="1">+BS_IS!S18/BS_IS!S18</f>
        <v>1</v>
      </c>
      <c r="S12" s="1202">
        <f ca="1">+BS_IS!T18/BS_IS!T18</f>
        <v>1</v>
      </c>
      <c r="T12" s="1202">
        <f ca="1">+BS_IS!U18/BS_IS!U18</f>
        <v>1</v>
      </c>
      <c r="U12" s="1202">
        <f ca="1">+BS_IS!V18/BS_IS!V18</f>
        <v>1</v>
      </c>
      <c r="V12" s="1202">
        <f ca="1">+BS_IS!W18/BS_IS!W18</f>
        <v>1</v>
      </c>
      <c r="W12" s="1202">
        <f ca="1">+BS_IS!X18/BS_IS!X18</f>
        <v>1</v>
      </c>
      <c r="X12" s="1202">
        <f ca="1">+BS_IS!Y18/BS_IS!Y18</f>
        <v>1</v>
      </c>
      <c r="Y12" s="1202">
        <f ca="1">+BS_IS!Z18/BS_IS!Z18</f>
        <v>1</v>
      </c>
      <c r="Z12" s="1202">
        <f ca="1">+BS_IS!AA18/BS_IS!AA18</f>
        <v>1</v>
      </c>
      <c r="AA12" s="1202">
        <f ca="1">+BS_IS!AB18/BS_IS!AB18</f>
        <v>1</v>
      </c>
    </row>
    <row r="13" spans="1:27" ht="13.5" thickTop="1">
      <c r="A13" s="71" t="s">
        <v>394</v>
      </c>
      <c r="F13" s="1197"/>
      <c r="G13" s="1197"/>
      <c r="H13" s="1197"/>
      <c r="I13" s="1197"/>
      <c r="J13" s="1197"/>
      <c r="K13" s="1197"/>
      <c r="L13" s="1197"/>
      <c r="M13" s="1197"/>
      <c r="N13" s="1197"/>
      <c r="O13" s="1197"/>
      <c r="P13" s="1197"/>
      <c r="Q13" s="1197"/>
      <c r="R13" s="1197"/>
      <c r="S13" s="1197"/>
      <c r="T13" s="1197"/>
      <c r="U13" s="1197"/>
      <c r="V13" s="1197"/>
      <c r="W13" s="1197"/>
      <c r="X13" s="1197"/>
      <c r="Y13" s="1197"/>
      <c r="Z13" s="1197"/>
      <c r="AA13" s="1197"/>
    </row>
    <row r="14" spans="1:27">
      <c r="A14" s="5" t="s">
        <v>247</v>
      </c>
      <c r="F14" s="1197">
        <f ca="1">+BS_IS!G21/BS_IS!G33</f>
        <v>0</v>
      </c>
      <c r="G14" s="1197">
        <f ca="1">+BS_IS!H21/BS_IS!H33</f>
        <v>0</v>
      </c>
      <c r="H14" s="1197">
        <f ca="1">+BS_IS!I21/BS_IS!I33</f>
        <v>0</v>
      </c>
      <c r="I14" s="1197">
        <f ca="1">+BS_IS!J21/BS_IS!J33</f>
        <v>0</v>
      </c>
      <c r="J14" s="1197">
        <f ca="1">+BS_IS!K21/BS_IS!K33</f>
        <v>0</v>
      </c>
      <c r="K14" s="1197">
        <f ca="1">+BS_IS!L21/BS_IS!L33</f>
        <v>0</v>
      </c>
      <c r="L14" s="1197">
        <f ca="1">+BS_IS!M21/BS_IS!M33</f>
        <v>0</v>
      </c>
      <c r="M14" s="1197">
        <f ca="1">+BS_IS!N21/BS_IS!N33</f>
        <v>0</v>
      </c>
      <c r="N14" s="1197">
        <f ca="1">+BS_IS!O21/BS_IS!O33</f>
        <v>6.5534219213598888E-3</v>
      </c>
      <c r="O14" s="1197">
        <f ca="1">+BS_IS!P21/BS_IS!P33</f>
        <v>2.7751117208346634E-2</v>
      </c>
      <c r="P14" s="1197">
        <f ca="1">+BS_IS!Q21/BS_IS!Q33</f>
        <v>5.3368446149470353E-2</v>
      </c>
      <c r="Q14" s="1197">
        <f ca="1">+BS_IS!R21/BS_IS!R33</f>
        <v>8.3631228590403811E-2</v>
      </c>
      <c r="R14" s="1197">
        <f ca="1">+BS_IS!S21/BS_IS!S33</f>
        <v>0.1175512084028269</v>
      </c>
      <c r="S14" s="1197">
        <f ca="1">+BS_IS!T21/BS_IS!T33</f>
        <v>0.14611982799229495</v>
      </c>
      <c r="T14" s="1197">
        <f ca="1">+BS_IS!U21/BS_IS!U33</f>
        <v>0.14160239508819658</v>
      </c>
      <c r="U14" s="1197">
        <f ca="1">+BS_IS!V21/BS_IS!V33</f>
        <v>0.13569560479975451</v>
      </c>
      <c r="V14" s="1197">
        <f ca="1">+BS_IS!W21/BS_IS!W33</f>
        <v>0.12873748166087212</v>
      </c>
      <c r="W14" s="1197">
        <f ca="1">+BS_IS!X21/BS_IS!X33</f>
        <v>0.11632367203660438</v>
      </c>
      <c r="X14" s="1197">
        <f ca="1">+BS_IS!Y21/BS_IS!Y33</f>
        <v>9.3347183398954578E-2</v>
      </c>
      <c r="Y14" s="1197">
        <f ca="1">+BS_IS!Z21/BS_IS!Z33</f>
        <v>6.9791633836119249E-2</v>
      </c>
      <c r="Z14" s="1197">
        <f ca="1">+BS_IS!AA21/BS_IS!AA33</f>
        <v>4.5674538327427475E-2</v>
      </c>
      <c r="AA14" s="1197">
        <f ca="1">+BS_IS!AB21/BS_IS!AB33</f>
        <v>0.20147074145261842</v>
      </c>
    </row>
    <row r="15" spans="1:27">
      <c r="A15" s="5" t="s">
        <v>72</v>
      </c>
      <c r="F15" s="1197">
        <f ca="1">+BS_IS!G22/BS_IS!G33</f>
        <v>0</v>
      </c>
      <c r="G15" s="1197">
        <f ca="1">+BS_IS!H22/BS_IS!H33</f>
        <v>0.52769726124774141</v>
      </c>
      <c r="H15" s="1197">
        <f ca="1">+BS_IS!I22/BS_IS!I33</f>
        <v>0</v>
      </c>
      <c r="I15" s="1197">
        <f ca="1">+BS_IS!J22/BS_IS!J33</f>
        <v>0</v>
      </c>
      <c r="J15" s="1197">
        <f ca="1">+BS_IS!K22/BS_IS!K33</f>
        <v>0</v>
      </c>
      <c r="K15" s="1197">
        <f ca="1">+BS_IS!L22/BS_IS!L33</f>
        <v>0</v>
      </c>
      <c r="L15" s="1197">
        <f ca="1">+BS_IS!M22/BS_IS!M33</f>
        <v>0</v>
      </c>
      <c r="M15" s="1197">
        <f ca="1">+BS_IS!N22/BS_IS!N33</f>
        <v>0</v>
      </c>
      <c r="N15" s="1197">
        <f ca="1">+BS_IS!O22/BS_IS!O33</f>
        <v>0</v>
      </c>
      <c r="O15" s="1197">
        <f ca="1">+BS_IS!P22/BS_IS!P33</f>
        <v>0</v>
      </c>
      <c r="P15" s="1197">
        <f ca="1">+BS_IS!Q22/BS_IS!Q33</f>
        <v>0</v>
      </c>
      <c r="Q15" s="1197">
        <f ca="1">+BS_IS!R22/BS_IS!R33</f>
        <v>0</v>
      </c>
      <c r="R15" s="1197">
        <f ca="1">+BS_IS!S22/BS_IS!S33</f>
        <v>0</v>
      </c>
      <c r="S15" s="1197">
        <f ca="1">+BS_IS!T22/BS_IS!T33</f>
        <v>0</v>
      </c>
      <c r="T15" s="1197">
        <f ca="1">+BS_IS!U22/BS_IS!U33</f>
        <v>0</v>
      </c>
      <c r="U15" s="1197">
        <f ca="1">+BS_IS!V22/BS_IS!V33</f>
        <v>0</v>
      </c>
      <c r="V15" s="1197">
        <f ca="1">+BS_IS!W22/BS_IS!W33</f>
        <v>0</v>
      </c>
      <c r="W15" s="1197">
        <f ca="1">+BS_IS!X22/BS_IS!X33</f>
        <v>0</v>
      </c>
      <c r="X15" s="1197">
        <f ca="1">+BS_IS!Y22/BS_IS!Y33</f>
        <v>0</v>
      </c>
      <c r="Y15" s="1197">
        <f ca="1">+BS_IS!Z22/BS_IS!Z33</f>
        <v>0</v>
      </c>
      <c r="Z15" s="1197">
        <f ca="1">+BS_IS!AA22/BS_IS!AA33</f>
        <v>0</v>
      </c>
      <c r="AA15" s="1197">
        <f ca="1">+BS_IS!AB22/BS_IS!AB33</f>
        <v>0</v>
      </c>
    </row>
    <row r="16" spans="1:27">
      <c r="A16" s="5" t="s">
        <v>275</v>
      </c>
      <c r="F16" s="1197">
        <f ca="1">+BS_IS!G23/BS_IS!G33</f>
        <v>0</v>
      </c>
      <c r="G16" s="1197">
        <f ca="1">+BS_IS!H23/BS_IS!H33</f>
        <v>0</v>
      </c>
      <c r="H16" s="1197">
        <f ca="1">+BS_IS!I23/BS_IS!I33</f>
        <v>0.59574122697755305</v>
      </c>
      <c r="I16" s="1197">
        <f ca="1">+BS_IS!J23/BS_IS!J33</f>
        <v>0.60714305016415904</v>
      </c>
      <c r="J16" s="1197">
        <f ca="1">+BS_IS!K23/BS_IS!K33</f>
        <v>0.61848428493393637</v>
      </c>
      <c r="K16" s="1197">
        <f ca="1">+BS_IS!L23/BS_IS!L33</f>
        <v>0.63019169822532284</v>
      </c>
      <c r="L16" s="1197">
        <f ca="1">+BS_IS!M23/BS_IS!M33</f>
        <v>0.60424193337602383</v>
      </c>
      <c r="M16" s="1197">
        <f ca="1">+BS_IS!N23/BS_IS!N33</f>
        <v>0.56596427349031697</v>
      </c>
      <c r="N16" s="1197">
        <f ca="1">+BS_IS!O23/BS_IS!O33</f>
        <v>0.5074040295150708</v>
      </c>
      <c r="O16" s="1197">
        <f ca="1">+BS_IS!P23/BS_IS!P33</f>
        <v>0.453979007146318</v>
      </c>
      <c r="P16" s="1197">
        <f ca="1">+BS_IS!Q23/BS_IS!Q33</f>
        <v>0.40519125367510783</v>
      </c>
      <c r="Q16" s="1197">
        <f ca="1">+BS_IS!R23/BS_IS!R33</f>
        <v>0.36455909449719331</v>
      </c>
      <c r="R16" s="1197">
        <f ca="1">+BS_IS!S23/BS_IS!S33</f>
        <v>0.32161980246870631</v>
      </c>
      <c r="S16" s="1197">
        <f ca="1">+BS_IS!T23/BS_IS!T33</f>
        <v>0.27188711364203288</v>
      </c>
      <c r="T16" s="1197">
        <f ca="1">+BS_IS!U23/BS_IS!U33</f>
        <v>0.21872714460108217</v>
      </c>
      <c r="U16" s="1197">
        <f ca="1">+BS_IS!V23/BS_IS!V33</f>
        <v>0.15397277161002834</v>
      </c>
      <c r="V16" s="1197">
        <f ca="1">+BS_IS!W23/BS_IS!W33</f>
        <v>7.1775518195704963E-2</v>
      </c>
      <c r="W16" s="1197">
        <f ca="1">+BS_IS!X23/BS_IS!X33</f>
        <v>-4.4895348804893477E-16</v>
      </c>
      <c r="X16" s="1197">
        <f ca="1">+BS_IS!Y23/BS_IS!Y33</f>
        <v>-4.5417380911974152E-16</v>
      </c>
      <c r="Y16" s="1197">
        <f ca="1">+BS_IS!Z23/BS_IS!Z33</f>
        <v>-4.5926397342618272E-16</v>
      </c>
      <c r="Z16" s="1197">
        <f ca="1">+BS_IS!AA23/BS_IS!AA33</f>
        <v>-4.6418941018955752E-16</v>
      </c>
      <c r="AA16" s="1197">
        <f ca="1">+BS_IS!AB23/BS_IS!AB33</f>
        <v>-2.5014861093402443E-15</v>
      </c>
    </row>
    <row r="17" spans="1:27">
      <c r="A17" s="1200" t="s">
        <v>1125</v>
      </c>
      <c r="F17" s="1197">
        <f ca="1">+BS_IS!G24/BS_IS!G33</f>
        <v>0</v>
      </c>
      <c r="G17" s="1197">
        <f ca="1">+BS_IS!H24/BS_IS!H33</f>
        <v>0</v>
      </c>
      <c r="H17" s="1197">
        <f ca="1">+BS_IS!I24/BS_IS!I33</f>
        <v>1.5725540241972449E-2</v>
      </c>
      <c r="I17" s="1197">
        <f ca="1">+BS_IS!J24/BS_IS!J33</f>
        <v>1.6026509557563531E-2</v>
      </c>
      <c r="J17" s="1197">
        <f ca="1">+BS_IS!K24/BS_IS!K33</f>
        <v>1.5832063584645176E-2</v>
      </c>
      <c r="K17" s="1197">
        <f ca="1">+BS_IS!L24/BS_IS!L33</f>
        <v>1.567850583000982E-2</v>
      </c>
      <c r="L17" s="1197">
        <f ca="1">+BS_IS!M24/BS_IS!M33</f>
        <v>1.52070669006227E-2</v>
      </c>
      <c r="M17" s="1197">
        <f ca="1">+BS_IS!N24/BS_IS!N33</f>
        <v>1.463896686107875E-2</v>
      </c>
      <c r="N17" s="1197">
        <f ca="1">+BS_IS!O24/BS_IS!O33</f>
        <v>1.3635775773813811E-2</v>
      </c>
      <c r="O17" s="1197">
        <f ca="1">+BS_IS!P24/BS_IS!P33</f>
        <v>1.2776979309303223E-2</v>
      </c>
      <c r="P17" s="1197">
        <f ca="1">+BS_IS!Q24/BS_IS!Q33</f>
        <v>1.1271477296727499E-2</v>
      </c>
      <c r="Q17" s="1197">
        <f ca="1">+BS_IS!R24/BS_IS!R33</f>
        <v>9.0990117968480482E-3</v>
      </c>
      <c r="R17" s="1197">
        <f ca="1">+BS_IS!S24/BS_IS!S33</f>
        <v>6.5181124835656107E-3</v>
      </c>
      <c r="S17" s="1197">
        <f ca="1">+BS_IS!T24/BS_IS!T33</f>
        <v>3.5791153436723123E-3</v>
      </c>
      <c r="T17" s="1197">
        <f ca="1">+BS_IS!U24/BS_IS!U33</f>
        <v>-8.5466268672081391E-18</v>
      </c>
      <c r="U17" s="1197">
        <f ca="1">+BS_IS!V24/BS_IS!V33</f>
        <v>-9.3880489823025916E-18</v>
      </c>
      <c r="V17" s="1197">
        <f ca="1">+BS_IS!W24/BS_IS!W33</f>
        <v>-1.0432586917655025E-17</v>
      </c>
      <c r="W17" s="1197">
        <f ca="1">+BS_IS!X24/BS_IS!X33</f>
        <v>-1.1375510676915578E-17</v>
      </c>
      <c r="X17" s="1197">
        <f ca="1">+BS_IS!Y24/BS_IS!Y33</f>
        <v>-1.1507782325669128E-17</v>
      </c>
      <c r="Y17" s="1197">
        <f ca="1">+BS_IS!Z24/BS_IS!Z33</f>
        <v>-1.1636756083433684E-17</v>
      </c>
      <c r="Z17" s="1197">
        <f ca="1">+BS_IS!AA24/BS_IS!AA33</f>
        <v>-1.17615560014246E-17</v>
      </c>
      <c r="AA17" s="1197">
        <f ca="1">+BS_IS!AB24/BS_IS!AB33</f>
        <v>-6.3382249392067001E-17</v>
      </c>
    </row>
    <row r="18" spans="1:27" ht="13.5" thickBot="1">
      <c r="A18" s="1201"/>
      <c r="B18" s="1201"/>
      <c r="C18" s="1201" t="s">
        <v>395</v>
      </c>
      <c r="D18" s="1201"/>
      <c r="E18" s="1201"/>
      <c r="F18" s="1202">
        <f ca="1">+BS_IS!G25/BS_IS!G33</f>
        <v>0</v>
      </c>
      <c r="G18" s="1202">
        <f ca="1">+BS_IS!H25/BS_IS!H33</f>
        <v>0.52769726124774141</v>
      </c>
      <c r="H18" s="1202">
        <f ca="1">+BS_IS!I25/BS_IS!I33</f>
        <v>0.61146676721952553</v>
      </c>
      <c r="I18" s="1202">
        <f ca="1">+BS_IS!J25/BS_IS!J33</f>
        <v>0.62316955972172261</v>
      </c>
      <c r="J18" s="1202">
        <f ca="1">+BS_IS!K25/BS_IS!K33</f>
        <v>0.63431634851858154</v>
      </c>
      <c r="K18" s="1202">
        <f ca="1">+BS_IS!L25/BS_IS!L33</f>
        <v>0.64587020405533269</v>
      </c>
      <c r="L18" s="1202">
        <f ca="1">+BS_IS!M25/BS_IS!M33</f>
        <v>0.61944900027664651</v>
      </c>
      <c r="M18" s="1202">
        <f ca="1">+BS_IS!N25/BS_IS!N33</f>
        <v>0.58060324035139577</v>
      </c>
      <c r="N18" s="1202">
        <f ca="1">+BS_IS!O25/BS_IS!O33</f>
        <v>0.52759322721024449</v>
      </c>
      <c r="O18" s="1202">
        <f ca="1">+BS_IS!P25/BS_IS!P33</f>
        <v>0.49450710366396788</v>
      </c>
      <c r="P18" s="1202">
        <f ca="1">+BS_IS!Q25/BS_IS!Q33</f>
        <v>0.46983117712130568</v>
      </c>
      <c r="Q18" s="1202">
        <f ca="1">+BS_IS!R25/BS_IS!R33</f>
        <v>0.45728933488444518</v>
      </c>
      <c r="R18" s="1202">
        <f ca="1">+BS_IS!S25/BS_IS!S33</f>
        <v>0.4456891233550988</v>
      </c>
      <c r="S18" s="1202">
        <f ca="1">+BS_IS!T25/BS_IS!T33</f>
        <v>0.42158605697800017</v>
      </c>
      <c r="T18" s="1202">
        <f ca="1">+BS_IS!U25/BS_IS!U33</f>
        <v>0.36032953968927878</v>
      </c>
      <c r="U18" s="1202">
        <f ca="1">+BS_IS!V25/BS_IS!V33</f>
        <v>0.28966837640978288</v>
      </c>
      <c r="V18" s="1202">
        <f ca="1">+BS_IS!W25/BS_IS!W33</f>
        <v>0.20051299985657708</v>
      </c>
      <c r="W18" s="1202">
        <f ca="1">+BS_IS!X25/BS_IS!X33</f>
        <v>0.11632367203660395</v>
      </c>
      <c r="X18" s="1202">
        <f ca="1">+BS_IS!Y25/BS_IS!Y33</f>
        <v>9.334718339895412E-2</v>
      </c>
      <c r="Y18" s="1202">
        <f ca="1">+BS_IS!Z25/BS_IS!Z33</f>
        <v>6.9791633836118777E-2</v>
      </c>
      <c r="Z18" s="1202">
        <f ca="1">+BS_IS!AA25/BS_IS!AA33</f>
        <v>4.5674538327426996E-2</v>
      </c>
      <c r="AA18" s="1202">
        <f ca="1">+BS_IS!AB25/BS_IS!AB33</f>
        <v>0.20147074145261584</v>
      </c>
    </row>
    <row r="19" spans="1:27" ht="13.5" thickTop="1">
      <c r="A19" s="71" t="s">
        <v>396</v>
      </c>
      <c r="F19" s="1197"/>
      <c r="G19" s="1197"/>
      <c r="H19" s="1197"/>
      <c r="I19" s="1197"/>
      <c r="J19" s="1197"/>
      <c r="K19" s="1197"/>
      <c r="L19" s="1197"/>
      <c r="M19" s="1197"/>
      <c r="N19" s="1197"/>
      <c r="O19" s="1197"/>
      <c r="P19" s="1197"/>
      <c r="Q19" s="1197"/>
      <c r="R19" s="1197"/>
      <c r="S19" s="1197"/>
      <c r="T19" s="1197"/>
      <c r="U19" s="1197"/>
      <c r="V19" s="1197"/>
      <c r="W19" s="1197"/>
      <c r="X19" s="1197"/>
      <c r="Y19" s="1197"/>
      <c r="Z19" s="1197"/>
      <c r="AA19" s="1197"/>
    </row>
    <row r="20" spans="1:27">
      <c r="A20" s="5" t="s">
        <v>248</v>
      </c>
      <c r="F20" s="1197">
        <f ca="1">+BS_IS!G28/BS_IS!G33</f>
        <v>1</v>
      </c>
      <c r="G20" s="1197">
        <f ca="1">+BS_IS!H28/BS_IS!H33</f>
        <v>0.47230273875225853</v>
      </c>
      <c r="H20" s="1197">
        <f ca="1">+BS_IS!I28/BS_IS!I33</f>
        <v>0.38853323278047458</v>
      </c>
      <c r="I20" s="1197">
        <f ca="1">+BS_IS!J28/BS_IS!J33</f>
        <v>0.38873552388520938</v>
      </c>
      <c r="J20" s="1197">
        <f ca="1">+BS_IS!K28/BS_IS!K33</f>
        <v>0.4020268048257859</v>
      </c>
      <c r="K20" s="1197">
        <f ca="1">+BS_IS!L28/BS_IS!L33</f>
        <v>0.42049218088459483</v>
      </c>
      <c r="L20" s="1197">
        <f ca="1">+BS_IS!M28/BS_IS!M33</f>
        <v>0.43560267386273799</v>
      </c>
      <c r="M20" s="1197">
        <f ca="1">+BS_IS!N28/BS_IS!N33</f>
        <v>0.45440250519869124</v>
      </c>
      <c r="N20" s="1197">
        <f ca="1">+BS_IS!O28/BS_IS!O33</f>
        <v>0.46762506956655686</v>
      </c>
      <c r="O20" s="1197">
        <f ca="1">+BS_IS!P28/BS_IS!P33</f>
        <v>0.49729055520058135</v>
      </c>
      <c r="P20" s="1197">
        <f ca="1">+BS_IS!Q28/BS_IS!Q33</f>
        <v>0.51795600933934183</v>
      </c>
      <c r="Q20" s="1197">
        <f ca="1">+BS_IS!R28/BS_IS!R33</f>
        <v>0.5258939513956109</v>
      </c>
      <c r="R20" s="1197">
        <f ca="1">+BS_IS!S28/BS_IS!S33</f>
        <v>0.53235369111830766</v>
      </c>
      <c r="S20" s="1197">
        <f ca="1">+BS_IS!T28/BS_IS!T33</f>
        <v>0.55004104774006946</v>
      </c>
      <c r="T20" s="1197">
        <f ca="1">+BS_IS!U28/BS_IS!U33</f>
        <v>0.60141539970075542</v>
      </c>
      <c r="U20" s="1197">
        <f ca="1">+BS_IS!V28/BS_IS!V33</f>
        <v>0.66062521727313417</v>
      </c>
      <c r="V20" s="1197">
        <f ca="1">+BS_IS!W28/BS_IS!W33</f>
        <v>0.73412804004206533</v>
      </c>
      <c r="W20" s="1197">
        <f ca="1">+BS_IS!X28/BS_IS!X33</f>
        <v>0.80048040084757111</v>
      </c>
      <c r="X20" s="1197">
        <f ca="1">+BS_IS!Y28/BS_IS!Y33</f>
        <v>0.80978819066221885</v>
      </c>
      <c r="Y20" s="1197">
        <f ca="1">+BS_IS!Z28/BS_IS!Z33</f>
        <v>0.81886391202949749</v>
      </c>
      <c r="Z20" s="1197">
        <f ca="1">+BS_IS!AA28/BS_IS!AA33</f>
        <v>0.82764592553345739</v>
      </c>
      <c r="AA20" s="1197">
        <f ca="1">+BS_IS!AB28/BS_IS!AB33</f>
        <v>4.4601292936186177</v>
      </c>
    </row>
    <row r="21" spans="1:27">
      <c r="A21" s="5" t="s">
        <v>403</v>
      </c>
      <c r="F21" s="1197">
        <f ca="1">+BS_IS!G29/BS_IS!G33</f>
        <v>0</v>
      </c>
      <c r="G21" s="1197">
        <f ca="1">+BS_IS!H29/BS_IS!H33</f>
        <v>0</v>
      </c>
      <c r="H21" s="1197">
        <f ca="1">+BS_IS!I29/BS_IS!I33</f>
        <v>0</v>
      </c>
      <c r="I21" s="1197">
        <f ca="1">+BS_IS!J29/BS_IS!J33</f>
        <v>-1.1905083606932002E-2</v>
      </c>
      <c r="J21" s="1197">
        <f ca="1">+BS_IS!K29/BS_IS!K33</f>
        <v>-3.6343153344367475E-2</v>
      </c>
      <c r="K21" s="1197">
        <f ca="1">+BS_IS!L29/BS_IS!L33</f>
        <v>-6.6362384939927382E-2</v>
      </c>
      <c r="L21" s="1197">
        <f ca="1">+BS_IS!M29/BS_IS!M33</f>
        <v>-5.5051674139384534E-2</v>
      </c>
      <c r="M21" s="1197">
        <f ca="1">+BS_IS!N29/BS_IS!N33</f>
        <v>-3.5005745550086897E-2</v>
      </c>
      <c r="N21" s="1197">
        <f ca="1">+BS_IS!O29/BS_IS!O33</f>
        <v>1.9763735603971405E-2</v>
      </c>
      <c r="O21" s="1197">
        <f ca="1">+BS_IS!P29/BS_IS!P33</f>
        <v>8.3363385448021174E-2</v>
      </c>
      <c r="P21" s="1197">
        <f ca="1">+BS_IS!Q29/BS_IS!Q33</f>
        <v>0.16021994484752267</v>
      </c>
      <c r="Q21" s="1197">
        <f ca="1">+BS_IS!R29/BS_IS!R33</f>
        <v>0.25101004857229353</v>
      </c>
      <c r="R21" s="1197">
        <f ca="1">+BS_IS!S29/BS_IS!S33</f>
        <v>0.35277141733463185</v>
      </c>
      <c r="S21" s="1197">
        <f ca="1">+BS_IS!T29/BS_IS!T33</f>
        <v>0.47821590837524353</v>
      </c>
      <c r="T21" s="1197">
        <f ca="1">+BS_IS!U29/BS_IS!U33</f>
        <v>0.66752392833158258</v>
      </c>
      <c r="U21" s="1197">
        <f ca="1">+BS_IS!V29/BS_IS!V33</f>
        <v>0.88694428238269896</v>
      </c>
      <c r="V21" s="1197">
        <f ca="1">+BS_IS!W29/BS_IS!W33</f>
        <v>1.1880698140831552</v>
      </c>
      <c r="W21" s="1197">
        <f ca="1">+BS_IS!X29/BS_IS!X33</f>
        <v>1.534043744725804</v>
      </c>
      <c r="X21" s="1197">
        <f ca="1">+BS_IS!Y29/BS_IS!Y33</f>
        <v>1.805907568886161</v>
      </c>
      <c r="Y21" s="1197">
        <f ca="1">+BS_IS!Z29/BS_IS!Z33</f>
        <v>2.0940316326907138</v>
      </c>
      <c r="Z21" s="1197">
        <f ca="1">+BS_IS!AA29/BS_IS!AA33</f>
        <v>2.3993084256247519</v>
      </c>
      <c r="AA21" s="1197">
        <f ca="1">+BS_IS!AB29/BS_IS!AB33</f>
        <v>13.438464611819308</v>
      </c>
    </row>
    <row r="22" spans="1:27">
      <c r="A22" s="5" t="s">
        <v>567</v>
      </c>
      <c r="F22" s="1197">
        <f ca="1">+BS_IS!G30/BS_IS!G33</f>
        <v>0</v>
      </c>
      <c r="G22" s="1197">
        <f ca="1">+BS_IS!H30/BS_IS!H33</f>
        <v>0</v>
      </c>
      <c r="H22" s="1197">
        <f ca="1">+BS_IS!I30/BS_IS!I33</f>
        <v>0</v>
      </c>
      <c r="I22" s="1197">
        <f ca="1">+BS_IS!J30/BS_IS!J33</f>
        <v>0</v>
      </c>
      <c r="J22" s="1197">
        <f ca="1">+BS_IS!K30/BS_IS!K33</f>
        <v>-6.0940208149801857E-18</v>
      </c>
      <c r="K22" s="1197">
        <f ca="1">+BS_IS!L30/BS_IS!L33</f>
        <v>-3.1869617548978627E-18</v>
      </c>
      <c r="L22" s="1197">
        <f ca="1">+BS_IS!M30/BS_IS!M33</f>
        <v>3.3014860324187605E-18</v>
      </c>
      <c r="M22" s="1197">
        <f ca="1">+BS_IS!N30/BS_IS!N33</f>
        <v>6.8879445146945951E-18</v>
      </c>
      <c r="N22" s="1197">
        <f ca="1">+BS_IS!O30/BS_IS!O33</f>
        <v>-1.4982032380772774E-2</v>
      </c>
      <c r="O22" s="1197">
        <f ca="1">+BS_IS!P30/BS_IS!P33</f>
        <v>-7.5161044312570466E-2</v>
      </c>
      <c r="P22" s="1197">
        <f ca="1">+BS_IS!Q30/BS_IS!Q33</f>
        <v>-0.14800713130817014</v>
      </c>
      <c r="Q22" s="1197">
        <f ca="1">+BS_IS!R30/BS_IS!R33</f>
        <v>-0.2341933348523495</v>
      </c>
      <c r="R22" s="1197">
        <f ca="1">+BS_IS!S30/BS_IS!S33</f>
        <v>-0.33081423180803837</v>
      </c>
      <c r="S22" s="1197">
        <f ca="1">+BS_IS!T30/BS_IS!T33</f>
        <v>-0.44984301309331326</v>
      </c>
      <c r="T22" s="1197">
        <f ca="1">+BS_IS!U30/BS_IS!U33</f>
        <v>-0.62926886772161672</v>
      </c>
      <c r="U22" s="1197">
        <f ca="1">+BS_IS!V30/BS_IS!V33</f>
        <v>-0.83723787606561584</v>
      </c>
      <c r="V22" s="1197">
        <f ca="1">+BS_IS!W30/BS_IS!W33</f>
        <v>-1.1227108539817976</v>
      </c>
      <c r="W22" s="1197">
        <f ca="1">+BS_IS!X30/BS_IS!X33</f>
        <v>-1.4508478176099788</v>
      </c>
      <c r="X22" s="1197">
        <f ca="1">+BS_IS!Y30/BS_IS!Y33</f>
        <v>-1.7090429429473337</v>
      </c>
      <c r="Y22" s="1197">
        <f ca="1">+BS_IS!Z30/BS_IS!Z33</f>
        <v>-1.98268717855633</v>
      </c>
      <c r="Z22" s="1197">
        <f ca="1">+BS_IS!AA30/BS_IS!AA33</f>
        <v>-2.2726288894856359</v>
      </c>
      <c r="AA22" s="1197">
        <f ca="1">+BS_IS!AB30/BS_IS!AB33</f>
        <v>-17.100064646890541</v>
      </c>
    </row>
    <row r="23" spans="1:27" ht="13.5" thickBot="1">
      <c r="A23" s="1201"/>
      <c r="B23" s="1201"/>
      <c r="C23" s="1201" t="s">
        <v>397</v>
      </c>
      <c r="D23" s="1201"/>
      <c r="E23" s="1201"/>
      <c r="F23" s="1202">
        <f ca="1">+BS_IS!G31/BS_IS!G33</f>
        <v>1</v>
      </c>
      <c r="G23" s="1202">
        <f ca="1">+BS_IS!H31/BS_IS!H33</f>
        <v>0.47230273875225853</v>
      </c>
      <c r="H23" s="1202">
        <f ca="1">+BS_IS!I31/BS_IS!I33</f>
        <v>0.38853323278047458</v>
      </c>
      <c r="I23" s="1202">
        <f ca="1">+BS_IS!J31/BS_IS!J33</f>
        <v>0.37683044027827733</v>
      </c>
      <c r="J23" s="1202">
        <f ca="1">+BS_IS!K31/BS_IS!K33</f>
        <v>0.36568365148141846</v>
      </c>
      <c r="K23" s="1202">
        <f ca="1">+BS_IS!L31/BS_IS!L33</f>
        <v>0.35412979594466742</v>
      </c>
      <c r="L23" s="1202">
        <f ca="1">+BS_IS!M31/BS_IS!M33</f>
        <v>0.38055099972335343</v>
      </c>
      <c r="M23" s="1202">
        <f ca="1">+BS_IS!N31/BS_IS!N33</f>
        <v>0.41939675964860434</v>
      </c>
      <c r="N23" s="1202">
        <f ca="1">+BS_IS!O31/BS_IS!O33</f>
        <v>0.47240677278975551</v>
      </c>
      <c r="O23" s="1202">
        <f ca="1">+BS_IS!P31/BS_IS!P33</f>
        <v>0.505492896336032</v>
      </c>
      <c r="P23" s="1202">
        <f ca="1">+BS_IS!Q31/BS_IS!Q33</f>
        <v>0.53016882287869438</v>
      </c>
      <c r="Q23" s="1202">
        <f ca="1">+BS_IS!R31/BS_IS!R33</f>
        <v>0.54271066511555488</v>
      </c>
      <c r="R23" s="1202">
        <f ca="1">+BS_IS!S31/BS_IS!S33</f>
        <v>0.5543108766449012</v>
      </c>
      <c r="S23" s="1202">
        <f ca="1">+BS_IS!T31/BS_IS!T33</f>
        <v>0.57841394302199978</v>
      </c>
      <c r="T23" s="1202">
        <f ca="1">+BS_IS!U31/BS_IS!U33</f>
        <v>0.63967046031072128</v>
      </c>
      <c r="U23" s="1202">
        <f ca="1">+BS_IS!V31/BS_IS!V33</f>
        <v>0.71033162359021718</v>
      </c>
      <c r="V23" s="1202">
        <f ca="1">+BS_IS!W31/BS_IS!W33</f>
        <v>0.799487000143423</v>
      </c>
      <c r="W23" s="1202">
        <f ca="1">+BS_IS!X31/BS_IS!X33</f>
        <v>0.88367632796339612</v>
      </c>
      <c r="X23" s="1202">
        <f ca="1">+BS_IS!Y31/BS_IS!Y33</f>
        <v>0.9066528166010458</v>
      </c>
      <c r="Y23" s="1202">
        <f ca="1">+BS_IS!Z31/BS_IS!Z33</f>
        <v>0.93020836616388125</v>
      </c>
      <c r="Z23" s="1202">
        <f ca="1">+BS_IS!AA31/BS_IS!AA33</f>
        <v>0.95432546167257304</v>
      </c>
      <c r="AA23" s="1202">
        <f ca="1">+BS_IS!AB31/BS_IS!AB33</f>
        <v>0.79852925854738421</v>
      </c>
    </row>
    <row r="24" spans="1:27" ht="13.5" thickTop="1">
      <c r="F24" s="1197"/>
      <c r="G24" s="1197"/>
      <c r="H24" s="1197"/>
      <c r="I24" s="1197"/>
      <c r="J24" s="1197"/>
      <c r="K24" s="1197"/>
      <c r="L24" s="1197"/>
      <c r="M24" s="1197"/>
      <c r="N24" s="1197"/>
      <c r="O24" s="1197"/>
      <c r="P24" s="1197"/>
      <c r="Q24" s="1197"/>
      <c r="R24" s="1197"/>
      <c r="S24" s="1197"/>
      <c r="T24" s="1197"/>
      <c r="U24" s="1197"/>
      <c r="V24" s="1197"/>
      <c r="W24" s="1197"/>
      <c r="X24" s="1197"/>
      <c r="Y24" s="1197"/>
      <c r="Z24" s="1197"/>
      <c r="AA24" s="1197"/>
    </row>
    <row r="25" spans="1:27" ht="13.5" thickBot="1">
      <c r="A25" s="1201" t="s">
        <v>398</v>
      </c>
      <c r="B25" s="1201"/>
      <c r="C25" s="1201"/>
      <c r="D25" s="1201"/>
      <c r="E25" s="1201"/>
      <c r="F25" s="1202">
        <f ca="1">+BS_IS!G33/BS_IS!G33</f>
        <v>1</v>
      </c>
      <c r="G25" s="1202">
        <f ca="1">+BS_IS!H33/BS_IS!H33</f>
        <v>1</v>
      </c>
      <c r="H25" s="1202">
        <f ca="1">+BS_IS!I33/BS_IS!I33</f>
        <v>1</v>
      </c>
      <c r="I25" s="1202">
        <f ca="1">+BS_IS!J33/BS_IS!J33</f>
        <v>1</v>
      </c>
      <c r="J25" s="1202">
        <f ca="1">+BS_IS!K33/BS_IS!K33</f>
        <v>1</v>
      </c>
      <c r="K25" s="1202">
        <f ca="1">+BS_IS!L33/BS_IS!L33</f>
        <v>1</v>
      </c>
      <c r="L25" s="1202">
        <f ca="1">+BS_IS!M33/BS_IS!M33</f>
        <v>1</v>
      </c>
      <c r="M25" s="1202">
        <f ca="1">+BS_IS!N33/BS_IS!N33</f>
        <v>1</v>
      </c>
      <c r="N25" s="1202">
        <f ca="1">+BS_IS!O33/BS_IS!O33</f>
        <v>1</v>
      </c>
      <c r="O25" s="1202">
        <f ca="1">+BS_IS!P33/BS_IS!P33</f>
        <v>1</v>
      </c>
      <c r="P25" s="1202">
        <f ca="1">+BS_IS!Q33/BS_IS!Q33</f>
        <v>1</v>
      </c>
      <c r="Q25" s="1202">
        <f ca="1">+BS_IS!R33/BS_IS!R33</f>
        <v>1</v>
      </c>
      <c r="R25" s="1202">
        <f ca="1">+BS_IS!S33/BS_IS!S33</f>
        <v>1</v>
      </c>
      <c r="S25" s="1202">
        <f ca="1">+BS_IS!T33/BS_IS!T33</f>
        <v>1</v>
      </c>
      <c r="T25" s="1202">
        <f ca="1">+BS_IS!U33/BS_IS!U33</f>
        <v>1</v>
      </c>
      <c r="U25" s="1202">
        <f ca="1">+BS_IS!V33/BS_IS!V33</f>
        <v>1</v>
      </c>
      <c r="V25" s="1202">
        <f ca="1">+BS_IS!W33/BS_IS!W33</f>
        <v>1</v>
      </c>
      <c r="W25" s="1202">
        <f ca="1">+BS_IS!X33/BS_IS!X33</f>
        <v>1</v>
      </c>
      <c r="X25" s="1202">
        <f ca="1">+BS_IS!Y33/BS_IS!Y33</f>
        <v>1</v>
      </c>
      <c r="Y25" s="1202">
        <f ca="1">+BS_IS!Z33/BS_IS!Z33</f>
        <v>1</v>
      </c>
      <c r="Z25" s="1202">
        <f ca="1">+BS_IS!AA33/BS_IS!AA33</f>
        <v>1</v>
      </c>
      <c r="AA25" s="1202">
        <f ca="1">+BS_IS!AB33/BS_IS!AB33</f>
        <v>1</v>
      </c>
    </row>
    <row r="26" spans="1:27" ht="13.5" thickTop="1">
      <c r="A26" t="s">
        <v>249</v>
      </c>
      <c r="F26">
        <f ca="1">+BS_IS!G18-BS_IS!G33</f>
        <v>0</v>
      </c>
      <c r="G26">
        <f ca="1">+BS_IS!H18-BS_IS!H33</f>
        <v>0</v>
      </c>
      <c r="H26">
        <f ca="1">+BS_IS!I18-BS_IS!I33</f>
        <v>0</v>
      </c>
      <c r="I26">
        <f ca="1">+BS_IS!J18-BS_IS!J33</f>
        <v>0</v>
      </c>
      <c r="J26">
        <f ca="1">+BS_IS!K18-BS_IS!K33</f>
        <v>0</v>
      </c>
      <c r="K26">
        <f ca="1">+BS_IS!L18-BS_IS!L33</f>
        <v>0</v>
      </c>
      <c r="L26">
        <f ca="1">+BS_IS!M18-BS_IS!M33</f>
        <v>0</v>
      </c>
      <c r="M26">
        <f ca="1">+BS_IS!N18-BS_IS!N33</f>
        <v>0</v>
      </c>
      <c r="N26">
        <f ca="1">+BS_IS!O18-BS_IS!O33</f>
        <v>0</v>
      </c>
      <c r="O26">
        <f ca="1">+BS_IS!P18-BS_IS!P33</f>
        <v>0</v>
      </c>
      <c r="P26">
        <f ca="1">+BS_IS!Q18-BS_IS!Q33</f>
        <v>0</v>
      </c>
      <c r="Q26">
        <f ca="1">+BS_IS!R18-BS_IS!R33</f>
        <v>0</v>
      </c>
      <c r="R26">
        <f ca="1">+BS_IS!S18-BS_IS!S33</f>
        <v>0</v>
      </c>
      <c r="S26">
        <f ca="1">+BS_IS!T18-BS_IS!T33</f>
        <v>0</v>
      </c>
      <c r="T26">
        <f ca="1">+BS_IS!U18-BS_IS!U33</f>
        <v>0</v>
      </c>
      <c r="U26">
        <f ca="1">+BS_IS!V18-BS_IS!V33</f>
        <v>0</v>
      </c>
      <c r="V26">
        <f ca="1">+BS_IS!W18-BS_IS!W33</f>
        <v>0</v>
      </c>
      <c r="W26">
        <f ca="1">+BS_IS!X18-BS_IS!X33</f>
        <v>0</v>
      </c>
      <c r="X26">
        <f ca="1">+BS_IS!Y18-BS_IS!Y33</f>
        <v>0</v>
      </c>
      <c r="Y26">
        <f ca="1">+BS_IS!Z18-BS_IS!Z33</f>
        <v>0</v>
      </c>
      <c r="Z26">
        <f ca="1">+BS_IS!AA18-BS_IS!AA33</f>
        <v>0</v>
      </c>
      <c r="AA26">
        <f ca="1">+BS_IS!AB18-BS_IS!AB33</f>
        <v>0</v>
      </c>
    </row>
    <row r="29" spans="1:27" ht="13.5" thickBot="1">
      <c r="A29" s="79" t="s">
        <v>250</v>
      </c>
      <c r="B29" s="1203"/>
      <c r="C29" s="1203"/>
      <c r="D29" s="1203"/>
      <c r="E29" s="1203"/>
      <c r="F29" s="1211">
        <f>+BS_IS!G7</f>
        <v>1998</v>
      </c>
      <c r="G29" s="1211">
        <f>+BS_IS!H7</f>
        <v>1999</v>
      </c>
      <c r="H29" s="1211">
        <f>+BS_IS!I7</f>
        <v>2000</v>
      </c>
      <c r="I29" s="1211">
        <f>+BS_IS!J7</f>
        <v>2001</v>
      </c>
      <c r="J29" s="1211">
        <f>+BS_IS!K7</f>
        <v>2002</v>
      </c>
      <c r="K29" s="1211">
        <f>+BS_IS!L7</f>
        <v>2003</v>
      </c>
      <c r="L29" s="1211">
        <f>+BS_IS!M7</f>
        <v>2004</v>
      </c>
      <c r="M29" s="1211">
        <f>+BS_IS!N7</f>
        <v>2005</v>
      </c>
      <c r="N29" s="1211">
        <f>+BS_IS!O7</f>
        <v>2006</v>
      </c>
      <c r="O29" s="1211">
        <f>+BS_IS!P7</f>
        <v>2007</v>
      </c>
      <c r="P29" s="1211">
        <f>+BS_IS!Q7</f>
        <v>2008</v>
      </c>
      <c r="Q29" s="1211">
        <f>+BS_IS!R7</f>
        <v>2009</v>
      </c>
      <c r="R29" s="1211">
        <f>+BS_IS!S7</f>
        <v>2010</v>
      </c>
      <c r="S29" s="1211">
        <f>+BS_IS!T7</f>
        <v>2011</v>
      </c>
      <c r="T29" s="1211">
        <f>+BS_IS!U7</f>
        <v>2012</v>
      </c>
      <c r="U29" s="1211">
        <f>+BS_IS!V7</f>
        <v>2013</v>
      </c>
      <c r="V29" s="1211">
        <f>+BS_IS!W7</f>
        <v>2014</v>
      </c>
      <c r="W29" s="1211">
        <f>+BS_IS!X7</f>
        <v>2015</v>
      </c>
      <c r="X29" s="1211">
        <f>+BS_IS!Y7</f>
        <v>2016</v>
      </c>
      <c r="Y29" s="1211">
        <f>+BS_IS!Z7</f>
        <v>2017</v>
      </c>
      <c r="Z29" s="1211">
        <f>+BS_IS!AA7</f>
        <v>2018</v>
      </c>
      <c r="AA29" s="1211">
        <f>+BS_IS!AB7</f>
        <v>2019</v>
      </c>
    </row>
    <row r="30" spans="1:27">
      <c r="A30" s="6"/>
      <c r="B30" s="8"/>
    </row>
    <row r="31" spans="1:27">
      <c r="A31" t="s">
        <v>400</v>
      </c>
      <c r="B31" s="8"/>
      <c r="F31" s="1197" t="e">
        <f ca="1">+BS_IS!G38/BS_IS!G38</f>
        <v>#DIV/0!</v>
      </c>
      <c r="G31" s="1197" t="e">
        <f ca="1">+BS_IS!H38/BS_IS!H38</f>
        <v>#DIV/0!</v>
      </c>
      <c r="H31" s="1197" t="e">
        <f ca="1">+BS_IS!I38/BS_IS!I38</f>
        <v>#DIV/0!</v>
      </c>
      <c r="I31" s="1197">
        <f ca="1">+BS_IS!J38/BS_IS!J38</f>
        <v>1</v>
      </c>
      <c r="J31" s="1197">
        <f ca="1">+BS_IS!K38/BS_IS!K38</f>
        <v>1</v>
      </c>
      <c r="K31" s="1197">
        <f ca="1">+BS_IS!L38/BS_IS!L38</f>
        <v>1</v>
      </c>
      <c r="L31" s="1197">
        <f ca="1">+BS_IS!M38/BS_IS!M38</f>
        <v>1</v>
      </c>
      <c r="M31" s="1197">
        <f ca="1">+BS_IS!N38/BS_IS!N38</f>
        <v>1</v>
      </c>
      <c r="N31" s="1197">
        <f ca="1">+BS_IS!O38/BS_IS!O38</f>
        <v>1</v>
      </c>
      <c r="O31" s="1197">
        <f ca="1">+BS_IS!P38/BS_IS!P38</f>
        <v>1</v>
      </c>
      <c r="P31" s="1197">
        <f ca="1">+BS_IS!Q38/BS_IS!Q38</f>
        <v>1</v>
      </c>
      <c r="Q31" s="1197">
        <f ca="1">+BS_IS!R38/BS_IS!R38</f>
        <v>1</v>
      </c>
      <c r="R31" s="1197">
        <f ca="1">+BS_IS!S38/BS_IS!S38</f>
        <v>1</v>
      </c>
      <c r="S31" s="1197">
        <f ca="1">+BS_IS!T38/BS_IS!T38</f>
        <v>1</v>
      </c>
      <c r="T31" s="1197">
        <f ca="1">+BS_IS!U38/BS_IS!U38</f>
        <v>1</v>
      </c>
      <c r="U31" s="1197">
        <f ca="1">+BS_IS!V38/BS_IS!V38</f>
        <v>1</v>
      </c>
      <c r="V31" s="1197">
        <f ca="1">+BS_IS!W38/BS_IS!W38</f>
        <v>1</v>
      </c>
      <c r="W31" s="1197">
        <f ca="1">+BS_IS!X38/BS_IS!X38</f>
        <v>1</v>
      </c>
      <c r="X31" s="1197">
        <f ca="1">+BS_IS!Y38/BS_IS!Y38</f>
        <v>1</v>
      </c>
      <c r="Y31" s="1197">
        <f ca="1">+BS_IS!Z38/BS_IS!Z38</f>
        <v>1</v>
      </c>
      <c r="Z31" s="1197">
        <f ca="1">+BS_IS!AA38/BS_IS!AA38</f>
        <v>1</v>
      </c>
      <c r="AA31" s="1197">
        <f ca="1">+BS_IS!AB38/BS_IS!AB38</f>
        <v>1</v>
      </c>
    </row>
    <row r="32" spans="1:27">
      <c r="A32" t="s">
        <v>571</v>
      </c>
      <c r="B32" s="8"/>
      <c r="F32" s="1197" t="e">
        <f ca="1">+BS_IS!G39/BS_IS!G38</f>
        <v>#DIV/0!</v>
      </c>
      <c r="G32" s="1197" t="e">
        <f ca="1">+BS_IS!H39/BS_IS!H38</f>
        <v>#DIV/0!</v>
      </c>
      <c r="H32" s="1197" t="e">
        <f ca="1">+BS_IS!I39/BS_IS!I38</f>
        <v>#DIV/0!</v>
      </c>
      <c r="I32" s="1197">
        <f ca="1">+BS_IS!J39/BS_IS!J38</f>
        <v>-0.20456166808116832</v>
      </c>
      <c r="J32" s="1197">
        <f ca="1">+BS_IS!K39/BS_IS!K38</f>
        <v>-0.1628291574206098</v>
      </c>
      <c r="K32" s="1197">
        <f ca="1">+BS_IS!L39/BS_IS!L38</f>
        <v>-0.22412440708544581</v>
      </c>
      <c r="L32" s="1197">
        <f ca="1">+BS_IS!M39/BS_IS!M38</f>
        <v>-0.18318554856337937</v>
      </c>
      <c r="M32" s="1197">
        <f ca="1">+BS_IS!N39/BS_IS!N38</f>
        <v>-0.15900943664677603</v>
      </c>
      <c r="N32" s="1197">
        <f ca="1">+BS_IS!O39/BS_IS!O38</f>
        <v>-0.16423025827033966</v>
      </c>
      <c r="O32" s="1197">
        <f ca="1">+BS_IS!P39/BS_IS!P38</f>
        <v>-0.16037428237149975</v>
      </c>
      <c r="P32" s="1197">
        <f ca="1">+BS_IS!Q39/BS_IS!Q38</f>
        <v>-0.18125849668149702</v>
      </c>
      <c r="Q32" s="1197">
        <f ca="1">+BS_IS!R39/BS_IS!R38</f>
        <v>-0.15892413620441451</v>
      </c>
      <c r="R32" s="1197">
        <f ca="1">+BS_IS!S39/BS_IS!S38</f>
        <v>-0.16400503947894962</v>
      </c>
      <c r="S32" s="1197">
        <f ca="1">+BS_IS!T39/BS_IS!T38</f>
        <v>-0.15889437963156411</v>
      </c>
      <c r="T32" s="1197">
        <f ca="1">+BS_IS!U39/BS_IS!U38</f>
        <v>-0.12856516323995854</v>
      </c>
      <c r="U32" s="1197">
        <f ca="1">+BS_IS!V39/BS_IS!V38</f>
        <v>-0.19524389366512812</v>
      </c>
      <c r="V32" s="1197">
        <f ca="1">+BS_IS!W39/BS_IS!W38</f>
        <v>-0.13412369292987994</v>
      </c>
      <c r="W32" s="1197">
        <f ca="1">+BS_IS!X39/BS_IS!X38</f>
        <v>-0.12890052054115511</v>
      </c>
      <c r="X32" s="1197">
        <f ca="1">+BS_IS!Y39/BS_IS!Y38</f>
        <v>-0.13000315640285437</v>
      </c>
      <c r="Y32" s="1197">
        <f ca="1">+BS_IS!Z39/BS_IS!Z38</f>
        <v>-0.12893567663845143</v>
      </c>
      <c r="Z32" s="1197">
        <f ca="1">+BS_IS!AA39/BS_IS!AA38</f>
        <v>-0.12871727904590397</v>
      </c>
      <c r="AA32" s="1197">
        <f ca="1">+BS_IS!AB39/BS_IS!AB38</f>
        <v>-0.13199294680568199</v>
      </c>
    </row>
    <row r="33" spans="1:27" ht="13.5" thickBot="1">
      <c r="A33" s="1201" t="s">
        <v>1170</v>
      </c>
      <c r="B33" s="1204"/>
      <c r="C33" s="1201"/>
      <c r="D33" s="1201"/>
      <c r="E33" s="1201"/>
      <c r="F33" s="1202" t="e">
        <f ca="1">+F31+F32</f>
        <v>#DIV/0!</v>
      </c>
      <c r="G33" s="1202" t="e">
        <f ca="1">+G31+G32</f>
        <v>#DIV/0!</v>
      </c>
      <c r="H33" s="1202" t="e">
        <f ca="1">+H31+H32</f>
        <v>#DIV/0!</v>
      </c>
      <c r="I33" s="1202">
        <f ca="1">+I31+I32</f>
        <v>0.79543833191883162</v>
      </c>
      <c r="J33" s="1202">
        <f t="shared" ref="J33:AA33" ca="1" si="0">+J31+J32</f>
        <v>0.83717084257939023</v>
      </c>
      <c r="K33" s="1202">
        <f t="shared" ca="1" si="0"/>
        <v>0.77587559291455421</v>
      </c>
      <c r="L33" s="1202">
        <f t="shared" ca="1" si="0"/>
        <v>0.81681445143662068</v>
      </c>
      <c r="M33" s="1202">
        <f t="shared" ca="1" si="0"/>
        <v>0.84099056335322397</v>
      </c>
      <c r="N33" s="1202">
        <f t="shared" ca="1" si="0"/>
        <v>0.83576974172966034</v>
      </c>
      <c r="O33" s="1202">
        <f t="shared" ca="1" si="0"/>
        <v>0.83962571762850025</v>
      </c>
      <c r="P33" s="1202">
        <f t="shared" ca="1" si="0"/>
        <v>0.81874150331850304</v>
      </c>
      <c r="Q33" s="1202">
        <f t="shared" ca="1" si="0"/>
        <v>0.84107586379558552</v>
      </c>
      <c r="R33" s="1202">
        <f t="shared" ca="1" si="0"/>
        <v>0.83599496052105038</v>
      </c>
      <c r="S33" s="1202">
        <f t="shared" ca="1" si="0"/>
        <v>0.84110562036843595</v>
      </c>
      <c r="T33" s="1202">
        <f t="shared" ca="1" si="0"/>
        <v>0.87143483676004152</v>
      </c>
      <c r="U33" s="1202">
        <f t="shared" ca="1" si="0"/>
        <v>0.80475610633487182</v>
      </c>
      <c r="V33" s="1202">
        <f t="shared" ca="1" si="0"/>
        <v>0.86587630707012009</v>
      </c>
      <c r="W33" s="1202">
        <f t="shared" ca="1" si="0"/>
        <v>0.87109947945884492</v>
      </c>
      <c r="X33" s="1202">
        <f t="shared" ca="1" si="0"/>
        <v>0.86999684359714569</v>
      </c>
      <c r="Y33" s="1202">
        <f t="shared" ca="1" si="0"/>
        <v>0.8710643233615486</v>
      </c>
      <c r="Z33" s="1202">
        <f t="shared" ca="1" si="0"/>
        <v>0.87128272095409609</v>
      </c>
      <c r="AA33" s="1202">
        <f t="shared" ca="1" si="0"/>
        <v>0.86800705319431803</v>
      </c>
    </row>
    <row r="34" spans="1:27" ht="13.5" thickTop="1">
      <c r="B34" s="8"/>
      <c r="F34" s="1197"/>
      <c r="G34" s="1197"/>
      <c r="H34" s="1197"/>
      <c r="I34" s="1197"/>
      <c r="J34" s="1197"/>
      <c r="K34" s="1197"/>
      <c r="L34" s="1197"/>
      <c r="M34" s="1197"/>
      <c r="N34" s="1197"/>
      <c r="O34" s="1197"/>
      <c r="P34" s="1197"/>
      <c r="Q34" s="1197"/>
      <c r="R34" s="1197"/>
      <c r="S34" s="1197"/>
      <c r="T34" s="1197"/>
      <c r="U34" s="1197"/>
      <c r="V34" s="1197"/>
      <c r="W34" s="1197"/>
      <c r="X34" s="1197"/>
      <c r="Y34" s="1197"/>
      <c r="Z34" s="1197"/>
      <c r="AA34" s="1197"/>
    </row>
    <row r="35" spans="1:27">
      <c r="A35" t="s">
        <v>56</v>
      </c>
      <c r="B35" s="8"/>
      <c r="F35" s="1197" t="e">
        <f ca="1">+BS_IS!G43/BS_IS!G38</f>
        <v>#DIV/0!</v>
      </c>
      <c r="G35" s="1197" t="e">
        <f ca="1">+BS_IS!H43/BS_IS!H38</f>
        <v>#DIV/0!</v>
      </c>
      <c r="H35" s="1197" t="e">
        <f ca="1">+BS_IS!I43/BS_IS!I38</f>
        <v>#DIV/0!</v>
      </c>
      <c r="I35" s="1197">
        <f ca="1">+BS_IS!J43/BS_IS!J38</f>
        <v>-0.42069459897235889</v>
      </c>
      <c r="J35" s="1197">
        <f ca="1">+BS_IS!K43/BS_IS!K38</f>
        <v>-0.29974990914061528</v>
      </c>
      <c r="K35" s="1197">
        <f ca="1">+BS_IS!L43/BS_IS!L38</f>
        <v>-0.29082372988349087</v>
      </c>
      <c r="L35" s="1197">
        <f ca="1">+BS_IS!M43/BS_IS!M38</f>
        <v>-0.28173353992582589</v>
      </c>
      <c r="M35" s="1197">
        <f ca="1">+BS_IS!N43/BS_IS!N38</f>
        <v>-0.27459233620680518</v>
      </c>
      <c r="N35" s="1197">
        <f ca="1">+BS_IS!O43/BS_IS!O38</f>
        <v>-0.26706702465107457</v>
      </c>
      <c r="O35" s="1197">
        <f ca="1">+BS_IS!P43/BS_IS!P38</f>
        <v>-0.25990513611788679</v>
      </c>
      <c r="P35" s="1197">
        <f ca="1">+BS_IS!Q43/BS_IS!Q38</f>
        <v>-0.25240664902584592</v>
      </c>
      <c r="Q35" s="1197">
        <f ca="1">+BS_IS!R43/BS_IS!R38</f>
        <v>-0.24656993045335893</v>
      </c>
      <c r="R35" s="1197">
        <f ca="1">+BS_IS!S43/BS_IS!S38</f>
        <v>-0.24032633319368682</v>
      </c>
      <c r="S35" s="1197">
        <f ca="1">+BS_IS!T43/BS_IS!T38</f>
        <v>-0.2343288543620449</v>
      </c>
      <c r="T35" s="1197">
        <f ca="1">+BS_IS!U43/BS_IS!U38</f>
        <v>-0.22793254812388947</v>
      </c>
      <c r="U35" s="1197">
        <f ca="1">+BS_IS!V43/BS_IS!V38</f>
        <v>-0.22294157636515394</v>
      </c>
      <c r="V35" s="1197">
        <f ca="1">+BS_IS!W43/BS_IS!W38</f>
        <v>-0.21745779066263224</v>
      </c>
      <c r="W35" s="1197">
        <f ca="1">+BS_IS!X43/BS_IS!X38</f>
        <v>-0.21204613231750707</v>
      </c>
      <c r="X35" s="1197">
        <f ca="1">+BS_IS!Y43/BS_IS!Y38</f>
        <v>-0.20613056721825579</v>
      </c>
      <c r="Y35" s="1197">
        <f ca="1">+BS_IS!Z43/BS_IS!Z38</f>
        <v>-0.20136610839584163</v>
      </c>
      <c r="Z35" s="1197">
        <f ca="1">+BS_IS!AA43/BS_IS!AA38</f>
        <v>-0.19609518888446079</v>
      </c>
      <c r="AA35" s="1197">
        <f ca="1">+BS_IS!AB43/BS_IS!AB38</f>
        <v>-0.19709888009577786</v>
      </c>
    </row>
    <row r="36" spans="1:27">
      <c r="A36" t="s">
        <v>1152</v>
      </c>
      <c r="B36" s="8"/>
      <c r="F36" s="1197" t="e">
        <f ca="1">+BS_IS!G44/BS_IS!G38</f>
        <v>#DIV/0!</v>
      </c>
      <c r="G36" s="1197" t="e">
        <f ca="1">+BS_IS!H44/BS_IS!H38</f>
        <v>#DIV/0!</v>
      </c>
      <c r="H36" s="1197" t="e">
        <f ca="1">+BS_IS!I44/BS_IS!I38</f>
        <v>#DIV/0!</v>
      </c>
      <c r="I36" s="1197">
        <f ca="1">+BS_IS!J44/BS_IS!J38</f>
        <v>-0.30098646499021109</v>
      </c>
      <c r="J36" s="1197">
        <f ca="1">+BS_IS!K44/BS_IS!K38</f>
        <v>-0.42730460756494026</v>
      </c>
      <c r="K36" s="1197">
        <f ca="1">+BS_IS!L44/BS_IS!L38</f>
        <v>-0.4072534107703995</v>
      </c>
      <c r="L36" s="1197">
        <f ca="1">+BS_IS!M44/BS_IS!M38</f>
        <v>-0.37963687967936571</v>
      </c>
      <c r="M36" s="1197">
        <f ca="1">+BS_IS!N44/BS_IS!N38</f>
        <v>-0.34050468229445457</v>
      </c>
      <c r="N36" s="1197">
        <f ca="1">+BS_IS!O44/BS_IS!O38</f>
        <v>-0.29565073758543325</v>
      </c>
      <c r="O36" s="1197">
        <f ca="1">+BS_IS!P44/BS_IS!P38</f>
        <v>-0.24812270754738797</v>
      </c>
      <c r="P36" s="1197">
        <f ca="1">+BS_IS!Q44/BS_IS!Q38</f>
        <v>-0.20115263470309103</v>
      </c>
      <c r="Q36" s="1197">
        <f ca="1">+BS_IS!R44/BS_IS!R38</f>
        <v>-0.1716876397030159</v>
      </c>
      <c r="R36" s="1197">
        <f ca="1">+BS_IS!S44/BS_IS!S38</f>
        <v>-0.14772868328671732</v>
      </c>
      <c r="S36" s="1197">
        <f ca="1">+BS_IS!T44/BS_IS!T38</f>
        <v>-0.12491993287410867</v>
      </c>
      <c r="T36" s="1197">
        <f ca="1">+BS_IS!U44/BS_IS!U38</f>
        <v>-9.6403270087625559E-2</v>
      </c>
      <c r="U36" s="1197">
        <f ca="1">+BS_IS!V44/BS_IS!V38</f>
        <v>-6.761389855115324E-2</v>
      </c>
      <c r="V36" s="1197">
        <f ca="1">+BS_IS!W44/BS_IS!W38</f>
        <v>-3.9928535089512468E-2</v>
      </c>
      <c r="W36" s="1197">
        <f ca="1">+BS_IS!X44/BS_IS!X38</f>
        <v>-1.185350365453678E-2</v>
      </c>
      <c r="X36" s="1197">
        <f ca="1">+BS_IS!Y44/BS_IS!Y38</f>
        <v>0</v>
      </c>
      <c r="Y36" s="1197">
        <f ca="1">+BS_IS!Z44/BS_IS!Z38</f>
        <v>0</v>
      </c>
      <c r="Z36" s="1197">
        <f ca="1">+BS_IS!AA44/BS_IS!AA38</f>
        <v>0</v>
      </c>
      <c r="AA36" s="1197">
        <f ca="1">+BS_IS!AB44/BS_IS!AB38</f>
        <v>0</v>
      </c>
    </row>
    <row r="37" spans="1:27">
      <c r="A37" t="s">
        <v>1153</v>
      </c>
      <c r="B37" s="8"/>
      <c r="F37" s="1197" t="e">
        <f ca="1">+BS_IS!G45/BS_IS!G38</f>
        <v>#DIV/0!</v>
      </c>
      <c r="G37" s="1197" t="e">
        <f ca="1">+BS_IS!H45/BS_IS!H38</f>
        <v>#DIV/0!</v>
      </c>
      <c r="H37" s="1197" t="e">
        <f ca="1">+BS_IS!I45/BS_IS!I38</f>
        <v>#DIV/0!</v>
      </c>
      <c r="I37" s="1197">
        <f ca="1">+BS_IS!J45/BS_IS!J38</f>
        <v>-9.3810385021482028E-3</v>
      </c>
      <c r="J37" s="1197">
        <f ca="1">+BS_IS!K45/BS_IS!K38</f>
        <v>-1.3223216970328787E-2</v>
      </c>
      <c r="K37" s="1197">
        <f ca="1">+BS_IS!L45/BS_IS!L38</f>
        <v>-1.2229603019475769E-2</v>
      </c>
      <c r="L37" s="1197">
        <f ca="1">+BS_IS!M45/BS_IS!M38</f>
        <v>-1.1188254770965992E-2</v>
      </c>
      <c r="M37" s="1197">
        <f ca="1">+BS_IS!N45/BS_IS!N38</f>
        <v>-1.0176052840990105E-2</v>
      </c>
      <c r="N37" s="1197">
        <f ca="1">+BS_IS!O45/BS_IS!O38</f>
        <v>-9.0934154129473383E-3</v>
      </c>
      <c r="O37" s="1197">
        <f ca="1">+BS_IS!P45/BS_IS!P38</f>
        <v>-7.9623631092148213E-3</v>
      </c>
      <c r="P37" s="1197">
        <f ca="1">+BS_IS!Q45/BS_IS!Q38</f>
        <v>-6.7553944388011947E-3</v>
      </c>
      <c r="Q37" s="1197">
        <f ca="1">+BS_IS!R45/BS_IS!R38</f>
        <v>-5.5163935691687751E-3</v>
      </c>
      <c r="R37" s="1197">
        <f ca="1">+BS_IS!S45/BS_IS!S38</f>
        <v>-4.1796823689509129E-3</v>
      </c>
      <c r="S37" s="1197">
        <f ca="1">+BS_IS!T45/BS_IS!T38</f>
        <v>-2.7515611811508214E-3</v>
      </c>
      <c r="T37" s="1197">
        <f ca="1">+BS_IS!U45/BS_IS!U38</f>
        <v>-1.2159353536255479E-3</v>
      </c>
      <c r="U37" s="1197">
        <f ca="1">+BS_IS!V45/BS_IS!V38</f>
        <v>0</v>
      </c>
      <c r="V37" s="1197">
        <f ca="1">+BS_IS!W45/BS_IS!W38</f>
        <v>0</v>
      </c>
      <c r="W37" s="1197">
        <f ca="1">+BS_IS!X45/BS_IS!X38</f>
        <v>0</v>
      </c>
      <c r="X37" s="1197">
        <f ca="1">+BS_IS!Y45/BS_IS!Y38</f>
        <v>0</v>
      </c>
      <c r="Y37" s="1197">
        <f ca="1">+BS_IS!Z45/BS_IS!Z38</f>
        <v>0</v>
      </c>
      <c r="Z37" s="1197">
        <f ca="1">+BS_IS!AA45/BS_IS!AA38</f>
        <v>0</v>
      </c>
      <c r="AA37" s="1197">
        <f ca="1">+BS_IS!AB45/BS_IS!AB38</f>
        <v>0</v>
      </c>
    </row>
    <row r="38" spans="1:27">
      <c r="A38" t="s">
        <v>569</v>
      </c>
      <c r="B38" s="8"/>
      <c r="F38" s="1197" t="e">
        <f ca="1">+BS_IS!G40/BS_IS!G38</f>
        <v>#DIV/0!</v>
      </c>
      <c r="G38" s="1197" t="e">
        <f ca="1">+BS_IS!H40/BS_IS!H38</f>
        <v>#DIV/0!</v>
      </c>
      <c r="H38" s="1197" t="e">
        <f ca="1">+BS_IS!I40/BS_IS!I38</f>
        <v>#DIV/0!</v>
      </c>
      <c r="I38" s="1197">
        <f ca="1">+BS_IS!J40/BS_IS!J38</f>
        <v>-0.19302697598431459</v>
      </c>
      <c r="J38" s="1197">
        <f ca="1">+BS_IS!K40/BS_IS!K38</f>
        <v>-0.24598780834529976</v>
      </c>
      <c r="K38" s="1197">
        <f ca="1">+BS_IS!L40/BS_IS!L38</f>
        <v>-0.22872759114217789</v>
      </c>
      <c r="L38" s="1197">
        <f ca="1">+BS_IS!M40/BS_IS!M38</f>
        <v>-7.0548470027206309E-2</v>
      </c>
      <c r="M38" s="1197">
        <f ca="1">+BS_IS!N40/BS_IS!N38</f>
        <v>-0.10297042715847481</v>
      </c>
      <c r="N38" s="1197">
        <f ca="1">+BS_IS!O40/BS_IS!O38</f>
        <v>3.2310177738005735E-2</v>
      </c>
      <c r="O38" s="1197">
        <f ca="1">+BS_IS!P40/BS_IS!P38</f>
        <v>3.7888341883789103E-2</v>
      </c>
      <c r="P38" s="1197">
        <f ca="1">+BS_IS!Q40/BS_IS!Q38</f>
        <v>3.838359926397103E-2</v>
      </c>
      <c r="Q38" s="1197">
        <f ca="1">+BS_IS!R40/BS_IS!R38</f>
        <v>4.2210968048769518E-2</v>
      </c>
      <c r="R38" s="1197">
        <f ca="1">+BS_IS!S40/BS_IS!S38</f>
        <v>5.0489673812393526E-2</v>
      </c>
      <c r="S38" s="1197">
        <f ca="1">+BS_IS!T40/BS_IS!T38</f>
        <v>5.8429278481385731E-2</v>
      </c>
      <c r="T38" s="1197">
        <f ca="1">+BS_IS!U40/BS_IS!U38</f>
        <v>6.2324003037033948E-2</v>
      </c>
      <c r="U38" s="1197">
        <f ca="1">+BS_IS!V40/BS_IS!V38</f>
        <v>6.1292793449813344E-2</v>
      </c>
      <c r="V38" s="1197">
        <f ca="1">+BS_IS!W40/BS_IS!W38</f>
        <v>5.6826323944490061E-2</v>
      </c>
      <c r="W38" s="1197">
        <f ca="1">+BS_IS!X40/BS_IS!X38</f>
        <v>5.4033051316348731E-2</v>
      </c>
      <c r="X38" s="1197">
        <f ca="1">+BS_IS!Y40/BS_IS!Y38</f>
        <v>5.3555168669307159E-2</v>
      </c>
      <c r="Y38" s="1197">
        <f ca="1">+BS_IS!Z40/BS_IS!Z38</f>
        <v>6.1182608107698218E-2</v>
      </c>
      <c r="Z38" s="1197">
        <f ca="1">+BS_IS!AA40/BS_IS!AA38</f>
        <v>6.8269203999082623E-2</v>
      </c>
      <c r="AA38" s="1197">
        <f ca="1">+BS_IS!AB40/BS_IS!AB38</f>
        <v>7.741095657701115E-2</v>
      </c>
    </row>
    <row r="39" spans="1:27" ht="13.5" thickBot="1">
      <c r="A39" s="1201" t="s">
        <v>1171</v>
      </c>
      <c r="B39" s="1204"/>
      <c r="C39" s="1201"/>
      <c r="D39" s="1201"/>
      <c r="E39" s="1201"/>
      <c r="F39" s="1202" t="e">
        <f ca="1">+BS_IS!G49/BS_IS!G38</f>
        <v>#DIV/0!</v>
      </c>
      <c r="G39" s="1202" t="e">
        <f ca="1">+BS_IS!H49/BS_IS!H38</f>
        <v>#DIV/0!</v>
      </c>
      <c r="H39" s="1202" t="e">
        <f ca="1">+BS_IS!I49/BS_IS!I38</f>
        <v>#DIV/0!</v>
      </c>
      <c r="I39" s="1202">
        <f ca="1">+BS_IS!J49/BS_IS!J38</f>
        <v>-0.12865074653020123</v>
      </c>
      <c r="J39" s="1202">
        <f ca="1">+BS_IS!K49/BS_IS!K38</f>
        <v>-0.14909469944179377</v>
      </c>
      <c r="K39" s="1202">
        <f ca="1">+BS_IS!L49/BS_IS!L38</f>
        <v>-0.16315874190098992</v>
      </c>
      <c r="L39" s="1202">
        <f ca="1">+BS_IS!M49/BS_IS!M38</f>
        <v>7.3707307033256841E-2</v>
      </c>
      <c r="M39" s="1202">
        <f ca="1">+BS_IS!N49/BS_IS!N38</f>
        <v>0.11274706485249937</v>
      </c>
      <c r="N39" s="1202">
        <f ca="1">+BS_IS!O49/BS_IS!O38</f>
        <v>0.29626874181821089</v>
      </c>
      <c r="O39" s="1202">
        <f ca="1">+BS_IS!P49/BS_IS!P38</f>
        <v>0.3615238527377998</v>
      </c>
      <c r="P39" s="1202">
        <f ca="1">+BS_IS!Q49/BS_IS!Q38</f>
        <v>0.39681042441473596</v>
      </c>
      <c r="Q39" s="1202">
        <f ca="1">+BS_IS!R49/BS_IS!R38</f>
        <v>0.45951286811881148</v>
      </c>
      <c r="R39" s="1202">
        <f ca="1">+BS_IS!S49/BS_IS!S38</f>
        <v>0.49424993548408891</v>
      </c>
      <c r="S39" s="1202">
        <f ca="1">+BS_IS!T49/BS_IS!T38</f>
        <v>0.53753455043251719</v>
      </c>
      <c r="T39" s="1202">
        <f ca="1">+BS_IS!U49/BS_IS!U38</f>
        <v>0.60820708623193487</v>
      </c>
      <c r="U39" s="1202">
        <f ca="1">+BS_IS!V49/BS_IS!V38</f>
        <v>0.57549342486837807</v>
      </c>
      <c r="V39" s="1202">
        <f ca="1">+BS_IS!W49/BS_IS!W38</f>
        <v>0.66531630526246543</v>
      </c>
      <c r="W39" s="1202">
        <f ca="1">+BS_IS!X49/BS_IS!X38</f>
        <v>0.70123289480314976</v>
      </c>
      <c r="X39" s="1202">
        <f ca="1">+BS_IS!Y49/BS_IS!Y38</f>
        <v>0.71742144504819705</v>
      </c>
      <c r="Y39" s="1202">
        <f ca="1">+BS_IS!Z49/BS_IS!Z38</f>
        <v>0.73088082307340518</v>
      </c>
      <c r="Z39" s="1202">
        <f ca="1">+BS_IS!AA49/BS_IS!AA38</f>
        <v>0.74345673606871776</v>
      </c>
      <c r="AA39" s="1202">
        <f ca="1">+BS_IS!AB49/BS_IS!AB38</f>
        <v>0.74831912967555125</v>
      </c>
    </row>
    <row r="40" spans="1:27" ht="13.5" thickTop="1"/>
    <row r="41" spans="1:27">
      <c r="A41" t="s">
        <v>402</v>
      </c>
      <c r="B41" s="8"/>
      <c r="F41" s="1197" t="e">
        <f ca="1">+BS_IS!G50/BS_IS!G38</f>
        <v>#DIV/0!</v>
      </c>
      <c r="G41" s="1197" t="e">
        <f ca="1">+BS_IS!H50/BS_IS!H38</f>
        <v>#DIV/0!</v>
      </c>
      <c r="H41" s="1197" t="e">
        <f ca="1">+BS_IS!I50/BS_IS!I38</f>
        <v>#DIV/0!</v>
      </c>
      <c r="I41" s="1197">
        <f ca="1">+BS_IS!J50/BS_IS!J38</f>
        <v>0</v>
      </c>
      <c r="J41" s="1197">
        <f ca="1">+BS_IS!K50/BS_IS!K38</f>
        <v>0</v>
      </c>
      <c r="K41" s="1197">
        <f ca="1">+BS_IS!L50/BS_IS!L38</f>
        <v>0</v>
      </c>
      <c r="L41" s="1197">
        <f ca="1">+BS_IS!M50/BS_IS!M38</f>
        <v>0</v>
      </c>
      <c r="M41" s="1197">
        <f ca="1">+BS_IS!N50/BS_IS!N38</f>
        <v>0</v>
      </c>
      <c r="N41" s="1197">
        <f ca="1">+BS_IS!O50/BS_IS!O38</f>
        <v>-3.1144152687766852E-2</v>
      </c>
      <c r="O41" s="1197">
        <f ca="1">+BS_IS!P50/BS_IS!P38</f>
        <v>-9.0380963184449936E-2</v>
      </c>
      <c r="P41" s="1197">
        <f ca="1">+BS_IS!Q50/BS_IS!Q38</f>
        <v>-9.9202606103683963E-2</v>
      </c>
      <c r="Q41" s="1197">
        <f ca="1">+BS_IS!R50/BS_IS!R38</f>
        <v>-0.11487821702970287</v>
      </c>
      <c r="R41" s="1197">
        <f ca="1">+BS_IS!S50/BS_IS!S38</f>
        <v>-0.12356248387102221</v>
      </c>
      <c r="S41" s="1197">
        <f ca="1">+BS_IS!T50/BS_IS!T38</f>
        <v>-0.1343836376081293</v>
      </c>
      <c r="T41" s="1197">
        <f ca="1">+BS_IS!U50/BS_IS!U38</f>
        <v>-0.15205177155798372</v>
      </c>
      <c r="U41" s="1197">
        <f ca="1">+BS_IS!V50/BS_IS!V38</f>
        <v>-0.14387335621709452</v>
      </c>
      <c r="V41" s="1197">
        <f ca="1">+BS_IS!W50/BS_IS!W38</f>
        <v>-0.16632907631561636</v>
      </c>
      <c r="W41" s="1197">
        <f ca="1">+BS_IS!X50/BS_IS!X38</f>
        <v>-0.17530822370078744</v>
      </c>
      <c r="X41" s="1197">
        <f ca="1">+BS_IS!Y50/BS_IS!Y38</f>
        <v>-0.17935536126204926</v>
      </c>
      <c r="Y41" s="1197">
        <f ca="1">+BS_IS!Z50/BS_IS!Z38</f>
        <v>-0.1827202057683513</v>
      </c>
      <c r="Z41" s="1197">
        <f ca="1">+BS_IS!AA50/BS_IS!AA38</f>
        <v>-0.18586418401717944</v>
      </c>
      <c r="AA41" s="1197">
        <f ca="1">+BS_IS!AB50/BS_IS!AB38</f>
        <v>-0.18707978241888781</v>
      </c>
    </row>
    <row r="42" spans="1:27" ht="13.5" thickBot="1">
      <c r="A42" s="1205" t="s">
        <v>1166</v>
      </c>
      <c r="B42" s="1201"/>
      <c r="C42" s="1201"/>
      <c r="D42" s="1201"/>
      <c r="E42" s="1201"/>
      <c r="F42" s="1202" t="e">
        <f ca="1">+BS_IS!G51/BS_IS!G38</f>
        <v>#DIV/0!</v>
      </c>
      <c r="G42" s="1202" t="e">
        <f ca="1">+BS_IS!H51/BS_IS!H38</f>
        <v>#DIV/0!</v>
      </c>
      <c r="H42" s="1202" t="e">
        <f ca="1">+BS_IS!I51/BS_IS!I38</f>
        <v>#DIV/0!</v>
      </c>
      <c r="I42" s="1202">
        <f ca="1">+BS_IS!J51/BS_IS!J38</f>
        <v>-0.12865074653020123</v>
      </c>
      <c r="J42" s="1202">
        <f ca="1">+BS_IS!K51/BS_IS!K38</f>
        <v>-0.14909469944179377</v>
      </c>
      <c r="K42" s="1202">
        <f ca="1">+BS_IS!L51/BS_IS!L38</f>
        <v>-0.16315874190098992</v>
      </c>
      <c r="L42" s="1202">
        <f ca="1">+BS_IS!M51/BS_IS!M38</f>
        <v>7.3707307033256841E-2</v>
      </c>
      <c r="M42" s="1202">
        <f ca="1">+BS_IS!N51/BS_IS!N38</f>
        <v>0.11274706485249937</v>
      </c>
      <c r="N42" s="1202">
        <f ca="1">+BS_IS!O51/BS_IS!O38</f>
        <v>0.26512458913044401</v>
      </c>
      <c r="O42" s="1202">
        <f ca="1">+BS_IS!P51/BS_IS!P38</f>
        <v>0.27114288955334986</v>
      </c>
      <c r="P42" s="1202">
        <f ca="1">+BS_IS!Q51/BS_IS!Q38</f>
        <v>0.29760781831105199</v>
      </c>
      <c r="Q42" s="1202">
        <f ca="1">+BS_IS!R51/BS_IS!R38</f>
        <v>0.34463465108910857</v>
      </c>
      <c r="R42" s="1202">
        <f ca="1">+BS_IS!S51/BS_IS!S38</f>
        <v>0.37068745161306671</v>
      </c>
      <c r="S42" s="1202">
        <f ca="1">+BS_IS!T51/BS_IS!T38</f>
        <v>0.40315091282438792</v>
      </c>
      <c r="T42" s="1202">
        <f ca="1">+BS_IS!U51/BS_IS!U38</f>
        <v>0.4561553146739511</v>
      </c>
      <c r="U42" s="1202">
        <f ca="1">+BS_IS!V51/BS_IS!V38</f>
        <v>0.43162006865128361</v>
      </c>
      <c r="V42" s="1202">
        <f ca="1">+BS_IS!W51/BS_IS!W38</f>
        <v>0.49898722894684905</v>
      </c>
      <c r="W42" s="1202">
        <f ca="1">+BS_IS!X51/BS_IS!X38</f>
        <v>0.5259246711023623</v>
      </c>
      <c r="X42" s="1202">
        <f ca="1">+BS_IS!Y51/BS_IS!Y38</f>
        <v>0.53806608378614773</v>
      </c>
      <c r="Y42" s="1202">
        <f ca="1">+BS_IS!Z51/BS_IS!Z38</f>
        <v>0.54816061730505394</v>
      </c>
      <c r="Z42" s="1202">
        <f ca="1">+BS_IS!AA51/BS_IS!AA38</f>
        <v>0.55759255205153835</v>
      </c>
      <c r="AA42" s="1202">
        <f ca="1">+BS_IS!AB51/BS_IS!AB38</f>
        <v>0.56123934725666336</v>
      </c>
    </row>
    <row r="43" spans="1:27" ht="13.5" thickTop="1">
      <c r="A43" s="8"/>
      <c r="B43" s="130"/>
      <c r="C43" s="130"/>
      <c r="D43" s="130"/>
      <c r="E43" s="130"/>
      <c r="F43" s="1212"/>
      <c r="G43" s="1212"/>
      <c r="H43" s="1212"/>
      <c r="I43" s="1212"/>
      <c r="J43" s="1212"/>
      <c r="K43" s="1212"/>
      <c r="L43" s="1212"/>
      <c r="M43" s="1212"/>
      <c r="N43" s="1212"/>
      <c r="O43" s="1212"/>
      <c r="P43" s="1212"/>
      <c r="Q43" s="1212"/>
      <c r="R43" s="1212"/>
      <c r="S43" s="1212"/>
      <c r="T43" s="1212"/>
      <c r="U43" s="1212"/>
      <c r="V43" s="1212"/>
      <c r="W43" s="1212"/>
      <c r="X43" s="1212"/>
      <c r="Y43" s="1212"/>
      <c r="Z43" s="1212"/>
      <c r="AA43" s="1212"/>
    </row>
    <row r="45" spans="1:27" ht="13.5" thickBot="1">
      <c r="A45" s="79" t="s">
        <v>2</v>
      </c>
      <c r="B45" s="1203"/>
      <c r="C45" s="1203"/>
      <c r="D45" s="1203"/>
      <c r="E45" s="1284" t="s">
        <v>469</v>
      </c>
      <c r="F45" s="1211">
        <f>+BS_IS!G7</f>
        <v>1998</v>
      </c>
      <c r="G45" s="1211">
        <f>+BS_IS!H7</f>
        <v>1999</v>
      </c>
      <c r="H45" s="1211">
        <f>+BS_IS!I7</f>
        <v>2000</v>
      </c>
      <c r="I45" s="1211">
        <f>+BS_IS!J7</f>
        <v>2001</v>
      </c>
      <c r="J45" s="1211">
        <f>+BS_IS!K7</f>
        <v>2002</v>
      </c>
      <c r="K45" s="1211">
        <f>+BS_IS!L7</f>
        <v>2003</v>
      </c>
      <c r="L45" s="1211">
        <f>+BS_IS!M7</f>
        <v>2004</v>
      </c>
      <c r="M45" s="1211">
        <f>+BS_IS!N7</f>
        <v>2005</v>
      </c>
      <c r="N45" s="1211">
        <f>+BS_IS!O7</f>
        <v>2006</v>
      </c>
      <c r="O45" s="1211">
        <f>+BS_IS!P7</f>
        <v>2007</v>
      </c>
      <c r="P45" s="1211">
        <f>+BS_IS!Q7</f>
        <v>2008</v>
      </c>
      <c r="Q45" s="1211">
        <f>+BS_IS!R7</f>
        <v>2009</v>
      </c>
      <c r="R45" s="1211">
        <f>+BS_IS!S7</f>
        <v>2010</v>
      </c>
      <c r="S45" s="1211">
        <f>+BS_IS!T7</f>
        <v>2011</v>
      </c>
      <c r="T45" s="1211">
        <f>+BS_IS!U7</f>
        <v>2012</v>
      </c>
      <c r="U45" s="1211">
        <f>+BS_IS!V7</f>
        <v>2013</v>
      </c>
      <c r="V45" s="1211">
        <f>+BS_IS!W7</f>
        <v>2014</v>
      </c>
      <c r="W45" s="1211">
        <f>+BS_IS!X7</f>
        <v>2015</v>
      </c>
      <c r="X45" s="1211">
        <f>+BS_IS!Y7</f>
        <v>2016</v>
      </c>
      <c r="Y45" s="1211">
        <f>+BS_IS!Z7</f>
        <v>2017</v>
      </c>
      <c r="Z45" s="1211">
        <f>+BS_IS!AA7</f>
        <v>2018</v>
      </c>
      <c r="AA45" s="1211">
        <f>+BS_IS!AB7</f>
        <v>2019</v>
      </c>
    </row>
    <row r="46" spans="1:27">
      <c r="A46" s="6"/>
      <c r="E46" s="1285"/>
    </row>
    <row r="47" spans="1:27">
      <c r="A47" s="6"/>
      <c r="E47" s="1285"/>
    </row>
    <row r="48" spans="1:27">
      <c r="A48" s="71" t="s">
        <v>1167</v>
      </c>
      <c r="E48" s="1285"/>
    </row>
    <row r="49" spans="1:27">
      <c r="A49" s="1200" t="s">
        <v>1168</v>
      </c>
      <c r="E49" s="1286">
        <f ca="1">AVERAGE(F49:AA49)</f>
        <v>0.12844766985030145</v>
      </c>
      <c r="F49" s="1199">
        <f ca="1">BS_IS!G49/(BS_IS!G18/2)</f>
        <v>0</v>
      </c>
      <c r="G49" s="1199">
        <f ca="1">+BS_IS!H49/((BS_IS!H18+BS_IS!G18)/2)</f>
        <v>0</v>
      </c>
      <c r="H49" s="1199">
        <f ca="1">+BS_IS!I49/((BS_IS!I18+BS_IS!H18)/2)</f>
        <v>0</v>
      </c>
      <c r="I49" s="1199">
        <f ca="1">+BS_IS!J49/((BS_IS!J18+BS_IS!I18)/2)</f>
        <v>-1.1901985203073423E-2</v>
      </c>
      <c r="J49" s="1199">
        <f ca="1">+BS_IS!K49/((BS_IS!K18+BS_IS!J18)/2)</f>
        <v>-2.362710435767014E-2</v>
      </c>
      <c r="K49" s="1199">
        <f ca="1">+BS_IS!L49/((BS_IS!L18+BS_IS!K18)/2)</f>
        <v>-2.7713514134091267E-2</v>
      </c>
      <c r="L49" s="1199">
        <f ca="1">+BS_IS!M49/((BS_IS!M18+BS_IS!L18)/2)</f>
        <v>1.3453728337667604E-2</v>
      </c>
      <c r="M49" s="1199">
        <f ca="1">+BS_IS!N49/((BS_IS!N18+BS_IS!M18)/2)</f>
        <v>2.1948236958445184E-2</v>
      </c>
      <c r="N49" s="1199">
        <f ca="1">+BS_IS!O49/((BS_IS!O18+BS_IS!N18)/2)</f>
        <v>6.1447503919869563E-2</v>
      </c>
      <c r="O49" s="1199">
        <f ca="1">+BS_IS!P49/((BS_IS!P18+BS_IS!O18)/2)</f>
        <v>8.0572129126513597E-2</v>
      </c>
      <c r="P49" s="1199">
        <f ca="1">+BS_IS!Q49/((BS_IS!Q18+BS_IS!P18)/2)</f>
        <v>9.5864525657819999E-2</v>
      </c>
      <c r="Q49" s="1199">
        <f ca="1">+BS_IS!R49/((BS_IS!R18+BS_IS!Q18)/2)</f>
        <v>0.11688388151649669</v>
      </c>
      <c r="R49" s="1199">
        <f ca="1">+BS_IS!S49/((BS_IS!S18+BS_IS!R18)/2)</f>
        <v>0.13076769973681204</v>
      </c>
      <c r="S49" s="1199">
        <f ca="1">+BS_IS!T49/((BS_IS!T18+BS_IS!S18)/2)</f>
        <v>0.14915382666011887</v>
      </c>
      <c r="T49" s="1199">
        <f ca="1">+BS_IS!U49/((BS_IS!U18+BS_IS!T18)/2)</f>
        <v>0.18425163349515794</v>
      </c>
      <c r="U49" s="1199">
        <f ca="1">+BS_IS!V49/((BS_IS!V18+BS_IS!U18)/2)</f>
        <v>0.19532136270769007</v>
      </c>
      <c r="V49" s="1199">
        <f ca="1">+BS_IS!W49/((BS_IS!W18+BS_IS!V18)/2)</f>
        <v>0.25569772184583806</v>
      </c>
      <c r="W49" s="1199">
        <f ca="1">+BS_IS!X49/((BS_IS!X18+BS_IS!W18)/2)</f>
        <v>0.30436937001879077</v>
      </c>
      <c r="X49" s="1199">
        <f ca="1">+BS_IS!Y49/((BS_IS!Y18+BS_IS!X18)/2)</f>
        <v>0.33674399789714338</v>
      </c>
      <c r="Y49" s="1199">
        <f ca="1">+BS_IS!Z49/((BS_IS!Z18+BS_IS!Y18)/2)</f>
        <v>0.35518868647390733</v>
      </c>
      <c r="Z49" s="1199">
        <f ca="1">+BS_IS!AA49/((BS_IS!AA18+BS_IS!Z18)/2)</f>
        <v>0.37508079948563072</v>
      </c>
      <c r="AA49" s="1199">
        <f ca="1">+BS_IS!AB49/((BS_IS!AB18+BS_IS!AA18)/2)</f>
        <v>0.21234623656356469</v>
      </c>
    </row>
    <row r="50" spans="1:27">
      <c r="A50" s="1200" t="s">
        <v>1169</v>
      </c>
      <c r="E50" s="1286">
        <f ca="1">AVERAGE(F50:AA50)</f>
        <v>0.18260399966108015</v>
      </c>
      <c r="F50" s="1199">
        <f ca="1">+BS_IS!G49/(BS_IS!G28)/2</f>
        <v>0</v>
      </c>
      <c r="G50" s="1199">
        <f ca="1">+BS_IS!H49/((BS_IS!H28+BS_IS!G28)/2)</f>
        <v>0</v>
      </c>
      <c r="H50" s="1199">
        <f ca="1">+BS_IS!I49/((BS_IS!I28+BS_IS!H28)/2)</f>
        <v>0</v>
      </c>
      <c r="I50" s="1199">
        <f ca="1">+BS_IS!J49/((BS_IS!J28+BS_IS!I28)/2)</f>
        <v>-3.0625149685181544E-2</v>
      </c>
      <c r="J50" s="1199">
        <f ca="1">+BS_IS!K49/((BS_IS!K28+BS_IS!J28)/2)</f>
        <v>-5.9774676664995273E-2</v>
      </c>
      <c r="K50" s="1199">
        <f ca="1">+BS_IS!L49/((BS_IS!L28+BS_IS!K28)/2)</f>
        <v>-6.7420908390526266E-2</v>
      </c>
      <c r="L50" s="1199">
        <f ca="1">+BS_IS!M49/((BS_IS!M28+BS_IS!L28)/2)</f>
        <v>3.1440256744069466E-2</v>
      </c>
      <c r="M50" s="1199">
        <f ca="1">+BS_IS!N49/((BS_IS!N28+BS_IS!M28)/2)</f>
        <v>4.9343610572717578E-2</v>
      </c>
      <c r="N50" s="1199">
        <f ca="1">+BS_IS!O49/((BS_IS!O28+BS_IS!N28)/2)</f>
        <v>0.133315196448758</v>
      </c>
      <c r="O50" s="1199">
        <f ca="1">+BS_IS!P49/((BS_IS!P28+BS_IS!O28)/2)</f>
        <v>0.16716147190109751</v>
      </c>
      <c r="P50" s="1199">
        <f ca="1">+BS_IS!Q49/((BS_IS!Q28+BS_IS!P28)/2)</f>
        <v>0.1889280201742099</v>
      </c>
      <c r="Q50" s="1199">
        <f ca="1">+BS_IS!R49/((BS_IS!R28+BS_IS!Q28)/2)</f>
        <v>0.22396061788385199</v>
      </c>
      <c r="R50" s="1199">
        <f ca="1">+BS_IS!S49/((BS_IS!S28+BS_IS!R28)/2)</f>
        <v>0.24714928190764654</v>
      </c>
      <c r="S50" s="1199">
        <f ca="1">+BS_IS!T49/((BS_IS!T28+BS_IS!S28)/2)</f>
        <v>0.27567330102523308</v>
      </c>
      <c r="T50" s="1199">
        <f ca="1">+BS_IS!U49/((BS_IS!U28+BS_IS!T28)/2)</f>
        <v>0.32067065733880318</v>
      </c>
      <c r="U50" s="1199">
        <f ca="1">+BS_IS!V49/((BS_IS!V28+BS_IS!U28)/2)</f>
        <v>0.31021542621809467</v>
      </c>
      <c r="V50" s="1199">
        <f ca="1">+BS_IS!W49/((BS_IS!W28+BS_IS!V28)/2)</f>
        <v>0.36767769769905972</v>
      </c>
      <c r="W50" s="1199">
        <f ca="1">+BS_IS!X49/((BS_IS!X28+BS_IS!W28)/2)</f>
        <v>0.39741661240255799</v>
      </c>
      <c r="X50" s="1199">
        <f ca="1">+BS_IS!Y49/((BS_IS!Y28+BS_IS!X28)/2)</f>
        <v>0.41825972534535494</v>
      </c>
      <c r="Y50" s="1199">
        <f ca="1">+BS_IS!Z49/((BS_IS!Z28+BS_IS!Y28)/2)</f>
        <v>0.43618857085181267</v>
      </c>
      <c r="Z50" s="1199">
        <f ca="1">+BS_IS!AA49/((BS_IS!AA28+BS_IS!Z28)/2)</f>
        <v>0.45562007796401643</v>
      </c>
      <c r="AA50" s="1199">
        <f ca="1">+BS_IS!AB49/((BS_IS!AB28+BS_IS!AA28)/2)</f>
        <v>0.15208820280718294</v>
      </c>
    </row>
    <row r="51" spans="1:27">
      <c r="A51" s="1200"/>
      <c r="E51" s="1285"/>
      <c r="F51" s="1199"/>
      <c r="G51" s="1199"/>
      <c r="H51" s="1199"/>
      <c r="I51" s="1199"/>
      <c r="J51" s="1199"/>
      <c r="K51" s="1199"/>
      <c r="L51" s="1199"/>
      <c r="M51" s="1199"/>
      <c r="N51" s="1199"/>
      <c r="O51" s="1199"/>
      <c r="P51" s="1199"/>
      <c r="Q51" s="1199"/>
      <c r="R51" s="1199"/>
      <c r="S51" s="1199"/>
      <c r="T51" s="1199"/>
      <c r="U51" s="1199"/>
      <c r="V51" s="1199"/>
      <c r="W51" s="1199"/>
      <c r="X51" s="1199"/>
      <c r="Y51" s="1199"/>
      <c r="Z51" s="1199"/>
      <c r="AA51" s="1199"/>
    </row>
    <row r="52" spans="1:27">
      <c r="A52" s="71" t="s">
        <v>1172</v>
      </c>
      <c r="E52" s="1285"/>
    </row>
    <row r="53" spans="1:27">
      <c r="A53" s="1200" t="s">
        <v>1173</v>
      </c>
      <c r="E53" s="1286">
        <f ca="1">AVERAGE(I53:AA53)</f>
        <v>0.83607714399826161</v>
      </c>
      <c r="F53" s="1198" t="e">
        <f ca="1">+(BS_IS!G38+BS_IS!G39+BS_IS!G40)/BS_IS!G38</f>
        <v>#DIV/0!</v>
      </c>
      <c r="G53" s="1198" t="e">
        <f ca="1">+(BS_IS!H38+BS_IS!H39+BS_IS!H40)/BS_IS!H38</f>
        <v>#DIV/0!</v>
      </c>
      <c r="H53" s="1198" t="e">
        <f ca="1">+(BS_IS!I38+BS_IS!I39+BS_IS!I40)/BS_IS!I38</f>
        <v>#DIV/0!</v>
      </c>
      <c r="I53" s="1199">
        <f ca="1">+(BS_IS!J38+BS_IS!J39+BS_IS!J40)/BS_IS!J38</f>
        <v>0.602411355934517</v>
      </c>
      <c r="J53" s="1199">
        <f ca="1">+(BS_IS!K38+BS_IS!K39+BS_IS!K40)/BS_IS!K38</f>
        <v>0.59118303423409047</v>
      </c>
      <c r="K53" s="1199">
        <f ca="1">+(BS_IS!L38+BS_IS!L39+BS_IS!L40)/BS_IS!L38</f>
        <v>0.54714800177237621</v>
      </c>
      <c r="L53" s="1199">
        <f ca="1">+(BS_IS!M38+BS_IS!M39+BS_IS!M40)/BS_IS!M38</f>
        <v>0.74626598140941436</v>
      </c>
      <c r="M53" s="1199">
        <f ca="1">+(BS_IS!N38+BS_IS!N39+BS_IS!N40)/BS_IS!N38</f>
        <v>0.73802013619474915</v>
      </c>
      <c r="N53" s="1199">
        <f ca="1">+(BS_IS!O38+BS_IS!O39+BS_IS!O40)/BS_IS!O38</f>
        <v>0.86807991946766605</v>
      </c>
      <c r="O53" s="1199">
        <f ca="1">+(BS_IS!P38+BS_IS!P39+BS_IS!P40)/BS_IS!P38</f>
        <v>0.87751405951228933</v>
      </c>
      <c r="P53" s="1199">
        <f ca="1">+(BS_IS!Q38+BS_IS!Q39+BS_IS!Q40)/BS_IS!Q38</f>
        <v>0.85712510258247399</v>
      </c>
      <c r="Q53" s="1199">
        <f ca="1">+(BS_IS!R38+BS_IS!R39+BS_IS!R40)/BS_IS!R38</f>
        <v>0.88328683184435508</v>
      </c>
      <c r="R53" s="1199">
        <f ca="1">+(BS_IS!S38+BS_IS!S39+BS_IS!S40)/BS_IS!S38</f>
        <v>0.88648463433344393</v>
      </c>
      <c r="S53" s="1199">
        <f ca="1">+(BS_IS!T38+BS_IS!T39+BS_IS!T40)/BS_IS!T38</f>
        <v>0.89953489884982152</v>
      </c>
      <c r="T53" s="1199">
        <f ca="1">+(BS_IS!U38+BS_IS!U39+BS_IS!U40)/BS_IS!U38</f>
        <v>0.93375883979707541</v>
      </c>
      <c r="U53" s="1199">
        <f ca="1">+(BS_IS!V38+BS_IS!V39+BS_IS!V40)/BS_IS!V38</f>
        <v>0.86604889978468524</v>
      </c>
      <c r="V53" s="1199">
        <f ca="1">+(BS_IS!W38+BS_IS!W39+BS_IS!W40)/BS_IS!W38</f>
        <v>0.92270263101461014</v>
      </c>
      <c r="W53" s="1199">
        <f ca="1">+(BS_IS!X38+BS_IS!X39+BS_IS!X40)/BS_IS!X38</f>
        <v>0.92513253077519364</v>
      </c>
      <c r="X53" s="1199">
        <f ca="1">+(BS_IS!Y38+BS_IS!Y39+BS_IS!Y40)/BS_IS!Y38</f>
        <v>0.92355201226645278</v>
      </c>
      <c r="Y53" s="1199">
        <f ca="1">+(BS_IS!Z38+BS_IS!Z39+BS_IS!Z40)/BS_IS!Z38</f>
        <v>0.93224693146924686</v>
      </c>
      <c r="Z53" s="1199">
        <f ca="1">+(BS_IS!AA38+BS_IS!AA39+BS_IS!AA40)/BS_IS!AA38</f>
        <v>0.93955192495317863</v>
      </c>
      <c r="AA53" s="1199">
        <f ca="1">+(BS_IS!AB38+BS_IS!AB39+BS_IS!AB40)/BS_IS!AB38</f>
        <v>0.94541800977132906</v>
      </c>
    </row>
    <row r="54" spans="1:27">
      <c r="A54" s="1200" t="s">
        <v>1170</v>
      </c>
      <c r="E54" s="1286">
        <f ca="1">AVERAGE(I54:AA54)</f>
        <v>0.83607714399826161</v>
      </c>
      <c r="F54" s="1198" t="e">
        <f ca="1">BS_IS!G41/BS_IS!G38</f>
        <v>#DIV/0!</v>
      </c>
      <c r="G54" s="1198" t="e">
        <f ca="1">BS_IS!H41/BS_IS!H38</f>
        <v>#DIV/0!</v>
      </c>
      <c r="H54" s="1198" t="e">
        <f ca="1">BS_IS!I41/BS_IS!I38</f>
        <v>#DIV/0!</v>
      </c>
      <c r="I54" s="1198">
        <f ca="1">BS_IS!J41/BS_IS!J38</f>
        <v>0.602411355934517</v>
      </c>
      <c r="J54" s="1198">
        <f ca="1">BS_IS!K41/BS_IS!K38</f>
        <v>0.59118303423409047</v>
      </c>
      <c r="K54" s="1198">
        <f ca="1">BS_IS!L41/BS_IS!L38</f>
        <v>0.54714800177237621</v>
      </c>
      <c r="L54" s="1198">
        <f ca="1">BS_IS!M41/BS_IS!M38</f>
        <v>0.74626598140941436</v>
      </c>
      <c r="M54" s="1198">
        <f ca="1">BS_IS!N41/BS_IS!N38</f>
        <v>0.73802013619474915</v>
      </c>
      <c r="N54" s="1198">
        <f ca="1">BS_IS!O41/BS_IS!O38</f>
        <v>0.86807991946766605</v>
      </c>
      <c r="O54" s="1198">
        <f ca="1">BS_IS!P41/BS_IS!P38</f>
        <v>0.87751405951228933</v>
      </c>
      <c r="P54" s="1198">
        <f ca="1">BS_IS!Q41/BS_IS!Q38</f>
        <v>0.85712510258247399</v>
      </c>
      <c r="Q54" s="1198">
        <f ca="1">BS_IS!R41/BS_IS!R38</f>
        <v>0.88328683184435508</v>
      </c>
      <c r="R54" s="1198">
        <f ca="1">BS_IS!S41/BS_IS!S38</f>
        <v>0.88648463433344393</v>
      </c>
      <c r="S54" s="1198">
        <f ca="1">BS_IS!T41/BS_IS!T38</f>
        <v>0.89953489884982152</v>
      </c>
      <c r="T54" s="1198">
        <f ca="1">BS_IS!U41/BS_IS!U38</f>
        <v>0.93375883979707541</v>
      </c>
      <c r="U54" s="1198">
        <f ca="1">BS_IS!V41/BS_IS!V38</f>
        <v>0.86604889978468524</v>
      </c>
      <c r="V54" s="1198">
        <f ca="1">BS_IS!W41/BS_IS!W38</f>
        <v>0.92270263101461014</v>
      </c>
      <c r="W54" s="1198">
        <f ca="1">BS_IS!X41/BS_IS!X38</f>
        <v>0.92513253077519364</v>
      </c>
      <c r="X54" s="1198">
        <f ca="1">BS_IS!Y41/BS_IS!Y38</f>
        <v>0.92355201226645278</v>
      </c>
      <c r="Y54" s="1198">
        <f ca="1">BS_IS!Z41/BS_IS!Z38</f>
        <v>0.93224693146924686</v>
      </c>
      <c r="Z54" s="1198">
        <f ca="1">BS_IS!AA41/BS_IS!AA38</f>
        <v>0.93955192495317863</v>
      </c>
      <c r="AA54" s="1198">
        <f ca="1">BS_IS!AB41/BS_IS!AB38</f>
        <v>0.94541800977132906</v>
      </c>
    </row>
    <row r="55" spans="1:27">
      <c r="A55" s="1200" t="s">
        <v>1174</v>
      </c>
      <c r="E55" s="1286">
        <f ca="1">AVERAGE(I55:AA55)</f>
        <v>0.30608654633200155</v>
      </c>
      <c r="F55" s="1198" t="e">
        <f ca="1">+F42</f>
        <v>#DIV/0!</v>
      </c>
      <c r="G55" s="1198" t="e">
        <f t="shared" ref="G55:AA55" ca="1" si="1">+G42</f>
        <v>#DIV/0!</v>
      </c>
      <c r="H55" s="1198" t="e">
        <f t="shared" ca="1" si="1"/>
        <v>#DIV/0!</v>
      </c>
      <c r="I55" s="1198">
        <f t="shared" ca="1" si="1"/>
        <v>-0.12865074653020123</v>
      </c>
      <c r="J55" s="1198">
        <f t="shared" ca="1" si="1"/>
        <v>-0.14909469944179377</v>
      </c>
      <c r="K55" s="1198">
        <f t="shared" ca="1" si="1"/>
        <v>-0.16315874190098992</v>
      </c>
      <c r="L55" s="1198">
        <f t="shared" ca="1" si="1"/>
        <v>7.3707307033256841E-2</v>
      </c>
      <c r="M55" s="1198">
        <f t="shared" ca="1" si="1"/>
        <v>0.11274706485249937</v>
      </c>
      <c r="N55" s="1198">
        <f t="shared" ca="1" si="1"/>
        <v>0.26512458913044401</v>
      </c>
      <c r="O55" s="1198">
        <f t="shared" ca="1" si="1"/>
        <v>0.27114288955334986</v>
      </c>
      <c r="P55" s="1198">
        <f t="shared" ca="1" si="1"/>
        <v>0.29760781831105199</v>
      </c>
      <c r="Q55" s="1198">
        <f t="shared" ca="1" si="1"/>
        <v>0.34463465108910857</v>
      </c>
      <c r="R55" s="1198">
        <f t="shared" ca="1" si="1"/>
        <v>0.37068745161306671</v>
      </c>
      <c r="S55" s="1198">
        <f t="shared" ca="1" si="1"/>
        <v>0.40315091282438792</v>
      </c>
      <c r="T55" s="1198">
        <f t="shared" ca="1" si="1"/>
        <v>0.4561553146739511</v>
      </c>
      <c r="U55" s="1198">
        <f t="shared" ca="1" si="1"/>
        <v>0.43162006865128361</v>
      </c>
      <c r="V55" s="1198">
        <f t="shared" ca="1" si="1"/>
        <v>0.49898722894684905</v>
      </c>
      <c r="W55" s="1198">
        <f t="shared" ca="1" si="1"/>
        <v>0.5259246711023623</v>
      </c>
      <c r="X55" s="1198">
        <f t="shared" ca="1" si="1"/>
        <v>0.53806608378614773</v>
      </c>
      <c r="Y55" s="1198">
        <f t="shared" ca="1" si="1"/>
        <v>0.54816061730505394</v>
      </c>
      <c r="Z55" s="1198">
        <f t="shared" ca="1" si="1"/>
        <v>0.55759255205153835</v>
      </c>
      <c r="AA55" s="1198">
        <f t="shared" ca="1" si="1"/>
        <v>0.56123934725666336</v>
      </c>
    </row>
    <row r="56" spans="1:27">
      <c r="A56" s="1200" t="s">
        <v>1175</v>
      </c>
      <c r="E56" s="1286">
        <f ca="1">AVERAGE(I56:AA56)</f>
        <v>1.3757659885161182</v>
      </c>
      <c r="F56" s="1207" t="e">
        <f ca="1">+BS_IS!G63/BS_IS!G51</f>
        <v>#DIV/0!</v>
      </c>
      <c r="G56" s="1207" t="e">
        <f ca="1">+BS_IS!H63/BS_IS!H51</f>
        <v>#DIV/0!</v>
      </c>
      <c r="H56" s="1207" t="e">
        <f ca="1">+BS_IS!I63/BS_IS!I51</f>
        <v>#DIV/0!</v>
      </c>
      <c r="I56" s="1208">
        <f ca="1">+BS_IS!J63/BS_IS!J51</f>
        <v>-6.6109899262837244</v>
      </c>
      <c r="J56" s="1208">
        <f ca="1">+BS_IS!K63/BS_IS!K51</f>
        <v>-5.8750563435561469</v>
      </c>
      <c r="K56" s="1208">
        <f ca="1">+BS_IS!L63/BS_IS!L51</f>
        <v>-4.9932608414123942</v>
      </c>
      <c r="L56" s="1208">
        <f ca="1">+BS_IS!M63/BS_IS!M51</f>
        <v>11.61208555400035</v>
      </c>
      <c r="M56" s="1208">
        <f ca="1">+BS_IS!N63/BS_IS!N51</f>
        <v>6.3539583519420599</v>
      </c>
      <c r="N56" s="1208">
        <f ca="1">+BS_IS!O63/BS_IS!O51</f>
        <v>3.1523660044917712</v>
      </c>
      <c r="O56" s="1208">
        <f ca="1">+BS_IS!P63/BS_IS!P51</f>
        <v>3.0966171342778144</v>
      </c>
      <c r="P56" s="1208">
        <f ca="1">+BS_IS!Q63/BS_IS!Q51</f>
        <v>2.7510752505257625</v>
      </c>
      <c r="Q56" s="1208">
        <f ca="1">+BS_IS!R63/BS_IS!R51</f>
        <v>2.440485485535572</v>
      </c>
      <c r="R56" s="1208">
        <f ca="1">+BS_IS!S63/BS_IS!S51</f>
        <v>2.2552556254148142</v>
      </c>
      <c r="S56" s="1208">
        <f ca="1">+BS_IS!T63/BS_IS!T51</f>
        <v>1.9698638056160329</v>
      </c>
      <c r="T56" s="1208">
        <f ca="1">+BS_IS!U63/BS_IS!U51</f>
        <v>1.4514704159611278</v>
      </c>
      <c r="U56" s="1208">
        <f ca="1">+BS_IS!V63/BS_IS!V51</f>
        <v>1.4020371154599909</v>
      </c>
      <c r="V56" s="1208">
        <f ca="1">+BS_IS!W63/BS_IS!W51</f>
        <v>1.2929845608484882</v>
      </c>
      <c r="W56" s="1208">
        <f ca="1">+BS_IS!X63/BS_IS!X51</f>
        <v>1.2221897127042638</v>
      </c>
      <c r="X56" s="1208">
        <f ca="1">+BS_IS!Y63/BS_IS!Y51</f>
        <v>1.1877887489830037</v>
      </c>
      <c r="Y56" s="1208">
        <f ca="1">+BS_IS!Z63/BS_IS!Z51</f>
        <v>1.1638971687365594</v>
      </c>
      <c r="Z56" s="1208">
        <f ca="1">+BS_IS!AA63/BS_IS!AA51</f>
        <v>1.1413257536786097</v>
      </c>
      <c r="AA56" s="1208">
        <f ca="1">+BS_IS!AB63/BS_IS!AB51</f>
        <v>1.1254602048822875</v>
      </c>
    </row>
    <row r="57" spans="1:27">
      <c r="A57" s="1200"/>
      <c r="E57" s="1285"/>
      <c r="F57" s="1207"/>
      <c r="G57" s="1207"/>
      <c r="H57" s="1207"/>
      <c r="I57" s="1208"/>
      <c r="J57" s="1208"/>
      <c r="K57" s="1208"/>
      <c r="L57" s="1208"/>
      <c r="M57" s="1208"/>
      <c r="N57" s="1208"/>
      <c r="O57" s="1208"/>
      <c r="P57" s="1208"/>
      <c r="Q57" s="1208"/>
      <c r="R57" s="1208"/>
      <c r="S57" s="1208"/>
      <c r="T57" s="1208"/>
      <c r="U57" s="1208"/>
      <c r="V57" s="1208"/>
      <c r="W57" s="1208"/>
      <c r="X57" s="1208"/>
      <c r="Y57" s="1208"/>
      <c r="Z57" s="1208"/>
      <c r="AA57" s="1208"/>
    </row>
    <row r="58" spans="1:27">
      <c r="A58" s="71" t="s">
        <v>1176</v>
      </c>
      <c r="E58" s="1285"/>
      <c r="F58" s="1198"/>
      <c r="G58" s="1198"/>
      <c r="H58" s="1198"/>
      <c r="I58" s="1198"/>
      <c r="J58" s="1198"/>
      <c r="K58" s="1198"/>
      <c r="L58" s="1198"/>
      <c r="M58" s="1198"/>
      <c r="N58" s="1198"/>
      <c r="O58" s="1198"/>
      <c r="P58" s="1198"/>
      <c r="Q58" s="1198"/>
      <c r="R58" s="1198"/>
      <c r="S58" s="1198"/>
      <c r="T58" s="1198"/>
      <c r="U58" s="1198"/>
      <c r="V58" s="1198"/>
      <c r="W58" s="1198"/>
      <c r="X58" s="1198"/>
      <c r="Y58" s="1198"/>
      <c r="Z58" s="1198"/>
      <c r="AA58" s="1198"/>
    </row>
    <row r="59" spans="1:27">
      <c r="A59" s="1200" t="s">
        <v>1177</v>
      </c>
      <c r="E59" s="1287">
        <f ca="1">AVERAGE(F59:AA59)</f>
        <v>0.24866639771668958</v>
      </c>
      <c r="F59" s="1208">
        <f ca="1">+BS_IS!G38/(BS_IS!G18)</f>
        <v>0</v>
      </c>
      <c r="G59" s="1208">
        <f ca="1">+BS_IS!H38/((BS_IS!H18+BS_IS!G18)/2)</f>
        <v>0</v>
      </c>
      <c r="H59" s="1208">
        <f ca="1">+BS_IS!I38/((BS_IS!I18+BS_IS!H18)/2)</f>
        <v>0</v>
      </c>
      <c r="I59" s="1208">
        <f ca="1">+BS_IS!J38/((BS_IS!J18+BS_IS!I18)/2)</f>
        <v>9.2513922570044232E-2</v>
      </c>
      <c r="J59" s="1208">
        <f ca="1">+BS_IS!K38/((BS_IS!K18+BS_IS!J18)/2)</f>
        <v>0.15847045163999349</v>
      </c>
      <c r="K59" s="1208">
        <f ca="1">+BS_IS!L38/((BS_IS!L18+BS_IS!K18)/2)</f>
        <v>0.16985614016874889</v>
      </c>
      <c r="L59" s="1208">
        <f ca="1">+BS_IS!M38/((BS_IS!M18+BS_IS!L18)/2)</f>
        <v>0.18252909893448235</v>
      </c>
      <c r="M59" s="1208">
        <f ca="1">+BS_IS!N38/((BS_IS!N18+BS_IS!M18)/2)</f>
        <v>0.19466792317084994</v>
      </c>
      <c r="N59" s="1208">
        <f ca="1">+BS_IS!O38/((BS_IS!O18+BS_IS!N18)/2)</f>
        <v>0.20740461360440604</v>
      </c>
      <c r="O59" s="1208">
        <f ca="1">+BS_IS!P38/((BS_IS!P18+BS_IS!O18)/2)</f>
        <v>0.22286808606498687</v>
      </c>
      <c r="P59" s="1208">
        <f ca="1">+BS_IS!Q38/((BS_IS!Q18+BS_IS!P18)/2)</f>
        <v>0.24158771987709901</v>
      </c>
      <c r="Q59" s="1208">
        <f ca="1">+BS_IS!R38/((BS_IS!R18+BS_IS!Q18)/2)</f>
        <v>0.25436476239502226</v>
      </c>
      <c r="R59" s="1208">
        <f ca="1">+BS_IS!S38/((BS_IS!S18+BS_IS!R18)/2)</f>
        <v>0.26457808155044615</v>
      </c>
      <c r="S59" s="1208">
        <f ca="1">+BS_IS!T38/((BS_IS!T18+BS_IS!S18)/2)</f>
        <v>0.27747765523184509</v>
      </c>
      <c r="T59" s="1208">
        <f ca="1">+BS_IS!U38/((BS_IS!U18+BS_IS!T18)/2)</f>
        <v>0.30294226697795346</v>
      </c>
      <c r="U59" s="1208">
        <f ca="1">+BS_IS!V38/((BS_IS!V18+BS_IS!U18)/2)</f>
        <v>0.33939807870500394</v>
      </c>
      <c r="V59" s="1208">
        <f ca="1">+BS_IS!W38/((BS_IS!W18+BS_IS!V18)/2)</f>
        <v>0.38432504933869915</v>
      </c>
      <c r="W59" s="1208">
        <f ca="1">+BS_IS!X38/((BS_IS!X18+BS_IS!W18)/2)</f>
        <v>0.43404890482816472</v>
      </c>
      <c r="X59" s="1208">
        <f ca="1">+BS_IS!Y38/((BS_IS!Y18+BS_IS!X18)/2)</f>
        <v>0.46938100362266227</v>
      </c>
      <c r="Y59" s="1208">
        <f ca="1">+BS_IS!Z38/((BS_IS!Z18+BS_IS!Y18)/2)</f>
        <v>0.48597346552385101</v>
      </c>
      <c r="Z59" s="1208">
        <f ca="1">+BS_IS!AA38/((BS_IS!AA18+BS_IS!Z18)/2)</f>
        <v>0.50450924887573012</v>
      </c>
      <c r="AA59" s="1208">
        <f ca="1">+BS_IS!AB38/((BS_IS!AB18+BS_IS!AA18)/2)</f>
        <v>0.28376427668718246</v>
      </c>
    </row>
    <row r="60" spans="1:27">
      <c r="A60" s="1200" t="s">
        <v>1178</v>
      </c>
      <c r="E60" s="1288" t="s">
        <v>1182</v>
      </c>
      <c r="F60" s="1209" t="s">
        <v>1182</v>
      </c>
      <c r="G60" s="1209" t="s">
        <v>1182</v>
      </c>
      <c r="H60" s="1209" t="s">
        <v>1182</v>
      </c>
      <c r="I60" s="1209" t="s">
        <v>1182</v>
      </c>
      <c r="J60" s="1209" t="s">
        <v>1182</v>
      </c>
      <c r="K60" s="1209" t="s">
        <v>1182</v>
      </c>
      <c r="L60" s="1209" t="s">
        <v>1182</v>
      </c>
      <c r="M60" s="1209" t="s">
        <v>1182</v>
      </c>
      <c r="N60" s="1209" t="s">
        <v>1182</v>
      </c>
      <c r="O60" s="1209" t="s">
        <v>1182</v>
      </c>
      <c r="P60" s="1209" t="s">
        <v>1182</v>
      </c>
      <c r="Q60" s="1209" t="s">
        <v>1182</v>
      </c>
      <c r="R60" s="1209" t="s">
        <v>1182</v>
      </c>
      <c r="S60" s="1209" t="s">
        <v>1182</v>
      </c>
      <c r="T60" s="1209" t="s">
        <v>1182</v>
      </c>
      <c r="U60" s="1209" t="s">
        <v>1182</v>
      </c>
      <c r="V60" s="1209" t="s">
        <v>1182</v>
      </c>
      <c r="W60" s="1209" t="s">
        <v>1182</v>
      </c>
      <c r="X60" s="1209" t="s">
        <v>1182</v>
      </c>
      <c r="Y60" s="1209" t="s">
        <v>1182</v>
      </c>
      <c r="Z60" s="1209" t="s">
        <v>1182</v>
      </c>
      <c r="AA60" s="1209" t="s">
        <v>1182</v>
      </c>
    </row>
    <row r="61" spans="1:27">
      <c r="A61" s="1200" t="s">
        <v>36</v>
      </c>
      <c r="E61" s="1287">
        <f ca="1">AVERAGE(F61:AA61)</f>
        <v>0.4870206930614534</v>
      </c>
      <c r="F61" s="1208">
        <f ca="1">+BS_IS!G38/(BS_IS!G16)</f>
        <v>0</v>
      </c>
      <c r="G61" s="1208">
        <f ca="1">+BS_IS!H38/((BS_IS!H16+BS_IS!G16)/2)</f>
        <v>0</v>
      </c>
      <c r="H61" s="1208">
        <f ca="1">+BS_IS!I38/((BS_IS!I16+BS_IS!H16)/2)</f>
        <v>0</v>
      </c>
      <c r="I61" s="1208">
        <f ca="1">+BS_IS!J38/((BS_IS!J16+BS_IS!I16)/2)</f>
        <v>0.10170339569643871</v>
      </c>
      <c r="J61" s="1208">
        <f ca="1">+BS_IS!K38/((BS_IS!K16+BS_IS!J16)/2)</f>
        <v>0.17872041637983535</v>
      </c>
      <c r="K61" s="1208">
        <f ca="1">+BS_IS!L38/((BS_IS!L16+BS_IS!K16)/2)</f>
        <v>0.1946325824497957</v>
      </c>
      <c r="L61" s="1208">
        <f ca="1">+BS_IS!M38/((BS_IS!M16+BS_IS!L16)/2)</f>
        <v>0.21296718884019505</v>
      </c>
      <c r="M61" s="1208">
        <f ca="1">+BS_IS!N38/((BS_IS!N16+BS_IS!M16)/2)</f>
        <v>0.23245290861275197</v>
      </c>
      <c r="N61" s="1208">
        <f ca="1">+BS_IS!O38/((BS_IS!O16+BS_IS!N16)/2)</f>
        <v>0.2552985276669717</v>
      </c>
      <c r="O61" s="1208">
        <f ca="1">+BS_IS!P38/((BS_IS!P16+BS_IS!O16)/2)</f>
        <v>0.28152861001611201</v>
      </c>
      <c r="P61" s="1208">
        <f ca="1">+BS_IS!Q38/((BS_IS!Q16+BS_IS!P16)/2)</f>
        <v>0.31277848157228449</v>
      </c>
      <c r="Q61" s="1208">
        <f ca="1">+BS_IS!R38/((BS_IS!R16+BS_IS!Q16)/2)</f>
        <v>0.34762667757859217</v>
      </c>
      <c r="R61" s="1208">
        <f ca="1">+BS_IS!S38/((BS_IS!S16+BS_IS!R16)/2)</f>
        <v>0.39009457995784341</v>
      </c>
      <c r="S61" s="1208">
        <f ca="1">+BS_IS!T38/((BS_IS!T16+BS_IS!S16)/2)</f>
        <v>0.44146622977227701</v>
      </c>
      <c r="T61" s="1208">
        <f ca="1">+BS_IS!U38/((BS_IS!U16+BS_IS!T16)/2)</f>
        <v>0.50622263618928043</v>
      </c>
      <c r="U61" s="1208">
        <f ca="1">+BS_IS!V38/((BS_IS!V16+BS_IS!U16)/2)</f>
        <v>0.58506261925347514</v>
      </c>
      <c r="V61" s="1208">
        <f ca="1">+BS_IS!W38/((BS_IS!W16+BS_IS!V16)/2)</f>
        <v>0.68978903695711924</v>
      </c>
      <c r="W61" s="1208">
        <f ca="1">+BS_IS!X38/((BS_IS!X16+BS_IS!W16)/2)</f>
        <v>0.83222733801650273</v>
      </c>
      <c r="X61" s="1208">
        <f ca="1">+BS_IS!Y38/((BS_IS!Y16+BS_IS!X16)/2)</f>
        <v>1.0395630166719694</v>
      </c>
      <c r="Y61" s="1208">
        <f ca="1">+BS_IS!Z38/((BS_IS!Z16+BS_IS!Y16)/2)</f>
        <v>1.3543851788164392</v>
      </c>
      <c r="Z61" s="1208">
        <f ca="1">+BS_IS!AA38/((BS_IS!AA16+BS_IS!Z16)/2)</f>
        <v>1.9123365653858506</v>
      </c>
      <c r="AA61" s="1208">
        <f ca="1">+BS_IS!AB38/((BS_IS!AB16+BS_IS!AA16)/2)</f>
        <v>0.84559925751823961</v>
      </c>
    </row>
    <row r="62" spans="1:27">
      <c r="A62" s="1200"/>
      <c r="E62" s="1285"/>
      <c r="F62" s="1208"/>
      <c r="G62" s="1208"/>
      <c r="H62" s="1208"/>
      <c r="I62" s="1208"/>
      <c r="J62" s="1208"/>
      <c r="K62" s="1208"/>
      <c r="L62" s="1208"/>
      <c r="M62" s="1208"/>
      <c r="N62" s="1208"/>
      <c r="O62" s="1208"/>
      <c r="P62" s="1208"/>
      <c r="Q62" s="1208"/>
      <c r="R62" s="1208"/>
      <c r="S62" s="1208"/>
      <c r="T62" s="1208"/>
      <c r="U62" s="1208"/>
      <c r="V62" s="1208"/>
      <c r="W62" s="1208"/>
      <c r="X62" s="1208"/>
      <c r="Y62" s="1208"/>
      <c r="Z62" s="1208"/>
      <c r="AA62" s="1208"/>
    </row>
    <row r="63" spans="1:27">
      <c r="A63" s="71" t="s">
        <v>1180</v>
      </c>
      <c r="E63" s="1285"/>
      <c r="F63" s="1198"/>
      <c r="G63" s="1198"/>
      <c r="H63" s="1198"/>
      <c r="I63" s="1198"/>
      <c r="J63" s="1198"/>
      <c r="K63" s="1198"/>
      <c r="L63" s="1198"/>
      <c r="M63" s="1198"/>
      <c r="N63" s="1198"/>
      <c r="O63" s="1198"/>
      <c r="P63" s="1198"/>
      <c r="Q63" s="1198"/>
      <c r="R63" s="1198"/>
      <c r="S63" s="1198"/>
      <c r="T63" s="1198"/>
      <c r="U63" s="1198"/>
      <c r="V63" s="1198"/>
      <c r="W63" s="1198"/>
      <c r="X63" s="1198"/>
      <c r="Y63" s="1198"/>
      <c r="Z63" s="1198"/>
      <c r="AA63" s="1198"/>
    </row>
    <row r="64" spans="1:27">
      <c r="A64" s="1200" t="s">
        <v>1181</v>
      </c>
      <c r="E64" s="1288" t="s">
        <v>1182</v>
      </c>
      <c r="F64" s="1209" t="s">
        <v>1182</v>
      </c>
      <c r="G64" s="1209" t="s">
        <v>1182</v>
      </c>
      <c r="H64" s="1209" t="s">
        <v>1182</v>
      </c>
      <c r="I64" s="1209" t="s">
        <v>1182</v>
      </c>
      <c r="J64" s="1209" t="s">
        <v>1182</v>
      </c>
      <c r="K64" s="1209" t="s">
        <v>1182</v>
      </c>
      <c r="L64" s="1209" t="s">
        <v>1182</v>
      </c>
      <c r="M64" s="1209" t="s">
        <v>1182</v>
      </c>
      <c r="N64" s="1209" t="s">
        <v>1182</v>
      </c>
      <c r="O64" s="1209" t="s">
        <v>1182</v>
      </c>
      <c r="P64" s="1209" t="s">
        <v>1182</v>
      </c>
      <c r="Q64" s="1209" t="s">
        <v>1182</v>
      </c>
      <c r="R64" s="1209" t="s">
        <v>1182</v>
      </c>
      <c r="S64" s="1209" t="s">
        <v>1182</v>
      </c>
      <c r="T64" s="1209" t="s">
        <v>1182</v>
      </c>
      <c r="U64" s="1209" t="s">
        <v>1182</v>
      </c>
      <c r="V64" s="1209" t="s">
        <v>1182</v>
      </c>
      <c r="W64" s="1209" t="s">
        <v>1182</v>
      </c>
      <c r="X64" s="1209" t="s">
        <v>1182</v>
      </c>
      <c r="Y64" s="1209" t="s">
        <v>1182</v>
      </c>
      <c r="Z64" s="1209" t="s">
        <v>1182</v>
      </c>
      <c r="AA64" s="1209" t="s">
        <v>1182</v>
      </c>
    </row>
    <row r="65" spans="1:27">
      <c r="A65" s="1200" t="s">
        <v>1183</v>
      </c>
      <c r="E65" s="1288" t="s">
        <v>1182</v>
      </c>
      <c r="F65" s="1209" t="s">
        <v>1182</v>
      </c>
      <c r="G65" s="1209" t="s">
        <v>1182</v>
      </c>
      <c r="H65" s="1209" t="s">
        <v>1182</v>
      </c>
      <c r="I65" s="1209" t="s">
        <v>1182</v>
      </c>
      <c r="J65" s="1209" t="s">
        <v>1182</v>
      </c>
      <c r="K65" s="1209" t="s">
        <v>1182</v>
      </c>
      <c r="L65" s="1209" t="s">
        <v>1182</v>
      </c>
      <c r="M65" s="1209" t="s">
        <v>1182</v>
      </c>
      <c r="N65" s="1209" t="s">
        <v>1182</v>
      </c>
      <c r="O65" s="1209" t="s">
        <v>1182</v>
      </c>
      <c r="P65" s="1209" t="s">
        <v>1182</v>
      </c>
      <c r="Q65" s="1209" t="s">
        <v>1182</v>
      </c>
      <c r="R65" s="1209" t="s">
        <v>1182</v>
      </c>
      <c r="S65" s="1209" t="s">
        <v>1182</v>
      </c>
      <c r="T65" s="1209" t="s">
        <v>1182</v>
      </c>
      <c r="U65" s="1209" t="s">
        <v>1182</v>
      </c>
      <c r="V65" s="1209" t="s">
        <v>1182</v>
      </c>
      <c r="W65" s="1209" t="s">
        <v>1182</v>
      </c>
      <c r="X65" s="1209" t="s">
        <v>1182</v>
      </c>
      <c r="Y65" s="1209" t="s">
        <v>1182</v>
      </c>
      <c r="Z65" s="1209" t="s">
        <v>1182</v>
      </c>
      <c r="AA65" s="1209" t="s">
        <v>1182</v>
      </c>
    </row>
    <row r="66" spans="1:27">
      <c r="A66" s="1200" t="s">
        <v>0</v>
      </c>
      <c r="E66" s="1289">
        <f ca="1">AVERAGE(I66:W66)</f>
        <v>9.2773535669910068</v>
      </c>
      <c r="F66" s="1206" t="e">
        <f ca="1">+(BS_IS!J41+BS_IS!J43)/-SUM(BS_IS!G44:G46)</f>
        <v>#DIV/0!</v>
      </c>
      <c r="G66" s="1206" t="e">
        <f ca="1">+(BS_IS!K41+BS_IS!K43)/-SUM(BS_IS!H44:H46)</f>
        <v>#DIV/0!</v>
      </c>
      <c r="H66" s="1206" t="e">
        <f ca="1">+(BS_IS!L41+BS_IS!L43)/-SUM(BS_IS!I44:I46)</f>
        <v>#DIV/0!</v>
      </c>
      <c r="I66" s="1207">
        <f ca="1">+(BS_IS!M41+BS_IS!M43)/-SUM(BS_IS!J44:J46)</f>
        <v>2.6819423402084817</v>
      </c>
      <c r="J66" s="1207">
        <f ca="1">+(BS_IS!N41+BS_IS!N43)/-SUM(BS_IS!K44:K46)</f>
        <v>1.1483635157665015</v>
      </c>
      <c r="K66" s="1207">
        <f ca="1">+(BS_IS!O41+BS_IS!O43)/-SUM(BS_IS!L44:L46)</f>
        <v>1.5601953616269579</v>
      </c>
      <c r="L66" s="1207">
        <f ca="1">+(BS_IS!P41+BS_IS!P43)/-SUM(BS_IS!M44:M46)</f>
        <v>1.7129897585130969</v>
      </c>
      <c r="M66" s="1207">
        <f ca="1">+(BS_IS!Q41+BS_IS!Q43)/-SUM(BS_IS!N44:N46)</f>
        <v>1.8759831546425196</v>
      </c>
      <c r="N66" s="1207">
        <f ca="1">+(BS_IS!R41+BS_IS!R43)/-SUM(BS_IS!O44:O46)</f>
        <v>2.2630343800842057</v>
      </c>
      <c r="O66" s="1207">
        <f ca="1">+(BS_IS!S41+BS_IS!S43)/-SUM(BS_IS!P44:P46)</f>
        <v>2.7287777747492084</v>
      </c>
      <c r="P66" s="1207">
        <f ca="1">+(BS_IS!T41+BS_IS!T43)/-SUM(BS_IS!Q44:Q46)</f>
        <v>3.4463544938105537</v>
      </c>
      <c r="Q66" s="1207">
        <f ca="1">+(BS_IS!U41+BS_IS!U43)/-SUM(BS_IS!R44:R46)</f>
        <v>4.3088164702590213</v>
      </c>
      <c r="R66" s="1207">
        <f ca="1">+(BS_IS!V41+BS_IS!V43)/-SUM(BS_IS!S44:S46)</f>
        <v>4.5636471292284728</v>
      </c>
      <c r="S66" s="1207">
        <f ca="1">+(BS_IS!W41+BS_IS!W43)/-SUM(BS_IS!T44:T46)</f>
        <v>5.9524639618169415</v>
      </c>
      <c r="T66" s="1207">
        <f ca="1">+(BS_IS!X41+BS_IS!X43)/-SUM(BS_IS!U44:U46)</f>
        <v>7.852046710473795</v>
      </c>
      <c r="U66" s="1207">
        <f ca="1">+(BS_IS!Y41+BS_IS!Y43)/-SUM(BS_IS!V44:V46)</f>
        <v>11.475907684738143</v>
      </c>
      <c r="V66" s="1207">
        <f ca="1">+(BS_IS!Z41+BS_IS!Z43)/-SUM(BS_IS!W44:W46)</f>
        <v>19.767501681020907</v>
      </c>
      <c r="W66" s="1207">
        <f ca="1">+(BS_IS!AA41+BS_IS!AA43)/-SUM(BS_IS!X44:X46)</f>
        <v>67.822279087926304</v>
      </c>
      <c r="X66" s="1210" t="s">
        <v>1179</v>
      </c>
      <c r="Y66" s="1210" t="s">
        <v>1179</v>
      </c>
      <c r="Z66" s="1210" t="s">
        <v>1179</v>
      </c>
      <c r="AA66" s="1210" t="s">
        <v>1179</v>
      </c>
    </row>
    <row r="67" spans="1:27">
      <c r="A67" s="1200" t="s">
        <v>1</v>
      </c>
      <c r="E67" s="1289">
        <f ca="1">AVERAGE(I67:W67)</f>
        <v>2.1839852057774869</v>
      </c>
      <c r="F67" s="1207" t="s">
        <v>1179</v>
      </c>
      <c r="G67" s="1207" t="s">
        <v>1179</v>
      </c>
      <c r="H67" s="1207" t="s">
        <v>1179</v>
      </c>
      <c r="I67" s="1207">
        <f ca="1">+BS_IS!J41/('Debt Amort'!G14)</f>
        <v>2.0014566301315546</v>
      </c>
      <c r="J67" s="1207">
        <f ca="1">+BS_IS!K41/('Debt Amort'!H14)</f>
        <v>1.217092043011702</v>
      </c>
      <c r="K67" s="1207">
        <f ca="1">+BS_IS!L41/('Debt Amort'!I14)</f>
        <v>1.0869812210855803</v>
      </c>
      <c r="L67" s="1207">
        <f ca="1">+BS_IS!M41/('Debt Amort'!J14)</f>
        <v>1.1639056819266016</v>
      </c>
      <c r="M67" s="1207">
        <f ca="1">+BS_IS!N41/('Debt Amort'!K14)</f>
        <v>1.1112861491034329</v>
      </c>
      <c r="N67" s="1207">
        <f ca="1">+BS_IS!O41/('Debt Amort'!L14)</f>
        <v>1.3309712932657622</v>
      </c>
      <c r="O67" s="1207">
        <f ca="1">+BS_IS!P41/('Debt Amort'!M14)</f>
        <v>1.4142979666753932</v>
      </c>
      <c r="P67" s="1207">
        <f ca="1">+BS_IS!Q41/('Debt Amort'!N14)</f>
        <v>1.8026187718059523</v>
      </c>
      <c r="Q67" s="1207">
        <f ca="1">+BS_IS!R41/('Debt Amort'!O14)</f>
        <v>2.4920643351034575</v>
      </c>
      <c r="R67" s="1207">
        <f ca="1">+BS_IS!S41/('Debt Amort'!P14)</f>
        <v>2.7205026932007668</v>
      </c>
      <c r="S67" s="1207">
        <f ca="1">+BS_IS!T41/('Debt Amort'!Q14)</f>
        <v>2.6526853650950808</v>
      </c>
      <c r="T67" s="1207">
        <f ca="1">+BS_IS!U41/('Debt Amort'!R14)</f>
        <v>2.7133187336932569</v>
      </c>
      <c r="U67" s="1207">
        <f ca="1">+BS_IS!V41/('Debt Amort'!S14)</f>
        <v>2.7943817541929197</v>
      </c>
      <c r="V67" s="1207">
        <f ca="1">+BS_IS!W41/('Debt Amort'!T14)</f>
        <v>3.240305010105009</v>
      </c>
      <c r="W67" s="1207">
        <f ca="1">+BS_IS!X41/('Debt Amort'!U14)</f>
        <v>5.0179104382658322</v>
      </c>
      <c r="X67" s="1210" t="s">
        <v>1179</v>
      </c>
      <c r="Y67" s="1210" t="s">
        <v>1179</v>
      </c>
      <c r="Z67" s="1210" t="s">
        <v>1179</v>
      </c>
      <c r="AA67" s="1210" t="s">
        <v>1179</v>
      </c>
    </row>
    <row r="68" spans="1:27">
      <c r="F68" s="1207"/>
      <c r="G68" s="1198"/>
      <c r="H68" s="1198"/>
      <c r="I68" s="1198"/>
      <c r="J68" s="1198"/>
      <c r="K68" s="1198"/>
      <c r="L68" s="1198"/>
      <c r="M68" s="1198"/>
      <c r="N68" s="1198"/>
      <c r="O68" s="1198"/>
      <c r="P68" s="1198"/>
      <c r="Q68" s="1198"/>
      <c r="R68" s="1198"/>
      <c r="S68" s="1198"/>
      <c r="T68" s="1198"/>
      <c r="U68" s="1198"/>
      <c r="V68" s="1198"/>
      <c r="W68" s="1198"/>
      <c r="X68" s="1198"/>
      <c r="Y68" s="1198"/>
      <c r="Z68" s="1198"/>
      <c r="AA68" s="1198"/>
    </row>
    <row r="69" spans="1:27">
      <c r="F69" s="1198"/>
      <c r="G69" s="1198"/>
      <c r="H69" s="1198"/>
      <c r="I69" s="1198"/>
      <c r="J69" s="1198"/>
      <c r="K69" s="1198"/>
      <c r="L69" s="1198"/>
      <c r="M69" s="1198"/>
      <c r="N69" s="1198"/>
      <c r="O69" s="1198"/>
      <c r="P69" s="1198"/>
      <c r="Q69" s="1198"/>
      <c r="R69" s="1198"/>
      <c r="S69" s="1198"/>
      <c r="T69" s="1198"/>
      <c r="U69" s="1198"/>
      <c r="V69" s="1198"/>
      <c r="W69" s="1198"/>
      <c r="X69" s="1198"/>
      <c r="Y69" s="1198"/>
      <c r="Z69" s="1198"/>
      <c r="AA69" s="1198"/>
    </row>
    <row r="70" spans="1:27">
      <c r="F70" s="1198"/>
      <c r="G70" s="1198"/>
      <c r="H70" s="1198"/>
      <c r="I70" s="1198"/>
      <c r="J70" s="1198"/>
      <c r="K70" s="1198"/>
      <c r="L70" s="1198"/>
      <c r="M70" s="1198"/>
      <c r="N70" s="1198"/>
      <c r="O70" s="1198"/>
      <c r="P70" s="1198"/>
      <c r="Q70" s="1198"/>
      <c r="R70" s="1198"/>
      <c r="S70" s="1198"/>
      <c r="T70" s="1198"/>
      <c r="U70" s="1198"/>
      <c r="V70" s="1198"/>
      <c r="W70" s="1198"/>
      <c r="X70" s="1198"/>
      <c r="Y70" s="1198"/>
      <c r="Z70" s="1198"/>
      <c r="AA70" s="1198"/>
    </row>
    <row r="71" spans="1:27">
      <c r="F71" s="1198"/>
      <c r="G71" s="1198"/>
      <c r="H71" s="1198"/>
      <c r="I71" s="1198"/>
      <c r="J71" s="1198"/>
      <c r="K71" s="1198"/>
      <c r="L71" s="1198"/>
      <c r="M71" s="1198"/>
      <c r="N71" s="1198"/>
      <c r="O71" s="1198"/>
      <c r="P71" s="1198"/>
      <c r="Q71" s="1198"/>
      <c r="R71" s="1198"/>
      <c r="S71" s="1198"/>
      <c r="T71" s="1198"/>
      <c r="U71" s="1198"/>
      <c r="V71" s="1198"/>
      <c r="W71" s="1198"/>
      <c r="X71" s="1198"/>
      <c r="Y71" s="1198"/>
      <c r="Z71" s="1198"/>
      <c r="AA71" s="1198"/>
    </row>
    <row r="72" spans="1:27">
      <c r="F72" s="1198"/>
      <c r="G72" s="1198"/>
      <c r="H72" s="1198"/>
      <c r="I72" s="1198"/>
      <c r="J72" s="1198"/>
      <c r="K72" s="1198"/>
      <c r="L72" s="1198"/>
      <c r="M72" s="1198"/>
      <c r="N72" s="1198"/>
      <c r="O72" s="1198"/>
      <c r="P72" s="1198"/>
      <c r="Q72" s="1198"/>
      <c r="R72" s="1198"/>
      <c r="S72" s="1198"/>
      <c r="T72" s="1198"/>
      <c r="U72" s="1198"/>
      <c r="V72" s="1198"/>
      <c r="W72" s="1198"/>
      <c r="X72" s="1198"/>
      <c r="Y72" s="1198"/>
      <c r="Z72" s="1198"/>
      <c r="AA72" s="1198"/>
    </row>
    <row r="73" spans="1:27">
      <c r="F73" s="1198"/>
      <c r="G73" s="1198"/>
      <c r="H73" s="1198"/>
      <c r="I73" s="1198"/>
      <c r="J73" s="1198"/>
      <c r="K73" s="1198"/>
      <c r="L73" s="1198"/>
      <c r="M73" s="1198"/>
      <c r="N73" s="1198"/>
      <c r="O73" s="1198"/>
      <c r="P73" s="1198"/>
      <c r="Q73" s="1198"/>
      <c r="R73" s="1198"/>
      <c r="S73" s="1198"/>
      <c r="T73" s="1198"/>
      <c r="U73" s="1198"/>
      <c r="V73" s="1198"/>
      <c r="W73" s="1198"/>
      <c r="X73" s="1198"/>
      <c r="Y73" s="1198"/>
      <c r="Z73" s="1198"/>
      <c r="AA73" s="1198"/>
    </row>
  </sheetData>
  <pageMargins left="0.75" right="0.75" top="1" bottom="1" header="0.5" footer="0.5"/>
  <pageSetup paperSize="5" scale="49" orientation="landscape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E90"/>
  <sheetViews>
    <sheetView showGridLines="0" topLeftCell="A18" zoomScale="90" workbookViewId="0">
      <selection activeCell="K38" sqref="K38"/>
    </sheetView>
  </sheetViews>
  <sheetFormatPr defaultRowHeight="12.75"/>
  <cols>
    <col min="1" max="2" width="2.7109375" style="8" customWidth="1"/>
    <col min="3" max="3" width="9.140625" style="8"/>
    <col min="4" max="4" width="14.140625" style="5" customWidth="1"/>
    <col min="5" max="5" width="8.42578125" style="5" customWidth="1"/>
    <col min="6" max="28" width="10.7109375" style="5" customWidth="1"/>
    <col min="29" max="29" width="10.7109375" style="8" customWidth="1"/>
    <col min="30" max="16384" width="9.140625" style="5"/>
  </cols>
  <sheetData>
    <row r="1" spans="1:31" s="240" customFormat="1" ht="15.75">
      <c r="A1" s="987" t="str">
        <f>Assm!A1</f>
        <v>GAS ORIENTE BOLIVIANO S.A. (GASBOL) *** DRAFT COPY ***</v>
      </c>
      <c r="B1" s="239"/>
      <c r="C1" s="283"/>
      <c r="D1" s="239"/>
      <c r="E1" s="288"/>
      <c r="F1" s="134"/>
      <c r="G1" s="288"/>
      <c r="H1" s="288"/>
      <c r="I1" s="288"/>
      <c r="J1" s="289"/>
      <c r="K1" s="288"/>
      <c r="L1" s="288"/>
      <c r="M1" s="290"/>
      <c r="N1" s="288"/>
      <c r="O1" s="288"/>
      <c r="P1" s="288"/>
      <c r="Q1" s="288"/>
      <c r="R1" s="288"/>
      <c r="S1" s="288"/>
      <c r="T1" s="288"/>
      <c r="U1" s="291"/>
      <c r="V1" s="288"/>
      <c r="W1" s="288"/>
      <c r="X1" s="288"/>
      <c r="Y1" s="288"/>
      <c r="Z1" s="288"/>
      <c r="AA1" s="288"/>
      <c r="AB1" s="288"/>
      <c r="AC1" s="23"/>
    </row>
    <row r="2" spans="1:31" s="240" customFormat="1" ht="15.75">
      <c r="A2" s="987" t="str">
        <f>Assm!A2</f>
        <v>369 KM PIPELINE SPUR FOR CUIABA POWER PLANT (BOLIVIA)</v>
      </c>
      <c r="B2" s="239"/>
      <c r="C2" s="283"/>
      <c r="D2" s="239"/>
      <c r="E2" s="288"/>
      <c r="F2" s="134"/>
      <c r="G2" s="288"/>
      <c r="H2" s="288"/>
      <c r="I2" s="288"/>
      <c r="J2" s="289"/>
      <c r="K2" s="288"/>
      <c r="L2" s="288"/>
      <c r="M2" s="290"/>
      <c r="N2" s="288"/>
      <c r="O2" s="288"/>
      <c r="P2" s="288"/>
      <c r="Q2" s="288"/>
      <c r="R2" s="288"/>
      <c r="S2" s="288"/>
      <c r="T2" s="288"/>
      <c r="U2" s="291"/>
      <c r="V2" s="288"/>
      <c r="W2" s="288"/>
      <c r="X2" s="288"/>
      <c r="Y2" s="288"/>
      <c r="Z2" s="288"/>
      <c r="AA2" s="288"/>
      <c r="AB2" s="288"/>
      <c r="AC2" s="23"/>
    </row>
    <row r="3" spans="1:31" s="240" customFormat="1" ht="15.75">
      <c r="A3" s="244" t="str">
        <f>Assm!A3</f>
        <v>ENRON INTERNATIONAL</v>
      </c>
      <c r="B3" s="244"/>
      <c r="C3" s="283"/>
      <c r="D3" s="244"/>
      <c r="E3" s="288"/>
      <c r="F3" s="134"/>
      <c r="G3" s="288"/>
      <c r="H3" s="292"/>
      <c r="I3" s="288"/>
      <c r="J3" s="289"/>
      <c r="K3" s="288"/>
      <c r="L3" s="288"/>
      <c r="M3" s="290"/>
      <c r="N3" s="288"/>
      <c r="O3" s="288"/>
      <c r="P3" s="288"/>
      <c r="Q3" s="288"/>
      <c r="R3" s="288"/>
      <c r="S3" s="288"/>
      <c r="T3" s="288"/>
      <c r="U3" s="288"/>
      <c r="V3" s="293"/>
      <c r="W3" s="293"/>
      <c r="X3" s="288"/>
      <c r="Y3" s="288"/>
      <c r="Z3" s="288"/>
      <c r="AA3" s="288"/>
      <c r="AB3" s="288"/>
      <c r="AC3" s="23"/>
    </row>
    <row r="4" spans="1:31" s="240" customFormat="1" ht="15.75">
      <c r="A4" s="820" t="s">
        <v>909</v>
      </c>
      <c r="B4" s="820"/>
      <c r="C4" s="895"/>
      <c r="D4" s="820"/>
      <c r="E4" s="1042"/>
      <c r="F4" s="134"/>
      <c r="G4" s="288"/>
      <c r="H4" s="292"/>
      <c r="I4" s="288"/>
      <c r="J4" s="289"/>
      <c r="K4" s="288"/>
      <c r="L4" s="288"/>
      <c r="M4" s="290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3"/>
    </row>
    <row r="5" spans="1:31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E5" s="240" t="s">
        <v>865</v>
      </c>
    </row>
    <row r="6" spans="1:31">
      <c r="A6" s="411"/>
      <c r="B6" s="73"/>
      <c r="C6" s="73"/>
      <c r="D6" s="73"/>
      <c r="E6" s="73"/>
      <c r="F6" s="566" t="s">
        <v>242</v>
      </c>
      <c r="G6" s="876">
        <v>0</v>
      </c>
      <c r="H6" s="73">
        <f t="shared" ref="H6:AB6" si="0">IF(H$7&lt;YEAR(Startops1),0,G$6+1)</f>
        <v>0</v>
      </c>
      <c r="I6" s="73">
        <f t="shared" si="0"/>
        <v>0</v>
      </c>
      <c r="J6" s="73">
        <f t="shared" si="0"/>
        <v>1</v>
      </c>
      <c r="K6" s="73">
        <f t="shared" si="0"/>
        <v>2</v>
      </c>
      <c r="L6" s="73">
        <f t="shared" si="0"/>
        <v>3</v>
      </c>
      <c r="M6" s="73">
        <f t="shared" si="0"/>
        <v>4</v>
      </c>
      <c r="N6" s="73">
        <f t="shared" si="0"/>
        <v>5</v>
      </c>
      <c r="O6" s="73">
        <f t="shared" si="0"/>
        <v>6</v>
      </c>
      <c r="P6" s="73">
        <f t="shared" si="0"/>
        <v>7</v>
      </c>
      <c r="Q6" s="73">
        <f t="shared" si="0"/>
        <v>8</v>
      </c>
      <c r="R6" s="73">
        <f t="shared" si="0"/>
        <v>9</v>
      </c>
      <c r="S6" s="73">
        <f t="shared" si="0"/>
        <v>10</v>
      </c>
      <c r="T6" s="73">
        <f t="shared" si="0"/>
        <v>11</v>
      </c>
      <c r="U6" s="73">
        <f t="shared" si="0"/>
        <v>12</v>
      </c>
      <c r="V6" s="73">
        <f t="shared" si="0"/>
        <v>13</v>
      </c>
      <c r="W6" s="73">
        <f t="shared" si="0"/>
        <v>14</v>
      </c>
      <c r="X6" s="73">
        <f t="shared" si="0"/>
        <v>15</v>
      </c>
      <c r="Y6" s="73">
        <f t="shared" si="0"/>
        <v>16</v>
      </c>
      <c r="Z6" s="73">
        <f t="shared" si="0"/>
        <v>17</v>
      </c>
      <c r="AA6" s="73">
        <f t="shared" si="0"/>
        <v>18</v>
      </c>
      <c r="AB6" s="73">
        <f t="shared" si="0"/>
        <v>19</v>
      </c>
      <c r="AC6" s="565"/>
      <c r="AE6" s="5" t="s">
        <v>873</v>
      </c>
    </row>
    <row r="7" spans="1:31" ht="13.5" thickBot="1">
      <c r="A7" s="495" t="s">
        <v>241</v>
      </c>
      <c r="B7" s="327"/>
      <c r="C7" s="327"/>
      <c r="D7" s="76"/>
      <c r="E7" s="76"/>
      <c r="F7" s="364" t="s">
        <v>243</v>
      </c>
      <c r="G7" s="875">
        <v>1998</v>
      </c>
      <c r="H7" s="362">
        <f>G7+1</f>
        <v>1999</v>
      </c>
      <c r="I7" s="362">
        <f t="shared" ref="I7:AB7" si="1">H7+1</f>
        <v>2000</v>
      </c>
      <c r="J7" s="362">
        <f t="shared" si="1"/>
        <v>2001</v>
      </c>
      <c r="K7" s="362">
        <f t="shared" si="1"/>
        <v>2002</v>
      </c>
      <c r="L7" s="362">
        <f t="shared" si="1"/>
        <v>2003</v>
      </c>
      <c r="M7" s="362">
        <f t="shared" si="1"/>
        <v>2004</v>
      </c>
      <c r="N7" s="362">
        <f t="shared" si="1"/>
        <v>2005</v>
      </c>
      <c r="O7" s="362">
        <f t="shared" si="1"/>
        <v>2006</v>
      </c>
      <c r="P7" s="362">
        <f t="shared" si="1"/>
        <v>2007</v>
      </c>
      <c r="Q7" s="362">
        <f t="shared" si="1"/>
        <v>2008</v>
      </c>
      <c r="R7" s="362">
        <f t="shared" si="1"/>
        <v>2009</v>
      </c>
      <c r="S7" s="362">
        <f t="shared" si="1"/>
        <v>2010</v>
      </c>
      <c r="T7" s="362">
        <f t="shared" si="1"/>
        <v>2011</v>
      </c>
      <c r="U7" s="362">
        <f t="shared" si="1"/>
        <v>2012</v>
      </c>
      <c r="V7" s="362">
        <f t="shared" si="1"/>
        <v>2013</v>
      </c>
      <c r="W7" s="362">
        <f t="shared" si="1"/>
        <v>2014</v>
      </c>
      <c r="X7" s="362">
        <f t="shared" si="1"/>
        <v>2015</v>
      </c>
      <c r="Y7" s="362">
        <f t="shared" si="1"/>
        <v>2016</v>
      </c>
      <c r="Z7" s="362">
        <f t="shared" si="1"/>
        <v>2017</v>
      </c>
      <c r="AA7" s="362">
        <f t="shared" si="1"/>
        <v>2018</v>
      </c>
      <c r="AB7" s="362">
        <f t="shared" si="1"/>
        <v>2019</v>
      </c>
      <c r="AC7" s="524" t="s">
        <v>152</v>
      </c>
      <c r="AE7" s="898">
        <v>1</v>
      </c>
    </row>
    <row r="8" spans="1:31">
      <c r="A8" s="214" t="s">
        <v>388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16"/>
      <c r="AE8" s="306">
        <f t="shared" ref="AE8:AE35" si="2">AE7+1</f>
        <v>2</v>
      </c>
    </row>
    <row r="9" spans="1:31">
      <c r="A9" s="139"/>
      <c r="B9" s="8" t="s">
        <v>389</v>
      </c>
      <c r="D9" s="8"/>
      <c r="E9" s="8"/>
      <c r="F9" s="896">
        <v>0</v>
      </c>
      <c r="G9" s="53">
        <f ca="1">G90</f>
        <v>-9.0949470177292824E-13</v>
      </c>
      <c r="H9" s="53">
        <f t="shared" ref="H9:Z9" ca="1" si="3">H90</f>
        <v>-1.2732925824820995E-11</v>
      </c>
      <c r="I9" s="53">
        <f t="shared" ca="1" si="3"/>
        <v>-1.2732925824820995E-11</v>
      </c>
      <c r="J9" s="53">
        <f t="shared" ca="1" si="3"/>
        <v>-1.2732925824820995E-11</v>
      </c>
      <c r="K9" s="53">
        <f t="shared" ca="1" si="3"/>
        <v>-1.2732925824820995E-11</v>
      </c>
      <c r="L9" s="53">
        <f t="shared" ca="1" si="3"/>
        <v>-1.2732925824820995E-11</v>
      </c>
      <c r="M9" s="53">
        <f t="shared" ca="1" si="3"/>
        <v>-1.2732925824820995E-11</v>
      </c>
      <c r="N9" s="53">
        <f t="shared" ca="1" si="3"/>
        <v>-1.2732925824820995E-11</v>
      </c>
      <c r="O9" s="53">
        <f t="shared" ca="1" si="3"/>
        <v>-1.2732925824820995E-11</v>
      </c>
      <c r="P9" s="53">
        <f t="shared" ca="1" si="3"/>
        <v>-1.2732925824820995E-11</v>
      </c>
      <c r="Q9" s="53">
        <f t="shared" ca="1" si="3"/>
        <v>-1.2732925824820995E-11</v>
      </c>
      <c r="R9" s="53">
        <f t="shared" ca="1" si="3"/>
        <v>-1.2732925824820995E-11</v>
      </c>
      <c r="S9" s="53">
        <f t="shared" ca="1" si="3"/>
        <v>-1.2732925824820995E-11</v>
      </c>
      <c r="T9" s="53">
        <f t="shared" ca="1" si="3"/>
        <v>-1.2732925824820995E-11</v>
      </c>
      <c r="U9" s="53">
        <f t="shared" ca="1" si="3"/>
        <v>-1.2732925824820995E-11</v>
      </c>
      <c r="V9" s="53">
        <f t="shared" ca="1" si="3"/>
        <v>-1.2732925824820995E-11</v>
      </c>
      <c r="W9" s="53">
        <f t="shared" ca="1" si="3"/>
        <v>-1.2732925824820995E-11</v>
      </c>
      <c r="X9" s="53">
        <f t="shared" ca="1" si="3"/>
        <v>-1.2732925824820995E-11</v>
      </c>
      <c r="Y9" s="53">
        <f t="shared" ca="1" si="3"/>
        <v>-1.2732925824820995E-11</v>
      </c>
      <c r="Z9" s="53">
        <f t="shared" ca="1" si="3"/>
        <v>-1.2732925824820995E-11</v>
      </c>
      <c r="AA9" s="53">
        <f ca="1">AA90</f>
        <v>-1.2732925824820995E-11</v>
      </c>
      <c r="AB9" s="53">
        <f ca="1">AB90</f>
        <v>-1.2732925824820995E-11</v>
      </c>
      <c r="AC9" s="420"/>
      <c r="AE9" s="306">
        <f t="shared" si="2"/>
        <v>3</v>
      </c>
    </row>
    <row r="10" spans="1:31">
      <c r="A10" s="139"/>
      <c r="B10" s="8" t="s">
        <v>390</v>
      </c>
      <c r="D10" s="8"/>
      <c r="E10" s="8"/>
      <c r="F10" s="896">
        <v>0</v>
      </c>
      <c r="G10" s="53">
        <f ca="1">HLOOKUP(G$7,Vat_Table,Trapped!$AB$83)</f>
        <v>825.14307615655071</v>
      </c>
      <c r="H10" s="53">
        <f ca="1">HLOOKUP(H$7,Vat_Table,Trapped!$AB$83)</f>
        <v>6662.8457175427529</v>
      </c>
      <c r="I10" s="53">
        <f ca="1">HLOOKUP(I$7,Vat_Table,Trapped!$AB$83)</f>
        <v>11754.076920931682</v>
      </c>
      <c r="J10" s="53">
        <f ca="1">HLOOKUP(J$7,Vat_Table,Trapped!$AB$83)</f>
        <v>9897.3251511390245</v>
      </c>
      <c r="K10" s="53">
        <f ca="1">HLOOKUP(K$7,Vat_Table,Trapped!$AB$83)</f>
        <v>6770.168519747911</v>
      </c>
      <c r="L10" s="53">
        <f ca="1">HLOOKUP(L$7,Vat_Table,Trapped!$AB$83)</f>
        <v>3547.0308600270773</v>
      </c>
      <c r="M10" s="53">
        <f ca="1">HLOOKUP(M$7,Vat_Table,Trapped!$AB$83)</f>
        <v>219.89800827380077</v>
      </c>
      <c r="N10" s="53">
        <f ca="1">HLOOKUP(N$7,Vat_Table,Trapped!$AB$83)</f>
        <v>0</v>
      </c>
      <c r="O10" s="53">
        <f ca="1">HLOOKUP(O$7,Vat_Table,Trapped!$AB$83)</f>
        <v>0</v>
      </c>
      <c r="P10" s="53">
        <f ca="1">HLOOKUP(P$7,Vat_Table,Trapped!$AB$83)</f>
        <v>0</v>
      </c>
      <c r="Q10" s="53">
        <f ca="1">HLOOKUP(Q$7,Vat_Table,Trapped!$AB$83)</f>
        <v>0</v>
      </c>
      <c r="R10" s="53">
        <f ca="1">HLOOKUP(R$7,Vat_Table,Trapped!$AB$83)</f>
        <v>0</v>
      </c>
      <c r="S10" s="53">
        <f ca="1">HLOOKUP(S$7,Vat_Table,Trapped!$AB$83)</f>
        <v>0</v>
      </c>
      <c r="T10" s="53">
        <f ca="1">HLOOKUP(T$7,Vat_Table,Trapped!$AB$83)</f>
        <v>0</v>
      </c>
      <c r="U10" s="53">
        <f ca="1">HLOOKUP(U$7,Vat_Table,Trapped!$AB$83)</f>
        <v>0</v>
      </c>
      <c r="V10" s="53">
        <f ca="1">HLOOKUP(V$7,Vat_Table,Trapped!$AB$83)</f>
        <v>0</v>
      </c>
      <c r="W10" s="53">
        <f ca="1">HLOOKUP(W$7,Vat_Table,Trapped!$AB$83)</f>
        <v>0</v>
      </c>
      <c r="X10" s="53">
        <f ca="1">HLOOKUP(X$7,Vat_Table,Trapped!$AB$83)</f>
        <v>0</v>
      </c>
      <c r="Y10" s="53">
        <f ca="1">HLOOKUP(Y$7,Vat_Table,Trapped!$AB$83)</f>
        <v>0</v>
      </c>
      <c r="Z10" s="53">
        <f ca="1">HLOOKUP(Z$7,Vat_Table,Trapped!$AB$83)</f>
        <v>0</v>
      </c>
      <c r="AA10" s="53">
        <f ca="1">HLOOKUP(AA$7,Vat_Table,Trapped!$AB$83)</f>
        <v>0</v>
      </c>
      <c r="AB10" s="53">
        <f ca="1">HLOOKUP(AB$7,Vat_Table,Trapped!$AB$83)</f>
        <v>0</v>
      </c>
      <c r="AC10" s="420"/>
      <c r="AE10" s="306">
        <f t="shared" si="2"/>
        <v>4</v>
      </c>
    </row>
    <row r="11" spans="1:31">
      <c r="A11" s="139"/>
      <c r="B11" s="8" t="s">
        <v>244</v>
      </c>
      <c r="D11" s="8"/>
      <c r="E11" s="8"/>
      <c r="F11" s="896">
        <v>0</v>
      </c>
      <c r="G11" s="53">
        <f>-SUM($G74:G74)</f>
        <v>0</v>
      </c>
      <c r="H11" s="53">
        <f>-SUM($G74:H74)</f>
        <v>0</v>
      </c>
      <c r="I11" s="53">
        <f>-SUM($G74:I74)</f>
        <v>0</v>
      </c>
      <c r="J11" s="53">
        <f>-SUM($G74:J74)</f>
        <v>220</v>
      </c>
      <c r="K11" s="53">
        <f>-SUM($G74:K74)</f>
        <v>220</v>
      </c>
      <c r="L11" s="53">
        <f>-SUM($G74:L74)</f>
        <v>220</v>
      </c>
      <c r="M11" s="53">
        <f>-SUM($G74:M74)</f>
        <v>220</v>
      </c>
      <c r="N11" s="53">
        <f>-SUM($G74:N74)</f>
        <v>220</v>
      </c>
      <c r="O11" s="53">
        <f>-SUM($G74:O74)</f>
        <v>220</v>
      </c>
      <c r="P11" s="53">
        <f>-SUM($G74:P74)</f>
        <v>220</v>
      </c>
      <c r="Q11" s="53">
        <f>-SUM($G74:Q74)</f>
        <v>220</v>
      </c>
      <c r="R11" s="53">
        <f>-SUM($G74:R74)</f>
        <v>220</v>
      </c>
      <c r="S11" s="53">
        <f>-SUM($G74:S74)</f>
        <v>220</v>
      </c>
      <c r="T11" s="53">
        <f>-SUM($G74:T74)</f>
        <v>220</v>
      </c>
      <c r="U11" s="53">
        <f>-SUM($G74:U74)</f>
        <v>220</v>
      </c>
      <c r="V11" s="53">
        <f>-SUM($G74:V74)</f>
        <v>220</v>
      </c>
      <c r="W11" s="53">
        <f>-SUM($G74:W74)</f>
        <v>220</v>
      </c>
      <c r="X11" s="53">
        <f>-SUM($G74:X74)</f>
        <v>220</v>
      </c>
      <c r="Y11" s="53">
        <f>-SUM($G74:Y74)</f>
        <v>220</v>
      </c>
      <c r="Z11" s="53">
        <f>-SUM($G74:Z74)</f>
        <v>220</v>
      </c>
      <c r="AA11" s="53">
        <f>-SUM($G74:AA74)</f>
        <v>220</v>
      </c>
      <c r="AB11" s="53">
        <f>-SUM($G74:AB74)</f>
        <v>220</v>
      </c>
      <c r="AC11" s="420"/>
      <c r="AE11" s="306">
        <f t="shared" si="2"/>
        <v>5</v>
      </c>
    </row>
    <row r="12" spans="1:31">
      <c r="A12" s="139"/>
      <c r="B12" s="8" t="s">
        <v>391</v>
      </c>
      <c r="D12" s="8"/>
      <c r="E12" s="8"/>
      <c r="F12" s="896">
        <v>0</v>
      </c>
      <c r="G12" s="53">
        <f ca="1">-SUM($G75:G76)</f>
        <v>0</v>
      </c>
      <c r="H12" s="53">
        <f ca="1">-SUM($G75:H76)</f>
        <v>0</v>
      </c>
      <c r="I12" s="53">
        <f ca="1">-SUM($G75:I76)</f>
        <v>0</v>
      </c>
      <c r="J12" s="53">
        <f ca="1">-SUM($G75:J76)</f>
        <v>6028.0207486577092</v>
      </c>
      <c r="K12" s="53">
        <f ca="1">-SUM($G75:K76)</f>
        <v>11262.873192070323</v>
      </c>
      <c r="L12" s="53">
        <f ca="1">-SUM($G75:L76)</f>
        <v>15142.660581691956</v>
      </c>
      <c r="M12" s="53">
        <f ca="1">-SUM($G75:M76)</f>
        <v>20730.563780112483</v>
      </c>
      <c r="N12" s="53">
        <f ca="1">-SUM($G75:N76)</f>
        <v>22462.285356688917</v>
      </c>
      <c r="O12" s="53">
        <f ca="1">-SUM($G75:O76)</f>
        <v>25939.179127199001</v>
      </c>
      <c r="P12" s="53">
        <f ca="1">-SUM($G75:P76)</f>
        <v>25495.568189145535</v>
      </c>
      <c r="Q12" s="53">
        <f ca="1">-SUM($G75:Q76)</f>
        <v>27892.211297599129</v>
      </c>
      <c r="R12" s="53">
        <f ca="1">-SUM($G75:R76)</f>
        <v>33354.200642319804</v>
      </c>
      <c r="S12" s="53">
        <f ca="1">-SUM($G75:S76)</f>
        <v>39180.28012462605</v>
      </c>
      <c r="T12" s="53">
        <f ca="1">-SUM($G75:T76)</f>
        <v>42766.523930222233</v>
      </c>
      <c r="U12" s="53">
        <f ca="1">-SUM($G75:U76)</f>
        <v>40658.910513585804</v>
      </c>
      <c r="V12" s="53">
        <f ca="1">-SUM($G75:V76)</f>
        <v>38927.808968601152</v>
      </c>
      <c r="W12" s="53">
        <f ca="1">-SUM($G75:W76)</f>
        <v>37044.866167942397</v>
      </c>
      <c r="X12" s="53">
        <f ca="1">-SUM($G75:X76)</f>
        <v>37480.742795292026</v>
      </c>
      <c r="Y12" s="53">
        <f ca="1">-SUM($G75:Y76)</f>
        <v>43829.701693598763</v>
      </c>
      <c r="Z12" s="53">
        <f ca="1">-SUM($G75:Z76)</f>
        <v>50219.000494301756</v>
      </c>
      <c r="AA12" s="53">
        <f ca="1">-SUM($G75:AA76)</f>
        <v>56652.020186014488</v>
      </c>
      <c r="AB12" s="53">
        <f ca="1">-SUM($G75:AB76)</f>
        <v>13.275999937934102</v>
      </c>
      <c r="AC12" s="420"/>
      <c r="AE12" s="306">
        <f t="shared" si="2"/>
        <v>6</v>
      </c>
    </row>
    <row r="13" spans="1:31">
      <c r="A13" s="139"/>
      <c r="B13" s="8" t="s">
        <v>392</v>
      </c>
      <c r="D13" s="8"/>
      <c r="E13" s="8"/>
      <c r="F13" s="32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420"/>
      <c r="AE13" s="306">
        <f t="shared" si="2"/>
        <v>7</v>
      </c>
    </row>
    <row r="14" spans="1:31">
      <c r="A14" s="139"/>
      <c r="C14" s="8" t="s">
        <v>399</v>
      </c>
      <c r="D14" s="8"/>
      <c r="E14" s="8"/>
      <c r="F14" s="896">
        <v>0</v>
      </c>
      <c r="G14" s="53">
        <f ca="1">-SUM($G73:G73)</f>
        <v>9547.1932938434511</v>
      </c>
      <c r="H14" s="53">
        <f ca="1">-SUM($G73:H73)</f>
        <v>78028.596292031507</v>
      </c>
      <c r="I14" s="53">
        <f ca="1">-SUM($G73:I73)</f>
        <v>142672.86766916121</v>
      </c>
      <c r="J14" s="53">
        <f ca="1">-SUM($G73:J73)</f>
        <v>144209.98709660902</v>
      </c>
      <c r="K14" s="53">
        <f ca="1">-SUM($G73:K73)</f>
        <v>144209.98709660902</v>
      </c>
      <c r="L14" s="53">
        <f ca="1">-SUM($G73:L73)</f>
        <v>144209.98709660902</v>
      </c>
      <c r="M14" s="53">
        <f ca="1">-SUM($G73:M73)</f>
        <v>144209.98709660902</v>
      </c>
      <c r="N14" s="53">
        <f ca="1">-SUM($G73:N73)</f>
        <v>144209.98709660902</v>
      </c>
      <c r="O14" s="53">
        <f ca="1">-SUM($G73:O73)</f>
        <v>144209.98709660902</v>
      </c>
      <c r="P14" s="53">
        <f ca="1">-SUM($G73:P73)</f>
        <v>144209.98709660902</v>
      </c>
      <c r="Q14" s="53">
        <f ca="1">-SUM($G73:Q73)</f>
        <v>144209.98709660902</v>
      </c>
      <c r="R14" s="53">
        <f ca="1">-SUM($G73:R73)</f>
        <v>144209.98709660902</v>
      </c>
      <c r="S14" s="53">
        <f ca="1">-SUM($G73:S73)</f>
        <v>144209.98709660902</v>
      </c>
      <c r="T14" s="53">
        <f ca="1">-SUM($G73:T73)</f>
        <v>144209.98709660902</v>
      </c>
      <c r="U14" s="53">
        <f ca="1">-SUM($G73:U73)</f>
        <v>144209.98709660902</v>
      </c>
      <c r="V14" s="53">
        <f ca="1">-SUM($G73:V73)</f>
        <v>144209.98709660902</v>
      </c>
      <c r="W14" s="53">
        <f ca="1">-SUM($G73:W73)</f>
        <v>144209.98709660902</v>
      </c>
      <c r="X14" s="53">
        <f ca="1">-SUM($G73:X73)</f>
        <v>144209.98709660902</v>
      </c>
      <c r="Y14" s="53">
        <f ca="1">-SUM($G73:Y73)</f>
        <v>144209.98709660902</v>
      </c>
      <c r="Z14" s="53">
        <f ca="1">-SUM($G73:Z73)</f>
        <v>144209.98709660902</v>
      </c>
      <c r="AA14" s="53">
        <f ca="1">-SUM($G73:AA73)</f>
        <v>144209.98709660902</v>
      </c>
      <c r="AB14" s="53">
        <f ca="1">-SUM($G73:AB73)</f>
        <v>144209.98709660902</v>
      </c>
      <c r="AC14" s="420"/>
      <c r="AE14" s="306">
        <f t="shared" si="2"/>
        <v>8</v>
      </c>
    </row>
    <row r="15" spans="1:31">
      <c r="A15" s="139"/>
      <c r="C15" s="8" t="s">
        <v>464</v>
      </c>
      <c r="D15" s="8"/>
      <c r="E15" s="8"/>
      <c r="F15" s="897">
        <v>0</v>
      </c>
      <c r="G15" s="226">
        <f ca="1">SUM($G43:G43)</f>
        <v>0</v>
      </c>
      <c r="H15" s="226">
        <f ca="1">SUM($G43:H43)</f>
        <v>0</v>
      </c>
      <c r="I15" s="226">
        <f ca="1">SUM($G43:I43)</f>
        <v>0</v>
      </c>
      <c r="J15" s="226">
        <f ca="1">SUM($G43:J43)</f>
        <v>-6008.749462358709</v>
      </c>
      <c r="K15" s="226">
        <f ca="1">SUM($G43:K43)</f>
        <v>-13219.24881718916</v>
      </c>
      <c r="L15" s="226">
        <f ca="1">SUM($G43:L43)</f>
        <v>-20429.748172019612</v>
      </c>
      <c r="M15" s="226">
        <f ca="1">SUM($G43:M43)</f>
        <v>-27640.247526850064</v>
      </c>
      <c r="N15" s="226">
        <f ca="1">SUM($G43:N43)</f>
        <v>-34850.746881680512</v>
      </c>
      <c r="O15" s="226">
        <f ca="1">SUM($G43:O43)</f>
        <v>-42061.24623651096</v>
      </c>
      <c r="P15" s="226">
        <f ca="1">SUM($G43:P43)</f>
        <v>-49271.745591341409</v>
      </c>
      <c r="Q15" s="226">
        <f ca="1">SUM($G43:Q43)</f>
        <v>-56482.244946171857</v>
      </c>
      <c r="R15" s="226">
        <f ca="1">SUM($G43:R43)</f>
        <v>-63692.744301002305</v>
      </c>
      <c r="S15" s="226">
        <f ca="1">SUM($G43:S43)</f>
        <v>-70903.243655832761</v>
      </c>
      <c r="T15" s="226">
        <f ca="1">SUM($G43:T43)</f>
        <v>-78113.743010663209</v>
      </c>
      <c r="U15" s="226">
        <f ca="1">SUM($G43:U43)</f>
        <v>-85324.242365493657</v>
      </c>
      <c r="V15" s="226">
        <f ca="1">SUM($G43:V43)</f>
        <v>-92534.741720324106</v>
      </c>
      <c r="W15" s="226">
        <f ca="1">SUM($G43:W43)</f>
        <v>-99745.241075154554</v>
      </c>
      <c r="X15" s="226">
        <f ca="1">SUM($G43:X43)</f>
        <v>-106955.740429985</v>
      </c>
      <c r="Y15" s="226">
        <f ca="1">SUM($G43:Y43)</f>
        <v>-114166.23978481545</v>
      </c>
      <c r="Z15" s="226">
        <f ca="1">SUM($G43:Z43)</f>
        <v>-121376.7391396459</v>
      </c>
      <c r="AA15" s="226">
        <f ca="1">SUM($G43:AA43)</f>
        <v>-128587.23849447635</v>
      </c>
      <c r="AB15" s="226">
        <f ca="1">SUM($G43:AB43)</f>
        <v>-130990.73827941983</v>
      </c>
      <c r="AC15" s="420"/>
      <c r="AE15" s="306">
        <f t="shared" si="2"/>
        <v>9</v>
      </c>
    </row>
    <row r="16" spans="1:31">
      <c r="A16" s="139"/>
      <c r="C16" s="8" t="s">
        <v>393</v>
      </c>
      <c r="D16" s="8"/>
      <c r="E16" s="8"/>
      <c r="F16" s="53">
        <f>SUM(F14:F15)</f>
        <v>0</v>
      </c>
      <c r="G16" s="53">
        <f ca="1">SUM(G14:G15)</f>
        <v>9547.1932938434511</v>
      </c>
      <c r="H16" s="53">
        <f t="shared" ref="H16:Z16" ca="1" si="4">SUM(H14:H15)</f>
        <v>78028.596292031507</v>
      </c>
      <c r="I16" s="53">
        <f t="shared" ca="1" si="4"/>
        <v>142672.86766916121</v>
      </c>
      <c r="J16" s="53">
        <f t="shared" ca="1" si="4"/>
        <v>138201.23763425031</v>
      </c>
      <c r="K16" s="53">
        <f t="shared" ca="1" si="4"/>
        <v>130990.73827941986</v>
      </c>
      <c r="L16" s="53">
        <f t="shared" ca="1" si="4"/>
        <v>123780.23892458942</v>
      </c>
      <c r="M16" s="53">
        <f t="shared" ca="1" si="4"/>
        <v>116569.73956975897</v>
      </c>
      <c r="N16" s="53">
        <f t="shared" ca="1" si="4"/>
        <v>109359.24021492852</v>
      </c>
      <c r="O16" s="53">
        <f t="shared" ca="1" si="4"/>
        <v>102148.74086009807</v>
      </c>
      <c r="P16" s="53">
        <f t="shared" ca="1" si="4"/>
        <v>94938.241505267622</v>
      </c>
      <c r="Q16" s="53">
        <f t="shared" ca="1" si="4"/>
        <v>87727.742150437174</v>
      </c>
      <c r="R16" s="53">
        <f t="shared" ca="1" si="4"/>
        <v>80517.242795606726</v>
      </c>
      <c r="S16" s="53">
        <f t="shared" ca="1" si="4"/>
        <v>73306.743440776263</v>
      </c>
      <c r="T16" s="53">
        <f t="shared" ca="1" si="4"/>
        <v>66096.244085945815</v>
      </c>
      <c r="U16" s="53">
        <f t="shared" ca="1" si="4"/>
        <v>58885.744731115366</v>
      </c>
      <c r="V16" s="53">
        <f t="shared" ca="1" si="4"/>
        <v>51675.245376284918</v>
      </c>
      <c r="W16" s="53">
        <f t="shared" ca="1" si="4"/>
        <v>44464.74602145447</v>
      </c>
      <c r="X16" s="53">
        <f t="shared" ca="1" si="4"/>
        <v>37254.246666624022</v>
      </c>
      <c r="Y16" s="53">
        <f t="shared" ca="1" si="4"/>
        <v>30043.747311793573</v>
      </c>
      <c r="Z16" s="53">
        <f t="shared" ca="1" si="4"/>
        <v>22833.247956963125</v>
      </c>
      <c r="AA16" s="53">
        <f ca="1">SUM(AA14:AA15)</f>
        <v>15622.748602132677</v>
      </c>
      <c r="AB16" s="53">
        <f ca="1">SUM(AB14:AB15)</f>
        <v>13219.248817189189</v>
      </c>
      <c r="AC16" s="420"/>
      <c r="AE16" s="306">
        <f t="shared" si="2"/>
        <v>10</v>
      </c>
    </row>
    <row r="17" spans="1:31">
      <c r="A17" s="139"/>
      <c r="B17" s="8" t="s">
        <v>245</v>
      </c>
      <c r="D17" s="8"/>
      <c r="E17" s="8"/>
      <c r="F17" s="897">
        <v>0</v>
      </c>
      <c r="G17" s="226">
        <f ca="1">IF(G$7&lt;YEAR(Startops1),0,IF(HLOOKUP(G$7,Tax_Table,Taxes!$AA$60)&gt;0,HLOOKUP(G$7,Tax_Table,Taxes!$AA$60),0))</f>
        <v>0</v>
      </c>
      <c r="H17" s="226">
        <f ca="1">IF(H$7&lt;YEAR(Startops1),0,IF(HLOOKUP(H$7,Tax_Table,Taxes!$AA$60)&gt;0,HLOOKUP(H$7,Tax_Table,Taxes!$AA$60),0))</f>
        <v>0</v>
      </c>
      <c r="I17" s="226">
        <f ca="1">IF(I$7&lt;YEAR(Startops1),0,IF(HLOOKUP(I$7,Tax_Table,Taxes!$AA$60)&gt;0,HLOOKUP(I$7,Tax_Table,Taxes!$AA$60),0))</f>
        <v>0</v>
      </c>
      <c r="J17" s="226">
        <f ca="1">IF(J$7&lt;YEAR(Startops1),0,IF(HLOOKUP(J$7,Tax_Table,Taxes!$AA$60)&gt;0,HLOOKUP(J$7,Tax_Table,Taxes!$AA$60),0))</f>
        <v>0</v>
      </c>
      <c r="K17" s="226">
        <f ca="1">IF(K$7&lt;YEAR(Startops1),0,IF(HLOOKUP(K$7,Tax_Table,Taxes!$AA$60)&gt;0,HLOOKUP(K$7,Tax_Table,Taxes!$AA$60),0))</f>
        <v>0</v>
      </c>
      <c r="L17" s="226">
        <f ca="1">IF(L$7&lt;YEAR(Startops1),0,IF(HLOOKUP(L$7,Tax_Table,Taxes!$AA$60)&gt;0,HLOOKUP(L$7,Tax_Table,Taxes!$AA$60),0))</f>
        <v>0</v>
      </c>
      <c r="M17" s="226">
        <f ca="1">IF(M$7&lt;YEAR(Startops1),0,IF(HLOOKUP(M$7,Tax_Table,Taxes!$AA$60)&gt;0,HLOOKUP(M$7,Tax_Table,Taxes!$AA$60),0))</f>
        <v>0</v>
      </c>
      <c r="N17" s="226">
        <f ca="1">IF(N$7&lt;YEAR(Startops1),0,IF(HLOOKUP(N$7,Tax_Table,Taxes!$AA$60)&gt;0,HLOOKUP(N$7,Tax_Table,Taxes!$AA$60),0))</f>
        <v>0</v>
      </c>
      <c r="O17" s="226">
        <f ca="1">IF(O$7&lt;YEAR(Startops1),0,IF(HLOOKUP(O$7,Tax_Table,Taxes!$AA$60)&gt;0,HLOOKUP(O$7,Tax_Table,Taxes!$AA$60),0))</f>
        <v>0</v>
      </c>
      <c r="P17" s="226">
        <f ca="1">IF(P$7&lt;YEAR(Startops1),0,IF(HLOOKUP(P$7,Tax_Table,Taxes!$AA$60)&gt;0,HLOOKUP(P$7,Tax_Table,Taxes!$AA$60),0))</f>
        <v>0</v>
      </c>
      <c r="Q17" s="226">
        <f ca="1">IF(Q$7&lt;YEAR(Startops1),0,IF(HLOOKUP(Q$7,Tax_Table,Taxes!$AA$60)&gt;0,HLOOKUP(Q$7,Tax_Table,Taxes!$AA$60),0))</f>
        <v>0</v>
      </c>
      <c r="R17" s="226">
        <f ca="1">IF(R$7&lt;YEAR(Startops1),0,IF(HLOOKUP(R$7,Tax_Table,Taxes!$AA$60)&gt;0,HLOOKUP(R$7,Tax_Table,Taxes!$AA$60),0))</f>
        <v>0</v>
      </c>
      <c r="S17" s="226">
        <f ca="1">IF(S$7&lt;YEAR(Startops1),0,IF(HLOOKUP(S$7,Tax_Table,Taxes!$AA$60)&gt;0,HLOOKUP(S$7,Tax_Table,Taxes!$AA$60),0))</f>
        <v>0</v>
      </c>
      <c r="T17" s="226">
        <f ca="1">IF(T$7&lt;YEAR(Startops1),0,IF(HLOOKUP(T$7,Tax_Table,Taxes!$AA$60)&gt;0,HLOOKUP(T$7,Tax_Table,Taxes!$AA$60),0))</f>
        <v>0</v>
      </c>
      <c r="U17" s="226">
        <f ca="1">IF(U$7&lt;YEAR(Startops1),0,IF(HLOOKUP(U$7,Tax_Table,Taxes!$AA$60)&gt;0,HLOOKUP(U$7,Tax_Table,Taxes!$AA$60),0))</f>
        <v>0</v>
      </c>
      <c r="V17" s="226">
        <f ca="1">IF(V$7&lt;YEAR(Startops1),0,IF(HLOOKUP(V$7,Tax_Table,Taxes!$AA$60)&gt;0,HLOOKUP(V$7,Tax_Table,Taxes!$AA$60),0))</f>
        <v>0</v>
      </c>
      <c r="W17" s="226">
        <f ca="1">IF(W$7&lt;YEAR(Startops1),0,IF(HLOOKUP(W$7,Tax_Table,Taxes!$AA$60)&gt;0,HLOOKUP(W$7,Tax_Table,Taxes!$AA$60),0))</f>
        <v>0</v>
      </c>
      <c r="X17" s="226">
        <f ca="1">IF(X$7&lt;YEAR(Startops1),0,IF(HLOOKUP(X$7,Tax_Table,Taxes!$AA$60)&gt;0,HLOOKUP(X$7,Tax_Table,Taxes!$AA$60),0))</f>
        <v>0</v>
      </c>
      <c r="Y17" s="226">
        <f ca="1">IF(Y$7&lt;YEAR(Startops1),0,IF(HLOOKUP(Y$7,Tax_Table,Taxes!$AA$60)&gt;0,HLOOKUP(Y$7,Tax_Table,Taxes!$AA$60),0))</f>
        <v>0</v>
      </c>
      <c r="Z17" s="226">
        <f ca="1">IF(Z$7&lt;YEAR(Startops1),0,IF(HLOOKUP(Z$7,Tax_Table,Taxes!$AA$60)&gt;0,HLOOKUP(Z$7,Tax_Table,Taxes!$AA$60),0))</f>
        <v>0</v>
      </c>
      <c r="AA17" s="226">
        <f ca="1">IF(AA$7&lt;YEAR(Startops1),0,IF(HLOOKUP(AA$7,Tax_Table,Taxes!$AA$60)&gt;0,HLOOKUP(AA$7,Tax_Table,Taxes!$AA$60),0))</f>
        <v>0</v>
      </c>
      <c r="AB17" s="226">
        <f ca="1">IF(AB$7&lt;YEAR(Startops1),0,IF(HLOOKUP(AB$7,Tax_Table,Taxes!$AA$60)&gt;0,HLOOKUP(AB$7,Tax_Table,Taxes!$AA$60),0))</f>
        <v>0</v>
      </c>
      <c r="AC17" s="421"/>
      <c r="AE17" s="306">
        <f t="shared" si="2"/>
        <v>11</v>
      </c>
    </row>
    <row r="18" spans="1:31">
      <c r="A18" s="139"/>
      <c r="B18" s="8" t="s">
        <v>246</v>
      </c>
      <c r="D18" s="8"/>
      <c r="E18" s="8"/>
      <c r="F18" s="277">
        <f t="shared" ref="F18:AB18" si="5">SUM(F9:F12,F16:F17)</f>
        <v>0</v>
      </c>
      <c r="G18" s="277">
        <f t="shared" ca="1" si="5"/>
        <v>10372.336370000001</v>
      </c>
      <c r="H18" s="277">
        <f t="shared" ca="1" si="5"/>
        <v>84691.442009574253</v>
      </c>
      <c r="I18" s="277">
        <f t="shared" ca="1" si="5"/>
        <v>154426.94459009287</v>
      </c>
      <c r="J18" s="277">
        <f t="shared" ca="1" si="5"/>
        <v>154346.58353404704</v>
      </c>
      <c r="K18" s="277">
        <f t="shared" ca="1" si="5"/>
        <v>149243.77999123809</v>
      </c>
      <c r="L18" s="277">
        <f t="shared" ca="1" si="5"/>
        <v>142689.93036630843</v>
      </c>
      <c r="M18" s="277">
        <f t="shared" ca="1" si="5"/>
        <v>137740.20135814525</v>
      </c>
      <c r="N18" s="277">
        <f t="shared" ca="1" si="5"/>
        <v>132041.52557161741</v>
      </c>
      <c r="O18" s="277">
        <f t="shared" ca="1" si="5"/>
        <v>128307.91998729706</v>
      </c>
      <c r="P18" s="277">
        <f t="shared" ca="1" si="5"/>
        <v>120653.80969441315</v>
      </c>
      <c r="Q18" s="277">
        <f t="shared" ca="1" si="5"/>
        <v>115839.95344803629</v>
      </c>
      <c r="R18" s="277">
        <f t="shared" ca="1" si="5"/>
        <v>114091.44343792651</v>
      </c>
      <c r="S18" s="277">
        <f t="shared" ca="1" si="5"/>
        <v>112707.0235654023</v>
      </c>
      <c r="T18" s="277">
        <f t="shared" ca="1" si="5"/>
        <v>109082.76801616803</v>
      </c>
      <c r="U18" s="277">
        <f t="shared" ca="1" si="5"/>
        <v>99764.655244701164</v>
      </c>
      <c r="V18" s="277">
        <f t="shared" ca="1" si="5"/>
        <v>90823.054344886055</v>
      </c>
      <c r="W18" s="277">
        <f t="shared" ca="1" si="5"/>
        <v>81729.612189396852</v>
      </c>
      <c r="X18" s="277">
        <f t="shared" ca="1" si="5"/>
        <v>74954.989461916033</v>
      </c>
      <c r="Y18" s="277">
        <f t="shared" ca="1" si="5"/>
        <v>74093.449005392322</v>
      </c>
      <c r="Z18" s="277">
        <f t="shared" ca="1" si="5"/>
        <v>73272.248451264866</v>
      </c>
      <c r="AA18" s="277">
        <f t="shared" ca="1" si="5"/>
        <v>72494.76878814715</v>
      </c>
      <c r="AB18" s="277">
        <f t="shared" ca="1" si="5"/>
        <v>13452.524817127111</v>
      </c>
      <c r="AC18" s="420"/>
      <c r="AE18" s="306">
        <f t="shared" si="2"/>
        <v>12</v>
      </c>
    </row>
    <row r="19" spans="1:31">
      <c r="A19" s="139"/>
      <c r="D19" s="8"/>
      <c r="E19" s="8"/>
      <c r="F19" s="32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420"/>
      <c r="AE19" s="306">
        <f t="shared" si="2"/>
        <v>13</v>
      </c>
    </row>
    <row r="20" spans="1:31">
      <c r="A20" s="146" t="s">
        <v>394</v>
      </c>
      <c r="D20" s="8"/>
      <c r="E20" s="8"/>
      <c r="F20" s="32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420"/>
      <c r="AE20" s="306">
        <f t="shared" si="2"/>
        <v>14</v>
      </c>
    </row>
    <row r="21" spans="1:31">
      <c r="A21" s="139"/>
      <c r="B21" s="8" t="s">
        <v>247</v>
      </c>
      <c r="D21" s="8"/>
      <c r="E21" s="8"/>
      <c r="F21" s="896">
        <v>0</v>
      </c>
      <c r="G21" s="53">
        <f ca="1">IF(G$7&lt;YEAR(Startops1),0,IF(HLOOKUP(G$7,Tax_Table,Taxes!$AA$60)&lt;0,-HLOOKUP(G$7,Tax_Table,Taxes!$AA$60),0))</f>
        <v>0</v>
      </c>
      <c r="H21" s="53">
        <f ca="1">IF(H$7&lt;YEAR(Startops1),0,IF(HLOOKUP(H$7,Tax_Table,Taxes!$AA$60)&lt;0,-HLOOKUP(H$7,Tax_Table,Taxes!$AA$60),0))</f>
        <v>0</v>
      </c>
      <c r="I21" s="53">
        <f ca="1">IF(I$7&lt;YEAR(Startops1),0,IF(HLOOKUP(I$7,Tax_Table,Taxes!$AA$60)&lt;0,-HLOOKUP(I$7,Tax_Table,Taxes!$AA$60),0))</f>
        <v>0</v>
      </c>
      <c r="J21" s="53">
        <f ca="1">IF(J$7&lt;YEAR(Startops1),0,IF(HLOOKUP(J$7,Tax_Table,Taxes!$AA$60)&lt;0,-HLOOKUP(J$7,Tax_Table,Taxes!$AA$60),0))</f>
        <v>0</v>
      </c>
      <c r="K21" s="53">
        <f ca="1">IF(K$7&lt;YEAR(Startops1),0,IF(HLOOKUP(K$7,Tax_Table,Taxes!$AA$60)&lt;0,-HLOOKUP(K$7,Tax_Table,Taxes!$AA$60),0))</f>
        <v>0</v>
      </c>
      <c r="L21" s="53">
        <f ca="1">IF(L$7&lt;YEAR(Startops1),0,IF(HLOOKUP(L$7,Tax_Table,Taxes!$AA$60)&lt;0,-HLOOKUP(L$7,Tax_Table,Taxes!$AA$60),0))</f>
        <v>0</v>
      </c>
      <c r="M21" s="53">
        <f ca="1">IF(M$7&lt;YEAR(Startops1),0,IF(HLOOKUP(M$7,Tax_Table,Taxes!$AA$60)&lt;0,-HLOOKUP(M$7,Tax_Table,Taxes!$AA$60),0))</f>
        <v>0</v>
      </c>
      <c r="N21" s="53">
        <f ca="1">IF(N$7&lt;YEAR(Startops1),0,IF(HLOOKUP(N$7,Tax_Table,Taxes!$AA$60)&lt;0,-HLOOKUP(N$7,Tax_Table,Taxes!$AA$60),0))</f>
        <v>0</v>
      </c>
      <c r="O21" s="53">
        <f ca="1">IF(O$7&lt;YEAR(Startops1),0,IF(HLOOKUP(O$7,Tax_Table,Taxes!$AA$60)&lt;0,-HLOOKUP(O$7,Tax_Table,Taxes!$AA$60),0))</f>
        <v>840.85593552884325</v>
      </c>
      <c r="P21" s="53">
        <f ca="1">IF(P$7&lt;YEAR(Startops1),0,IF(HLOOKUP(P$7,Tax_Table,Taxes!$AA$60)&lt;0,-HLOOKUP(P$7,Tax_Table,Taxes!$AA$60),0))</f>
        <v>3348.2780144632088</v>
      </c>
      <c r="Q21" s="53">
        <f ca="1">IF(Q$7&lt;YEAR(Startops1),0,IF(HLOOKUP(Q$7,Tax_Table,Taxes!$AA$60)&lt;0,-HLOOKUP(Q$7,Tax_Table,Taxes!$AA$60),0))</f>
        <v>6182.1983175486766</v>
      </c>
      <c r="R21" s="53">
        <f ca="1">IF(R$7&lt;YEAR(Startops1),0,IF(HLOOKUP(R$7,Tax_Table,Taxes!$AA$60)&lt;0,-HLOOKUP(R$7,Tax_Table,Taxes!$AA$60),0))</f>
        <v>9541.6075863663573</v>
      </c>
      <c r="S21" s="53">
        <f ca="1">IF(S$7&lt;YEAR(Startops1),0,IF(HLOOKUP(S$7,Tax_Table,Taxes!$AA$60)&lt;0,-HLOOKUP(S$7,Tax_Table,Taxes!$AA$60),0))</f>
        <v>13248.846815598929</v>
      </c>
      <c r="T21" s="53">
        <f ca="1">IF(T$7&lt;YEAR(Startops1),0,IF(HLOOKUP(T$7,Tax_Table,Taxes!$AA$60)&lt;0,-HLOOKUP(T$7,Tax_Table,Taxes!$AA$60),0))</f>
        <v>15939.155299445885</v>
      </c>
      <c r="U21" s="53">
        <f ca="1">IF(U$7&lt;YEAR(Startops1),0,IF(HLOOKUP(U$7,Tax_Table,Taxes!$AA$60)&lt;0,-HLOOKUP(U$7,Tax_Table,Taxes!$AA$60),0))</f>
        <v>14126.914127797894</v>
      </c>
      <c r="V21" s="53">
        <f ca="1">IF(V$7&lt;YEAR(Startops1),0,IF(HLOOKUP(V$7,Tax_Table,Taxes!$AA$60)&lt;0,-HLOOKUP(V$7,Tax_Table,Taxes!$AA$60),0))</f>
        <v>12324.28928909028</v>
      </c>
      <c r="W21" s="53">
        <f ca="1">IF(W$7&lt;YEAR(Startops1),0,IF(HLOOKUP(W$7,Tax_Table,Taxes!$AA$60)&lt;0,-HLOOKUP(W$7,Tax_Table,Taxes!$AA$60),0))</f>
        <v>10521.664450382668</v>
      </c>
      <c r="X21" s="53">
        <f ca="1">IF(X$7&lt;YEAR(Startops1),0,IF(HLOOKUP(X$7,Tax_Table,Taxes!$AA$60)&lt;0,-HLOOKUP(X$7,Tax_Table,Taxes!$AA$60),0))</f>
        <v>8719.0396116750562</v>
      </c>
      <c r="Y21" s="53">
        <f ca="1">IF(Y$7&lt;YEAR(Startops1),0,IF(HLOOKUP(Y$7,Tax_Table,Taxes!$AA$60)&lt;0,-HLOOKUP(Y$7,Tax_Table,Taxes!$AA$60),0))</f>
        <v>6916.4147729674432</v>
      </c>
      <c r="Z21" s="53">
        <f ca="1">IF(Z$7&lt;YEAR(Startops1),0,IF(HLOOKUP(Z$7,Tax_Table,Taxes!$AA$60)&lt;0,-HLOOKUP(Z$7,Tax_Table,Taxes!$AA$60),0))</f>
        <v>5113.7899342598303</v>
      </c>
      <c r="AA21" s="53">
        <f ca="1">IF(AA$7&lt;YEAR(Startops1),0,IF(HLOOKUP(AA$7,Tax_Table,Taxes!$AA$60)&lt;0,-HLOOKUP(AA$7,Tax_Table,Taxes!$AA$60),0))</f>
        <v>3311.1650955522173</v>
      </c>
      <c r="AB21" s="53">
        <f ca="1">IF(AB$7&lt;YEAR(Startops1),0,IF(HLOOKUP(AB$7,Tax_Table,Taxes!$AA$60)&lt;0,-HLOOKUP(AB$7,Tax_Table,Taxes!$AA$60),0))</f>
        <v>2710.2901493163463</v>
      </c>
      <c r="AC21" s="420"/>
      <c r="AE21" s="306">
        <f t="shared" si="2"/>
        <v>15</v>
      </c>
    </row>
    <row r="22" spans="1:31">
      <c r="A22" s="139"/>
      <c r="B22" s="8" t="s">
        <v>72</v>
      </c>
      <c r="D22" s="8"/>
      <c r="E22" s="8"/>
      <c r="F22" s="896">
        <v>0</v>
      </c>
      <c r="G22" s="53">
        <f ca="1">SUM($G67:G68)</f>
        <v>0</v>
      </c>
      <c r="H22" s="53">
        <f ca="1">SUM($G67:H68)</f>
        <v>44691.44199957425</v>
      </c>
      <c r="I22" s="53">
        <f ca="1">SUM($G67:I68)</f>
        <v>0</v>
      </c>
      <c r="J22" s="53">
        <f ca="1">SUM($G67:J68)</f>
        <v>0</v>
      </c>
      <c r="K22" s="53">
        <f ca="1">SUM($G67:K68)</f>
        <v>0</v>
      </c>
      <c r="L22" s="53">
        <f ca="1">SUM($G67:L68)</f>
        <v>0</v>
      </c>
      <c r="M22" s="53">
        <f ca="1">SUM($G67:M68)</f>
        <v>0</v>
      </c>
      <c r="N22" s="53">
        <f ca="1">SUM($G67:N68)</f>
        <v>0</v>
      </c>
      <c r="O22" s="53">
        <f ca="1">SUM($G67:O68)</f>
        <v>0</v>
      </c>
      <c r="P22" s="53">
        <f ca="1">SUM($G67:P68)</f>
        <v>0</v>
      </c>
      <c r="Q22" s="53">
        <f ca="1">SUM($G67:Q68)</f>
        <v>0</v>
      </c>
      <c r="R22" s="53">
        <f ca="1">SUM($G67:R68)</f>
        <v>0</v>
      </c>
      <c r="S22" s="53">
        <f ca="1">SUM($G67:S68)</f>
        <v>0</v>
      </c>
      <c r="T22" s="53">
        <f ca="1">SUM($G67:T68)</f>
        <v>0</v>
      </c>
      <c r="U22" s="53">
        <f ca="1">SUM($G67:U68)</f>
        <v>0</v>
      </c>
      <c r="V22" s="53">
        <f ca="1">SUM($G67:V68)</f>
        <v>0</v>
      </c>
      <c r="W22" s="53">
        <f ca="1">SUM($G67:W68)</f>
        <v>0</v>
      </c>
      <c r="X22" s="53">
        <f ca="1">SUM($G67:X68)</f>
        <v>0</v>
      </c>
      <c r="Y22" s="53">
        <f ca="1">SUM($G67:Y68)</f>
        <v>0</v>
      </c>
      <c r="Z22" s="53">
        <f ca="1">SUM($G67:Z68)</f>
        <v>0</v>
      </c>
      <c r="AA22" s="53">
        <f ca="1">SUM($G67:AA68)</f>
        <v>0</v>
      </c>
      <c r="AB22" s="53">
        <f ca="1">SUM($G67:AB68)</f>
        <v>0</v>
      </c>
      <c r="AC22" s="420"/>
      <c r="AE22" s="306">
        <f t="shared" si="2"/>
        <v>16</v>
      </c>
    </row>
    <row r="23" spans="1:31">
      <c r="A23" s="139"/>
      <c r="B23" s="8" t="s">
        <v>275</v>
      </c>
      <c r="D23" s="8"/>
      <c r="E23" s="8"/>
      <c r="F23" s="896">
        <v>0</v>
      </c>
      <c r="G23" s="53">
        <f ca="1">SUM($G69:G70)</f>
        <v>0</v>
      </c>
      <c r="H23" s="53">
        <f ca="1">SUM($G69:H70)</f>
        <v>0</v>
      </c>
      <c r="I23" s="53">
        <f ca="1">SUM($G69:I70)</f>
        <v>91998.497448496521</v>
      </c>
      <c r="J23" s="53">
        <f ca="1">SUM($G69:J70)</f>
        <v>93710.455509278487</v>
      </c>
      <c r="K23" s="53">
        <f ca="1">SUM($G69:K70)</f>
        <v>92304.932548718614</v>
      </c>
      <c r="L23" s="53">
        <f ca="1">SUM($G69:L70)</f>
        <v>89922.009537196966</v>
      </c>
      <c r="M23" s="53">
        <f ca="1">SUM($G69:M70)</f>
        <v>83228.405572248506</v>
      </c>
      <c r="N23" s="53">
        <f ca="1">SUM($G69:N70)</f>
        <v>74730.786090693568</v>
      </c>
      <c r="O23" s="53">
        <f ca="1">SUM($G69:O70)</f>
        <v>65103.955620251822</v>
      </c>
      <c r="P23" s="53">
        <f ca="1">SUM($G69:P70)</f>
        <v>54774.296733490482</v>
      </c>
      <c r="Q23" s="53">
        <f ca="1">SUM($G69:Q70)</f>
        <v>46937.335963275953</v>
      </c>
      <c r="R23" s="53">
        <f ca="1">SUM($G69:R70)</f>
        <v>41593.073309608233</v>
      </c>
      <c r="S23" s="53">
        <f ca="1">SUM($G69:S70)</f>
        <v>36248.810655940513</v>
      </c>
      <c r="T23" s="53">
        <f ca="1">SUM($G69:T70)</f>
        <v>29658.198943999389</v>
      </c>
      <c r="U23" s="53">
        <f ca="1">SUM($G69:U70)</f>
        <v>21821.238173784859</v>
      </c>
      <c r="V23" s="53">
        <f ca="1">SUM($G69:V70)</f>
        <v>13984.27740357033</v>
      </c>
      <c r="W23" s="53">
        <f ca="1">SUM($G69:W70)</f>
        <v>5866.1852668279644</v>
      </c>
      <c r="X23" s="53">
        <f ca="1">SUM($G69:X70)</f>
        <v>-3.3651303965598345E-11</v>
      </c>
      <c r="Y23" s="53">
        <f ca="1">SUM($G69:Y70)</f>
        <v>-3.3651303965598345E-11</v>
      </c>
      <c r="Z23" s="53">
        <f ca="1">SUM($G69:Z70)</f>
        <v>-3.3651303965598345E-11</v>
      </c>
      <c r="AA23" s="53">
        <f ca="1">SUM($G69:AA70)</f>
        <v>-3.3651303965598345E-11</v>
      </c>
      <c r="AB23" s="53">
        <f ca="1">SUM($G69:AB70)</f>
        <v>-3.3651303965598345E-11</v>
      </c>
      <c r="AC23" s="420"/>
      <c r="AE23" s="306">
        <f t="shared" si="2"/>
        <v>17</v>
      </c>
    </row>
    <row r="24" spans="1:31">
      <c r="A24" s="139"/>
      <c r="B24" s="8" t="s">
        <v>1125</v>
      </c>
      <c r="D24" s="8"/>
      <c r="E24" s="8"/>
      <c r="F24" s="897">
        <v>0</v>
      </c>
      <c r="G24" s="226">
        <f ca="1">SUM($G71:G72)</f>
        <v>0</v>
      </c>
      <c r="H24" s="226">
        <f ca="1">SUM($G71:H72)</f>
        <v>0</v>
      </c>
      <c r="I24" s="226">
        <f ca="1">SUM($G71:I72)</f>
        <v>2428.4471315963551</v>
      </c>
      <c r="J24" s="226">
        <f ca="1">SUM($G71:J72)</f>
        <v>2473.6369961856831</v>
      </c>
      <c r="K24" s="226">
        <f ca="1">SUM($G71:K72)</f>
        <v>2362.837014434077</v>
      </c>
      <c r="L24" s="226">
        <f ca="1">SUM($G71:L72)</f>
        <v>2237.1649051318618</v>
      </c>
      <c r="M24" s="226">
        <f ca="1">SUM($G71:M72)</f>
        <v>2094.6244569585565</v>
      </c>
      <c r="N24" s="226">
        <f ca="1">SUM($G71:N72)</f>
        <v>1932.9515171291896</v>
      </c>
      <c r="O24" s="226">
        <f ca="1">SUM($G71:O72)</f>
        <v>1749.5780269512261</v>
      </c>
      <c r="P24" s="226">
        <f ca="1">SUM($G71:P72)</f>
        <v>1541.5912300541254</v>
      </c>
      <c r="Q24" s="226">
        <f ca="1">SUM($G71:Q72)</f>
        <v>1305.6874053435113</v>
      </c>
      <c r="R24" s="226">
        <f ca="1">SUM($G71:R72)</f>
        <v>1038.1193897611151</v>
      </c>
      <c r="S24" s="226">
        <f ca="1">SUM($G71:S72)</f>
        <v>734.63705728717218</v>
      </c>
      <c r="T24" s="226">
        <f ca="1">SUM($G71:T72)</f>
        <v>390.41980873691438</v>
      </c>
      <c r="U24" s="226">
        <f ca="1">SUM($G71:U72)</f>
        <v>-8.5265128291212022E-13</v>
      </c>
      <c r="V24" s="226">
        <f ca="1">SUM($G71:V72)</f>
        <v>-8.5265128291212022E-13</v>
      </c>
      <c r="W24" s="226">
        <f ca="1">SUM($G71:W72)</f>
        <v>-8.5265128291212022E-13</v>
      </c>
      <c r="X24" s="226">
        <f ca="1">SUM($G71:X72)</f>
        <v>-8.5265128291212022E-13</v>
      </c>
      <c r="Y24" s="226">
        <f ca="1">SUM($G71:Y72)</f>
        <v>-8.5265128291212022E-13</v>
      </c>
      <c r="Z24" s="226">
        <f ca="1">SUM($G71:Z72)</f>
        <v>-8.5265128291212022E-13</v>
      </c>
      <c r="AA24" s="226">
        <f ca="1">SUM($G71:AA72)</f>
        <v>-8.5265128291212022E-13</v>
      </c>
      <c r="AB24" s="226">
        <f ca="1">SUM($G71:AB72)</f>
        <v>-8.5265128291212022E-13</v>
      </c>
      <c r="AC24" s="420"/>
      <c r="AE24" s="306">
        <f t="shared" si="2"/>
        <v>18</v>
      </c>
    </row>
    <row r="25" spans="1:31">
      <c r="A25" s="139"/>
      <c r="C25" s="8" t="s">
        <v>395</v>
      </c>
      <c r="D25" s="8"/>
      <c r="E25" s="8"/>
      <c r="F25" s="53">
        <f>SUM(F21:F24)</f>
        <v>0</v>
      </c>
      <c r="G25" s="53">
        <f t="shared" ref="G25:AB25" ca="1" si="6">SUM(G21:G24)</f>
        <v>0</v>
      </c>
      <c r="H25" s="53">
        <f t="shared" ca="1" si="6"/>
        <v>44691.44199957425</v>
      </c>
      <c r="I25" s="53">
        <f t="shared" ca="1" si="6"/>
        <v>94426.944580092881</v>
      </c>
      <c r="J25" s="53">
        <f t="shared" ca="1" si="6"/>
        <v>96184.09250546417</v>
      </c>
      <c r="K25" s="53">
        <f t="shared" ca="1" si="6"/>
        <v>94667.769563152688</v>
      </c>
      <c r="L25" s="53">
        <f t="shared" ca="1" si="6"/>
        <v>92159.174442328833</v>
      </c>
      <c r="M25" s="53">
        <f t="shared" ca="1" si="6"/>
        <v>85323.030029207061</v>
      </c>
      <c r="N25" s="53">
        <f t="shared" ca="1" si="6"/>
        <v>76663.737607822753</v>
      </c>
      <c r="O25" s="53">
        <f t="shared" ca="1" si="6"/>
        <v>67694.389582731892</v>
      </c>
      <c r="P25" s="53">
        <f t="shared" ca="1" si="6"/>
        <v>59664.165978007819</v>
      </c>
      <c r="Q25" s="53">
        <f t="shared" ca="1" si="6"/>
        <v>54425.221686168137</v>
      </c>
      <c r="R25" s="53">
        <f t="shared" ca="1" si="6"/>
        <v>52172.800285735706</v>
      </c>
      <c r="S25" s="53">
        <f t="shared" ca="1" si="6"/>
        <v>50232.294528826613</v>
      </c>
      <c r="T25" s="53">
        <f t="shared" ca="1" si="6"/>
        <v>45987.774052182191</v>
      </c>
      <c r="U25" s="53">
        <f t="shared" ca="1" si="6"/>
        <v>35948.152301582755</v>
      </c>
      <c r="V25" s="53">
        <f t="shared" ca="1" si="6"/>
        <v>26308.56669266061</v>
      </c>
      <c r="W25" s="53">
        <f t="shared" ca="1" si="6"/>
        <v>16387.849717210633</v>
      </c>
      <c r="X25" s="53">
        <f t="shared" ca="1" si="6"/>
        <v>8719.0396116750235</v>
      </c>
      <c r="Y25" s="53">
        <f t="shared" ca="1" si="6"/>
        <v>6916.4147729674087</v>
      </c>
      <c r="Z25" s="53">
        <f t="shared" ca="1" si="6"/>
        <v>5113.7899342597957</v>
      </c>
      <c r="AA25" s="53">
        <f t="shared" ca="1" si="6"/>
        <v>3311.1650955521827</v>
      </c>
      <c r="AB25" s="53">
        <f t="shared" ca="1" si="6"/>
        <v>2710.2901493163117</v>
      </c>
      <c r="AC25" s="420"/>
      <c r="AE25" s="306">
        <f t="shared" si="2"/>
        <v>19</v>
      </c>
    </row>
    <row r="26" spans="1:31">
      <c r="A26" s="139"/>
      <c r="D26" s="8"/>
      <c r="E26" s="8"/>
      <c r="F26" s="32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0"/>
      <c r="AE26" s="306">
        <f t="shared" si="2"/>
        <v>20</v>
      </c>
    </row>
    <row r="27" spans="1:31">
      <c r="A27" s="146" t="s">
        <v>396</v>
      </c>
      <c r="D27" s="8"/>
      <c r="E27" s="8"/>
      <c r="F27" s="32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420"/>
      <c r="AE27" s="306">
        <f t="shared" si="2"/>
        <v>21</v>
      </c>
    </row>
    <row r="28" spans="1:31">
      <c r="A28" s="139"/>
      <c r="B28" s="8" t="s">
        <v>248</v>
      </c>
      <c r="D28" s="8"/>
      <c r="E28" s="8"/>
      <c r="F28" s="896">
        <v>0</v>
      </c>
      <c r="G28" s="53">
        <f ca="1">SUM($G66:G66)</f>
        <v>10372.336370000001</v>
      </c>
      <c r="H28" s="53">
        <f ca="1">SUM($G66:H66)</f>
        <v>40000.000010000003</v>
      </c>
      <c r="I28" s="53">
        <f ca="1">SUM($G66:I66)</f>
        <v>60000.000010000003</v>
      </c>
      <c r="J28" s="53">
        <f ca="1">SUM($G66:J66)</f>
        <v>60000.000010000003</v>
      </c>
      <c r="K28" s="53">
        <f ca="1">SUM($G66:K66)</f>
        <v>60000.000010000003</v>
      </c>
      <c r="L28" s="53">
        <f ca="1">SUM($G66:L66)</f>
        <v>60000.000010000003</v>
      </c>
      <c r="M28" s="53">
        <f ca="1">SUM($G66:M66)</f>
        <v>60000.000010000003</v>
      </c>
      <c r="N28" s="53">
        <f ca="1">SUM($G66:N66)</f>
        <v>60000.000010000003</v>
      </c>
      <c r="O28" s="53">
        <f ca="1">SUM($G66:O66)</f>
        <v>60000.000010000003</v>
      </c>
      <c r="P28" s="53">
        <f ca="1">SUM($G66:P66)</f>
        <v>60000.000010000003</v>
      </c>
      <c r="Q28" s="53">
        <f ca="1">SUM($G66:Q66)</f>
        <v>60000.000010000003</v>
      </c>
      <c r="R28" s="53">
        <f ca="1">SUM($G66:R66)</f>
        <v>60000.000010000003</v>
      </c>
      <c r="S28" s="53">
        <f ca="1">SUM($G66:S66)</f>
        <v>60000.000010000003</v>
      </c>
      <c r="T28" s="53">
        <f ca="1">SUM($G66:T66)</f>
        <v>60000.000010000003</v>
      </c>
      <c r="U28" s="53">
        <f ca="1">SUM($G66:U66)</f>
        <v>60000.000010000003</v>
      </c>
      <c r="V28" s="53">
        <f ca="1">SUM($G66:V66)</f>
        <v>60000.000010000003</v>
      </c>
      <c r="W28" s="53">
        <f ca="1">SUM($G66:W66)</f>
        <v>60000.000010000003</v>
      </c>
      <c r="X28" s="53">
        <f ca="1">SUM($G66:X66)</f>
        <v>60000.000010000003</v>
      </c>
      <c r="Y28" s="53">
        <f ca="1">SUM($G66:Y66)</f>
        <v>60000.000010000003</v>
      </c>
      <c r="Z28" s="53">
        <f ca="1">SUM($G66:Z66)</f>
        <v>60000.000010000003</v>
      </c>
      <c r="AA28" s="53">
        <f ca="1">SUM($G66:AA66)</f>
        <v>60000.000010000003</v>
      </c>
      <c r="AB28" s="53">
        <f ca="1">SUM($G66:AB66)</f>
        <v>60000.000010000003</v>
      </c>
      <c r="AC28" s="420"/>
      <c r="AE28" s="306">
        <f t="shared" si="2"/>
        <v>22</v>
      </c>
    </row>
    <row r="29" spans="1:31">
      <c r="A29" s="139"/>
      <c r="B29" s="8" t="s">
        <v>403</v>
      </c>
      <c r="D29" s="8"/>
      <c r="E29" s="8"/>
      <c r="F29" s="896">
        <v>0</v>
      </c>
      <c r="G29" s="53">
        <f t="shared" ref="G29:AB29" ca="1" si="7">F29+G51</f>
        <v>0</v>
      </c>
      <c r="H29" s="53">
        <f t="shared" ca="1" si="7"/>
        <v>0</v>
      </c>
      <c r="I29" s="53">
        <f t="shared" ca="1" si="7"/>
        <v>0</v>
      </c>
      <c r="J29" s="53">
        <f t="shared" ca="1" si="7"/>
        <v>-1837.5089814171442</v>
      </c>
      <c r="K29" s="53">
        <f t="shared" ca="1" si="7"/>
        <v>-5423.9895819146077</v>
      </c>
      <c r="L29" s="53">
        <f t="shared" ca="1" si="7"/>
        <v>-9469.2440860203933</v>
      </c>
      <c r="M29" s="53">
        <f t="shared" ca="1" si="7"/>
        <v>-7582.8286810618229</v>
      </c>
      <c r="N29" s="53">
        <f t="shared" ca="1" si="7"/>
        <v>-4622.2120462053317</v>
      </c>
      <c r="O29" s="53">
        <f t="shared" ca="1" si="7"/>
        <v>2535.8438065244572</v>
      </c>
      <c r="P29" s="53">
        <f t="shared" ca="1" si="7"/>
        <v>10058.110043327557</v>
      </c>
      <c r="Q29" s="53">
        <f t="shared" ca="1" si="7"/>
        <v>18559.870952583966</v>
      </c>
      <c r="R29" s="53">
        <f t="shared" ca="1" si="7"/>
        <v>28638.09875903701</v>
      </c>
      <c r="S29" s="53">
        <f t="shared" ca="1" si="7"/>
        <v>39759.816446734723</v>
      </c>
      <c r="T29" s="53">
        <f t="shared" ca="1" si="7"/>
        <v>52165.114994937758</v>
      </c>
      <c r="U29" s="53">
        <f t="shared" ca="1" si="7"/>
        <v>66595.294577588938</v>
      </c>
      <c r="V29" s="53">
        <f t="shared" ca="1" si="7"/>
        <v>80554.988759729807</v>
      </c>
      <c r="W29" s="53">
        <f t="shared" ca="1" si="7"/>
        <v>97100.485158945085</v>
      </c>
      <c r="X29" s="53">
        <f t="shared" ca="1" si="7"/>
        <v>114984.23272004082</v>
      </c>
      <c r="Y29" s="53">
        <f t="shared" ca="1" si="7"/>
        <v>133805.92036371873</v>
      </c>
      <c r="Z29" s="53">
        <f t="shared" ca="1" si="7"/>
        <v>153434.40605532171</v>
      </c>
      <c r="AA29" s="53">
        <f t="shared" ca="1" si="7"/>
        <v>173937.30956711961</v>
      </c>
      <c r="AB29" s="53">
        <f t="shared" ca="1" si="7"/>
        <v>180781.27869458351</v>
      </c>
      <c r="AC29" s="420"/>
      <c r="AE29" s="306">
        <f t="shared" si="2"/>
        <v>23</v>
      </c>
    </row>
    <row r="30" spans="1:31">
      <c r="A30" s="139"/>
      <c r="B30" s="8" t="s">
        <v>567</v>
      </c>
      <c r="D30" s="8"/>
      <c r="E30" s="8"/>
      <c r="F30" s="897">
        <v>0</v>
      </c>
      <c r="G30" s="226">
        <f ca="1">SUM($G83:G83)</f>
        <v>0</v>
      </c>
      <c r="H30" s="226">
        <f ca="1">SUM($G83:H83)</f>
        <v>0</v>
      </c>
      <c r="I30" s="226">
        <f ca="1">SUM($G83:I83)</f>
        <v>0</v>
      </c>
      <c r="J30" s="226">
        <f ca="1">SUM($G83:J83)</f>
        <v>0</v>
      </c>
      <c r="K30" s="226">
        <f ca="1">SUM($G83:K83)</f>
        <v>-9.0949470177292824E-13</v>
      </c>
      <c r="L30" s="226">
        <f ca="1">SUM($G83:L83)</f>
        <v>-4.5474735088646412E-13</v>
      </c>
      <c r="M30" s="226">
        <f ca="1">SUM($G83:M83)</f>
        <v>4.5474735088646412E-13</v>
      </c>
      <c r="N30" s="226">
        <f ca="1">SUM($G83:N83)</f>
        <v>9.0949470177292824E-13</v>
      </c>
      <c r="O30" s="226">
        <f ca="1">SUM($G83:O83)</f>
        <v>-1922.3134119592869</v>
      </c>
      <c r="P30" s="226">
        <f ca="1">SUM($G83:P83)</f>
        <v>-9068.4663369222308</v>
      </c>
      <c r="Q30" s="226">
        <f ca="1">SUM($G83:Q83)</f>
        <v>-17145.139200715821</v>
      </c>
      <c r="R30" s="226">
        <f ca="1">SUM($G83:R83)</f>
        <v>-26719.455616846215</v>
      </c>
      <c r="S30" s="226">
        <f ca="1">SUM($G83:S83)</f>
        <v>-37285.087420159041</v>
      </c>
      <c r="T30" s="226">
        <f ca="1">SUM($G83:T83)</f>
        <v>-49070.121040951926</v>
      </c>
      <c r="U30" s="226">
        <f ca="1">SUM($G83:U83)</f>
        <v>-62778.791644470548</v>
      </c>
      <c r="V30" s="226">
        <f ca="1">SUM($G83:V83)</f>
        <v>-76040.501117504376</v>
      </c>
      <c r="W30" s="226">
        <f ca="1">SUM($G83:W83)</f>
        <v>-91758.722696758879</v>
      </c>
      <c r="X30" s="226">
        <f ca="1">SUM($G83:X83)</f>
        <v>-108748.28287979982</v>
      </c>
      <c r="Y30" s="226">
        <f ca="1">SUM($G83:Y83)</f>
        <v>-126628.88614129384</v>
      </c>
      <c r="Z30" s="226">
        <f ca="1">SUM($G83:Z83)</f>
        <v>-145275.94754831668</v>
      </c>
      <c r="AA30" s="226">
        <f ca="1">SUM($G83:AA83)</f>
        <v>-164753.70588452468</v>
      </c>
      <c r="AB30" s="226">
        <f ca="1">SUM($G83:AB83)</f>
        <v>-230039.04403677274</v>
      </c>
      <c r="AC30" s="420"/>
      <c r="AE30" s="306">
        <f t="shared" si="2"/>
        <v>24</v>
      </c>
    </row>
    <row r="31" spans="1:31">
      <c r="A31" s="139"/>
      <c r="B31" s="8" t="s">
        <v>397</v>
      </c>
      <c r="D31" s="8"/>
      <c r="E31" s="8"/>
      <c r="F31" s="53">
        <f t="shared" ref="F31:AB31" si="8">SUM(F28:F30)</f>
        <v>0</v>
      </c>
      <c r="G31" s="53">
        <f t="shared" ca="1" si="8"/>
        <v>10372.336370000001</v>
      </c>
      <c r="H31" s="53">
        <f t="shared" ca="1" si="8"/>
        <v>40000.000010000003</v>
      </c>
      <c r="I31" s="53">
        <f t="shared" ca="1" si="8"/>
        <v>60000.000010000003</v>
      </c>
      <c r="J31" s="53">
        <f t="shared" ca="1" si="8"/>
        <v>58162.491028582859</v>
      </c>
      <c r="K31" s="53">
        <f t="shared" ca="1" si="8"/>
        <v>54576.010428085399</v>
      </c>
      <c r="L31" s="53">
        <f t="shared" ca="1" si="8"/>
        <v>50530.75592397961</v>
      </c>
      <c r="M31" s="53">
        <f t="shared" ca="1" si="8"/>
        <v>52417.171328938181</v>
      </c>
      <c r="N31" s="53">
        <f t="shared" ca="1" si="8"/>
        <v>55377.787963794675</v>
      </c>
      <c r="O31" s="53">
        <f t="shared" ca="1" si="8"/>
        <v>60613.530404565172</v>
      </c>
      <c r="P31" s="53">
        <f t="shared" ca="1" si="8"/>
        <v>60989.643716405328</v>
      </c>
      <c r="Q31" s="53">
        <f t="shared" ca="1" si="8"/>
        <v>61414.731761868148</v>
      </c>
      <c r="R31" s="53">
        <f t="shared" ca="1" si="8"/>
        <v>61918.643152190794</v>
      </c>
      <c r="S31" s="53">
        <f t="shared" ca="1" si="8"/>
        <v>62474.729036575685</v>
      </c>
      <c r="T31" s="53">
        <f t="shared" ca="1" si="8"/>
        <v>63094.993963985835</v>
      </c>
      <c r="U31" s="53">
        <f t="shared" ca="1" si="8"/>
        <v>63816.502943118394</v>
      </c>
      <c r="V31" s="53">
        <f t="shared" ca="1" si="8"/>
        <v>64514.48765222542</v>
      </c>
      <c r="W31" s="53">
        <f t="shared" ca="1" si="8"/>
        <v>65341.762472186223</v>
      </c>
      <c r="X31" s="53">
        <f t="shared" ca="1" si="8"/>
        <v>66235.949850240999</v>
      </c>
      <c r="Y31" s="53">
        <f t="shared" ca="1" si="8"/>
        <v>67177.034232424878</v>
      </c>
      <c r="Z31" s="53">
        <f t="shared" ca="1" si="8"/>
        <v>68158.458517005027</v>
      </c>
      <c r="AA31" s="53">
        <f t="shared" ca="1" si="8"/>
        <v>69183.603692594916</v>
      </c>
      <c r="AB31" s="53">
        <f t="shared" ca="1" si="8"/>
        <v>10742.234667810786</v>
      </c>
      <c r="AC31" s="420"/>
      <c r="AE31" s="306">
        <f t="shared" si="2"/>
        <v>25</v>
      </c>
    </row>
    <row r="32" spans="1:31">
      <c r="A32" s="139"/>
      <c r="D32" s="8"/>
      <c r="E32" s="8"/>
      <c r="F32" s="32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420"/>
      <c r="AE32" s="306">
        <f t="shared" si="2"/>
        <v>26</v>
      </c>
    </row>
    <row r="33" spans="1:31">
      <c r="A33" s="139" t="s">
        <v>398</v>
      </c>
      <c r="D33" s="8"/>
      <c r="E33" s="8"/>
      <c r="F33" s="277">
        <f t="shared" ref="F33:AB33" si="9">SUM(F25,F31)</f>
        <v>0</v>
      </c>
      <c r="G33" s="277">
        <f t="shared" ca="1" si="9"/>
        <v>10372.336370000001</v>
      </c>
      <c r="H33" s="277">
        <f t="shared" ca="1" si="9"/>
        <v>84691.442009574253</v>
      </c>
      <c r="I33" s="277">
        <f t="shared" ca="1" si="9"/>
        <v>154426.94459009287</v>
      </c>
      <c r="J33" s="277">
        <f t="shared" ca="1" si="9"/>
        <v>154346.58353404704</v>
      </c>
      <c r="K33" s="277">
        <f t="shared" ca="1" si="9"/>
        <v>149243.77999123809</v>
      </c>
      <c r="L33" s="277">
        <f t="shared" ca="1" si="9"/>
        <v>142689.93036630843</v>
      </c>
      <c r="M33" s="277">
        <f t="shared" ca="1" si="9"/>
        <v>137740.20135814525</v>
      </c>
      <c r="N33" s="277">
        <f t="shared" ca="1" si="9"/>
        <v>132041.52557161741</v>
      </c>
      <c r="O33" s="277">
        <f t="shared" ca="1" si="9"/>
        <v>128307.91998729706</v>
      </c>
      <c r="P33" s="277">
        <f t="shared" ca="1" si="9"/>
        <v>120653.80969441315</v>
      </c>
      <c r="Q33" s="277">
        <f t="shared" ca="1" si="9"/>
        <v>115839.95344803628</v>
      </c>
      <c r="R33" s="277">
        <f t="shared" ca="1" si="9"/>
        <v>114091.4434379265</v>
      </c>
      <c r="S33" s="277">
        <f t="shared" ca="1" si="9"/>
        <v>112707.0235654023</v>
      </c>
      <c r="T33" s="277">
        <f t="shared" ca="1" si="9"/>
        <v>109082.76801616803</v>
      </c>
      <c r="U33" s="277">
        <f t="shared" ca="1" si="9"/>
        <v>99764.655244701149</v>
      </c>
      <c r="V33" s="277">
        <f t="shared" ca="1" si="9"/>
        <v>90823.054344886026</v>
      </c>
      <c r="W33" s="277">
        <f t="shared" ca="1" si="9"/>
        <v>81729.612189396852</v>
      </c>
      <c r="X33" s="277">
        <f t="shared" ca="1" si="9"/>
        <v>74954.989461916019</v>
      </c>
      <c r="Y33" s="277">
        <f t="shared" ca="1" si="9"/>
        <v>74093.449005392293</v>
      </c>
      <c r="Z33" s="277">
        <f t="shared" ca="1" si="9"/>
        <v>73272.248451264823</v>
      </c>
      <c r="AA33" s="277">
        <f t="shared" ca="1" si="9"/>
        <v>72494.768788147092</v>
      </c>
      <c r="AB33" s="277">
        <f t="shared" ca="1" si="9"/>
        <v>13452.524817127098</v>
      </c>
      <c r="AC33" s="420"/>
      <c r="AE33" s="306">
        <f t="shared" si="2"/>
        <v>27</v>
      </c>
    </row>
    <row r="34" spans="1:31">
      <c r="A34" s="139"/>
      <c r="D34" s="8"/>
      <c r="E34" s="8"/>
      <c r="F34" s="32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420"/>
      <c r="AE34" s="306">
        <f t="shared" si="2"/>
        <v>28</v>
      </c>
    </row>
    <row r="35" spans="1:31">
      <c r="A35" s="998" t="s">
        <v>249</v>
      </c>
      <c r="B35" s="627"/>
      <c r="C35" s="627"/>
      <c r="D35" s="627"/>
      <c r="E35" s="627"/>
      <c r="F35" s="628">
        <f t="shared" ref="F35:AB35" si="10">F18-F33</f>
        <v>0</v>
      </c>
      <c r="G35" s="628">
        <f t="shared" ca="1" si="10"/>
        <v>0</v>
      </c>
      <c r="H35" s="628">
        <f t="shared" ca="1" si="10"/>
        <v>0</v>
      </c>
      <c r="I35" s="628">
        <f t="shared" ca="1" si="10"/>
        <v>0</v>
      </c>
      <c r="J35" s="628">
        <f t="shared" ca="1" si="10"/>
        <v>0</v>
      </c>
      <c r="K35" s="628">
        <f t="shared" ca="1" si="10"/>
        <v>0</v>
      </c>
      <c r="L35" s="628">
        <f t="shared" ca="1" si="10"/>
        <v>0</v>
      </c>
      <c r="M35" s="628">
        <f t="shared" ca="1" si="10"/>
        <v>0</v>
      </c>
      <c r="N35" s="628">
        <f t="shared" ca="1" si="10"/>
        <v>0</v>
      </c>
      <c r="O35" s="628">
        <f t="shared" ca="1" si="10"/>
        <v>0</v>
      </c>
      <c r="P35" s="628">
        <f t="shared" ca="1" si="10"/>
        <v>0</v>
      </c>
      <c r="Q35" s="628">
        <f t="shared" ca="1" si="10"/>
        <v>0</v>
      </c>
      <c r="R35" s="628">
        <f t="shared" ca="1" si="10"/>
        <v>0</v>
      </c>
      <c r="S35" s="628">
        <f t="shared" ca="1" si="10"/>
        <v>0</v>
      </c>
      <c r="T35" s="628">
        <f t="shared" ca="1" si="10"/>
        <v>0</v>
      </c>
      <c r="U35" s="628">
        <f t="shared" ca="1" si="10"/>
        <v>0</v>
      </c>
      <c r="V35" s="628">
        <f t="shared" ca="1" si="10"/>
        <v>0</v>
      </c>
      <c r="W35" s="628">
        <f t="shared" ca="1" si="10"/>
        <v>0</v>
      </c>
      <c r="X35" s="628">
        <f t="shared" ca="1" si="10"/>
        <v>0</v>
      </c>
      <c r="Y35" s="628">
        <f t="shared" ca="1" si="10"/>
        <v>0</v>
      </c>
      <c r="Z35" s="628">
        <f t="shared" ca="1" si="10"/>
        <v>0</v>
      </c>
      <c r="AA35" s="628">
        <f t="shared" ca="1" si="10"/>
        <v>0</v>
      </c>
      <c r="AB35" s="628">
        <f t="shared" ca="1" si="10"/>
        <v>0</v>
      </c>
      <c r="AC35" s="629">
        <f ca="1">SUM(F35:AB35)</f>
        <v>0</v>
      </c>
      <c r="AE35" s="306">
        <f t="shared" si="2"/>
        <v>29</v>
      </c>
    </row>
    <row r="36" spans="1:31">
      <c r="A36" s="139"/>
      <c r="D36" s="8"/>
      <c r="E36" s="8"/>
      <c r="F36" s="8"/>
      <c r="G36" s="27"/>
      <c r="H36" s="8"/>
      <c r="I36" s="8"/>
      <c r="J36" s="2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416"/>
    </row>
    <row r="37" spans="1:31" s="8" customFormat="1" ht="13.5" thickBot="1">
      <c r="A37" s="495" t="s">
        <v>250</v>
      </c>
      <c r="B37" s="327"/>
      <c r="C37" s="327"/>
      <c r="D37" s="76"/>
      <c r="E37" s="76"/>
      <c r="F37" s="76"/>
      <c r="G37" s="79">
        <f>G$7</f>
        <v>1998</v>
      </c>
      <c r="H37" s="79">
        <f t="shared" ref="H37:AC37" si="11">H$7</f>
        <v>1999</v>
      </c>
      <c r="I37" s="79">
        <f t="shared" si="11"/>
        <v>2000</v>
      </c>
      <c r="J37" s="79">
        <f t="shared" si="11"/>
        <v>2001</v>
      </c>
      <c r="K37" s="79">
        <f t="shared" si="11"/>
        <v>2002</v>
      </c>
      <c r="L37" s="79">
        <f t="shared" si="11"/>
        <v>2003</v>
      </c>
      <c r="M37" s="79">
        <f t="shared" si="11"/>
        <v>2004</v>
      </c>
      <c r="N37" s="79">
        <f t="shared" si="11"/>
        <v>2005</v>
      </c>
      <c r="O37" s="79">
        <f t="shared" si="11"/>
        <v>2006</v>
      </c>
      <c r="P37" s="79">
        <f t="shared" si="11"/>
        <v>2007</v>
      </c>
      <c r="Q37" s="79">
        <f t="shared" si="11"/>
        <v>2008</v>
      </c>
      <c r="R37" s="79">
        <f t="shared" si="11"/>
        <v>2009</v>
      </c>
      <c r="S37" s="79">
        <f t="shared" si="11"/>
        <v>2010</v>
      </c>
      <c r="T37" s="79">
        <f t="shared" si="11"/>
        <v>2011</v>
      </c>
      <c r="U37" s="79">
        <f t="shared" si="11"/>
        <v>2012</v>
      </c>
      <c r="V37" s="79">
        <f t="shared" si="11"/>
        <v>2013</v>
      </c>
      <c r="W37" s="79">
        <f t="shared" si="11"/>
        <v>2014</v>
      </c>
      <c r="X37" s="79">
        <f t="shared" si="11"/>
        <v>2015</v>
      </c>
      <c r="Y37" s="79">
        <f t="shared" si="11"/>
        <v>2016</v>
      </c>
      <c r="Z37" s="79">
        <f t="shared" si="11"/>
        <v>2017</v>
      </c>
      <c r="AA37" s="79">
        <f t="shared" si="11"/>
        <v>2018</v>
      </c>
      <c r="AB37" s="79">
        <f t="shared" si="11"/>
        <v>2019</v>
      </c>
      <c r="AC37" s="414" t="str">
        <f t="shared" si="11"/>
        <v>Totals</v>
      </c>
    </row>
    <row r="38" spans="1:31">
      <c r="A38" s="411" t="s">
        <v>400</v>
      </c>
      <c r="D38" s="8"/>
      <c r="E38" s="8"/>
      <c r="F38" s="8"/>
      <c r="G38" s="53">
        <f ca="1">IF(G$37&lt;YEAR(Startops1),0,HLOOKUP(G$37,CF_Table,CF!$AB$18))</f>
        <v>0</v>
      </c>
      <c r="H38" s="53">
        <f ca="1">IF(H$37&lt;YEAR(Startops1),0,HLOOKUP(H$37,CF_Table,CF!$AB$18))</f>
        <v>0</v>
      </c>
      <c r="I38" s="53">
        <f ca="1">IF(I$37&lt;YEAR(Startops1),0,HLOOKUP(I$37,CF_Table,CF!$AB$18))</f>
        <v>0</v>
      </c>
      <c r="J38" s="53">
        <f ca="1">IF(J$37&lt;YEAR(Startops1),0,HLOOKUP(J$37,CF_Table,CF!$AB$18))</f>
        <v>14282.925136278027</v>
      </c>
      <c r="K38" s="1321">
        <f ca="1">IF(K$37&lt;YEAR(Startops1),0,HLOOKUP(K$37,CF_Table,CF!$AB$18))</f>
        <v>24055.05101070087</v>
      </c>
      <c r="L38" s="53">
        <f ca="1">IF(L$37&lt;YEAR(Startops1),0,HLOOKUP(L$37,CF_Table,CF!$AB$18))</f>
        <v>24793.36661323718</v>
      </c>
      <c r="M38" s="53">
        <f ca="1">IF(M$37&lt;YEAR(Startops1),0,HLOOKUP(M$37,CF_Table,CF!$AB$18))</f>
        <v>25593.329628871357</v>
      </c>
      <c r="N38" s="53">
        <f ca="1">IF(N$37&lt;YEAR(Startops1),0,HLOOKUP(N$37,CF_Table,CF!$AB$18))</f>
        <v>26258.924245431124</v>
      </c>
      <c r="O38" s="53">
        <f ca="1">IF(O$37&lt;YEAR(Startops1),0,HLOOKUP(O$37,CF_Table,CF!$AB$18))</f>
        <v>26998.838079134002</v>
      </c>
      <c r="P38" s="53">
        <f ca="1">IF(P$37&lt;YEAR(Startops1),0,HLOOKUP(P$37,CF_Table,CF!$AB$18))</f>
        <v>27742.812098795694</v>
      </c>
      <c r="Q38" s="53">
        <f ca="1">IF(Q$37&lt;YEAR(Startops1),0,HLOOKUP(Q$37,CF_Table,CF!$AB$18))</f>
        <v>28566.99450136954</v>
      </c>
      <c r="R38" s="53">
        <f ca="1">IF(R$37&lt;YEAR(Startops1),0,HLOOKUP(R$37,CF_Table,CF!$AB$18))</f>
        <v>29243.222568026747</v>
      </c>
      <c r="S38" s="53">
        <f ca="1">IF(S$37&lt;YEAR(Startops1),0,HLOOKUP(S$37,CF_Table,CF!$AB$18))</f>
        <v>30002.951649161452</v>
      </c>
      <c r="T38" s="53">
        <f ca="1">IF(T$37&lt;YEAR(Startops1),0,HLOOKUP(T$37,CF_Table,CF!$AB$18))</f>
        <v>30770.855661206879</v>
      </c>
      <c r="U38" s="53">
        <f ca="1">IF(U$37&lt;YEAR(Startops1),0,HLOOKUP(U$37,CF_Table,CF!$AB$18))</f>
        <v>31634.35592757594</v>
      </c>
      <c r="V38" s="53">
        <f ca="1">IF(V$37&lt;YEAR(Startops1),0,HLOOKUP(V$37,CF_Table,CF!$AB$18))</f>
        <v>32342.551229746583</v>
      </c>
      <c r="W38" s="53">
        <f ca="1">IF(W$37&lt;YEAR(Startops1),0,HLOOKUP(W$37,CF_Table,CF!$AB$18))</f>
        <v>33158.156039656191</v>
      </c>
      <c r="X38" s="53">
        <f ca="1">IF(X$37&lt;YEAR(Startops1),0,HLOOKUP(X$37,CF_Table,CF!$AB$18))</f>
        <v>34004.389875094806</v>
      </c>
      <c r="Y38" s="53">
        <f ca="1">IF(Y$37&lt;YEAR(Startops1),0,HLOOKUP(Y$37,CF_Table,CF!$AB$18))</f>
        <v>34980.252818087909</v>
      </c>
      <c r="Z38" s="53">
        <f ca="1">IF(Z$37&lt;YEAR(Startops1),0,HLOOKUP(Z$37,CF_Table,CF!$AB$18))</f>
        <v>35807.909346175526</v>
      </c>
      <c r="AA38" s="53">
        <f ca="1">IF(AA$37&lt;YEAR(Startops1),0,HLOOKUP(AA$37,CF_Table,CF!$AB$18))</f>
        <v>36770.404189155677</v>
      </c>
      <c r="AB38" s="53">
        <f ca="1">IF(AB$37&lt;YEAR(Startops1),0,HLOOKUP(AB$37,CF_Table,CF!$AB$18))</f>
        <v>12194.385801560777</v>
      </c>
      <c r="AC38" s="420">
        <f ca="1">SUM(G38:AB38)</f>
        <v>539201.67641926638</v>
      </c>
    </row>
    <row r="39" spans="1:31">
      <c r="A39" s="139" t="s">
        <v>571</v>
      </c>
      <c r="D39" s="8"/>
      <c r="E39" s="8"/>
      <c r="F39" s="8"/>
      <c r="G39" s="53">
        <f ca="1">IF(G$37&lt;YEAR(Startops1),0,-HLOOKUP(G$37,CF_Table,CF!$AB$35))</f>
        <v>0</v>
      </c>
      <c r="H39" s="53">
        <f ca="1">IF(H$37&lt;YEAR(Startops1),0,-HLOOKUP(H$37,CF_Table,CF!$AB$35))</f>
        <v>0</v>
      </c>
      <c r="I39" s="53">
        <f ca="1">IF(I$37&lt;YEAR(Startops1),0,-HLOOKUP(I$37,CF_Table,CF!$AB$35))</f>
        <v>0</v>
      </c>
      <c r="J39" s="53">
        <f ca="1">IF(J$37&lt;YEAR(Startops1),0,-HLOOKUP(J$37,CF_Table,CF!$AB$35))</f>
        <v>-2921.7389909554818</v>
      </c>
      <c r="K39" s="1321">
        <f ca="1">IF(K$37&lt;YEAR(Startops1),0,-HLOOKUP(K$37,CF_Table,CF!$AB$35))</f>
        <v>-3916.8636877822109</v>
      </c>
      <c r="L39" s="53">
        <f ca="1">IF(L$37&lt;YEAR(Startops1),0,-HLOOKUP(L$37,CF_Table,CF!$AB$35))</f>
        <v>-5556.7985918438708</v>
      </c>
      <c r="M39" s="53">
        <f ca="1">IF(M$37&lt;YEAR(Startops1),0,-HLOOKUP(M$37,CF_Table,CF!$AB$35))</f>
        <v>-4688.3281276281905</v>
      </c>
      <c r="N39" s="53">
        <f ca="1">IF(N$37&lt;YEAR(Startops1),0,-HLOOKUP(N$37,CF_Table,CF!$AB$35))</f>
        <v>-4175.4167512163713</v>
      </c>
      <c r="O39" s="53">
        <f ca="1">IF(O$37&lt;YEAR(Startops1),0,-HLOOKUP(O$37,CF_Table,CF!$AB$35))</f>
        <v>-4434.0261507352579</v>
      </c>
      <c r="P39" s="53">
        <f ca="1">IF(P$37&lt;YEAR(Startops1),0,-HLOOKUP(P$37,CF_Table,CF!$AB$35))</f>
        <v>-4449.2335813117206</v>
      </c>
      <c r="Q39" s="53">
        <f ca="1">IF(Q$37&lt;YEAR(Startops1),0,-HLOOKUP(Q$37,CF_Table,CF!$AB$35))</f>
        <v>-5178.0104780268339</v>
      </c>
      <c r="R39" s="53">
        <f ca="1">IF(R$37&lt;YEAR(Startops1),0,-HLOOKUP(R$37,CF_Table,CF!$AB$35))</f>
        <v>-4647.4538864570914</v>
      </c>
      <c r="S39" s="53">
        <f ca="1">IF(S$37&lt;YEAR(Startops1),0,-HLOOKUP(S$37,CF_Table,CF!$AB$35))</f>
        <v>-4920.6352697057409</v>
      </c>
      <c r="T39" s="53">
        <f ca="1">IF(T$37&lt;YEAR(Startops1),0,-HLOOKUP(T$37,CF_Table,CF!$AB$35))</f>
        <v>-4889.3160210198694</v>
      </c>
      <c r="U39" s="53">
        <f ca="1">IF(U$37&lt;YEAR(Startops1),0,-HLOOKUP(U$37,CF_Table,CF!$AB$35))</f>
        <v>-4067.0761338197508</v>
      </c>
      <c r="V39" s="53">
        <f ca="1">IF(V$37&lt;YEAR(Startops1),0,-HLOOKUP(V$37,CF_Table,CF!$AB$35))</f>
        <v>-6314.6856331596009</v>
      </c>
      <c r="W39" s="53">
        <f ca="1">IF(W$37&lt;YEAR(Startops1),0,-HLOOKUP(W$37,CF_Table,CF!$AB$35))</f>
        <v>-4447.2943387838905</v>
      </c>
      <c r="X39" s="53">
        <f ca="1">IF(X$37&lt;YEAR(Startops1),0,-HLOOKUP(X$37,CF_Table,CF!$AB$35))</f>
        <v>-4383.1835555841053</v>
      </c>
      <c r="Y39" s="53">
        <f ca="1">IF(Y$37&lt;YEAR(Startops1),0,-HLOOKUP(Y$37,CF_Table,CF!$AB$35))</f>
        <v>-4547.5432781212694</v>
      </c>
      <c r="Z39" s="53">
        <f ca="1">IF(Z$37&lt;YEAR(Startops1),0,-HLOOKUP(Z$37,CF_Table,CF!$AB$35))</f>
        <v>-4616.9170205574701</v>
      </c>
      <c r="AA39" s="53">
        <f ca="1">IF(AA$37&lt;YEAR(Startops1),0,-HLOOKUP(AA$37,CF_Table,CF!$AB$35))</f>
        <v>-4732.9863766462277</v>
      </c>
      <c r="AB39" s="53">
        <f ca="1">IF(AB$37&lt;YEAR(Startops1),0,-HLOOKUP(AB$37,CF_Table,CF!$AB$35))</f>
        <v>-1609.5729164333754</v>
      </c>
      <c r="AC39" s="420">
        <f ca="1">SUM(G39:AB39)</f>
        <v>-84497.080789788335</v>
      </c>
      <c r="AD39" s="29"/>
    </row>
    <row r="40" spans="1:31">
      <c r="A40" s="139" t="s">
        <v>569</v>
      </c>
      <c r="D40" s="8"/>
      <c r="E40" s="8"/>
      <c r="F40" s="8"/>
      <c r="G40" s="226">
        <f ca="1">IF(G$37&lt;YEAR(Startops1),0,HLOOKUP(G$37,CF_Table,CF!$AB$44))</f>
        <v>0</v>
      </c>
      <c r="H40" s="226">
        <f ca="1">IF(H$37&lt;YEAR(Startops1),0,HLOOKUP(H$37,CF_Table,CF!$AB$44))</f>
        <v>0</v>
      </c>
      <c r="I40" s="226">
        <f ca="1">IF(I$37&lt;YEAR(Startops1),0,HLOOKUP(I$37,CF_Table,CF!$AB$44))</f>
        <v>0</v>
      </c>
      <c r="J40" s="226">
        <f ca="1">IF(J$37&lt;YEAR(Startops1),0,HLOOKUP(J$37,CF_Table,CF!$AB$44))</f>
        <v>-2756.9898472661021</v>
      </c>
      <c r="K40" s="1355">
        <f ca="1">IF(K$37&lt;YEAR(Startops1),0,HLOOKUP(K$37,CF_Table,CF!$AB$44))</f>
        <v>-5917.2492777566949</v>
      </c>
      <c r="L40" s="226">
        <f ca="1">IF(L$37&lt;YEAR(Startops1),0,HLOOKUP(L$37,CF_Table,CF!$AB$44))</f>
        <v>-5670.9270217506373</v>
      </c>
      <c r="M40" s="226">
        <f ca="1">IF(M$37&lt;YEAR(Startops1),0,HLOOKUP(M$37,CF_Table,CF!$AB$44))</f>
        <v>-1805.5702482188422</v>
      </c>
      <c r="N40" s="226">
        <f ca="1">IF(N$37&lt;YEAR(Startops1),0,HLOOKUP(N$37,CF_Table,CF!$AB$44))</f>
        <v>-2703.8926462740737</v>
      </c>
      <c r="O40" s="226">
        <f ca="1">IF(O$37&lt;YEAR(Startops1),0,HLOOKUP(O$37,CF_Table,CF!$AB$44))</f>
        <v>872.33725705645702</v>
      </c>
      <c r="P40" s="226">
        <f ca="1">IF(P$37&lt;YEAR(Startops1),0,HLOOKUP(P$37,CF_Table,CF!$AB$44))</f>
        <v>1051.1291496168919</v>
      </c>
      <c r="Q40" s="226">
        <f ca="1">IF(Q$37&lt;YEAR(Startops1),0,HLOOKUP(Q$37,CF_Table,CF!$AB$44))</f>
        <v>1096.5040691166323</v>
      </c>
      <c r="R40" s="226">
        <f ca="1">IF(R$37&lt;YEAR(Startops1),0,HLOOKUP(R$37,CF_Table,CF!$AB$44))</f>
        <v>1234.3847334620327</v>
      </c>
      <c r="S40" s="226">
        <f ca="1">IF(S$37&lt;YEAR(Startops1),0,HLOOKUP(S$37,CF_Table,CF!$AB$44))</f>
        <v>1514.8392421751762</v>
      </c>
      <c r="T40" s="226">
        <f ca="1">IF(T$37&lt;YEAR(Startops1),0,HLOOKUP(T$37,CF_Table,CF!$AB$44))</f>
        <v>1797.9188945391813</v>
      </c>
      <c r="U40" s="226">
        <f ca="1">IF(U$37&lt;YEAR(Startops1),0,HLOOKUP(U$37,CF_Table,CF!$AB$44))</f>
        <v>1971.5796949048558</v>
      </c>
      <c r="V40" s="226">
        <f ca="1">IF(V$37&lt;YEAR(Startops1),0,HLOOKUP(V$37,CF_Table,CF!$AB$44))</f>
        <v>1982.3653121648638</v>
      </c>
      <c r="W40" s="226">
        <f ca="1">IF(W$37&lt;YEAR(Startops1),0,HLOOKUP(W$37,CF_Table,CF!$AB$44))</f>
        <v>1884.2561165114523</v>
      </c>
      <c r="X40" s="226">
        <f ca="1">IF(X$37&lt;YEAR(Startops1),0,HLOOKUP(X$37,CF_Table,CF!$AB$44))</f>
        <v>1837.3609431021268</v>
      </c>
      <c r="Y40" s="226">
        <f ca="1">IF(Y$37&lt;YEAR(Startops1),0,HLOOKUP(Y$37,CF_Table,CF!$AB$44))</f>
        <v>1873.3733397677049</v>
      </c>
      <c r="Z40" s="226">
        <f ca="1">IF(Z$37&lt;YEAR(Startops1),0,HLOOKUP(Z$37,CF_Table,CF!$AB$44))</f>
        <v>2190.8212846830415</v>
      </c>
      <c r="AA40" s="226">
        <f ca="1">IF(AA$37&lt;YEAR(Startops1),0,HLOOKUP(AA$37,CF_Table,CF!$AB$44))</f>
        <v>2510.2862247181911</v>
      </c>
      <c r="AB40" s="226">
        <f ca="1">IF(AB$37&lt;YEAR(Startops1),0,HLOOKUP(AB$37,CF_Table,CF!$AB$44))</f>
        <v>943.97906976794263</v>
      </c>
      <c r="AC40" s="421">
        <f ca="1">SUM(G40:AB40)</f>
        <v>3906.5062903202006</v>
      </c>
      <c r="AD40" s="26"/>
    </row>
    <row r="41" spans="1:31">
      <c r="A41" s="139" t="s">
        <v>570</v>
      </c>
      <c r="D41" s="8"/>
      <c r="E41" s="8"/>
      <c r="F41" s="8"/>
      <c r="G41" s="53">
        <f ca="1">SUM(G38:G40)</f>
        <v>0</v>
      </c>
      <c r="H41" s="53">
        <f t="shared" ref="H41:AB41" ca="1" si="12">SUM(H38:H40)</f>
        <v>0</v>
      </c>
      <c r="I41" s="53">
        <f t="shared" ca="1" si="12"/>
        <v>0</v>
      </c>
      <c r="J41" s="53">
        <f t="shared" ca="1" si="12"/>
        <v>8604.1962980564422</v>
      </c>
      <c r="K41" s="1321">
        <f ca="1">SUM(K38:K40)</f>
        <v>14220.938045161965</v>
      </c>
      <c r="L41" s="53">
        <f t="shared" ca="1" si="12"/>
        <v>13565.64099964267</v>
      </c>
      <c r="M41" s="53">
        <f t="shared" ca="1" si="12"/>
        <v>19099.431253024326</v>
      </c>
      <c r="N41" s="53">
        <f t="shared" ca="1" si="12"/>
        <v>19379.61484794068</v>
      </c>
      <c r="O41" s="53">
        <f t="shared" ca="1" si="12"/>
        <v>23437.1491854552</v>
      </c>
      <c r="P41" s="53">
        <f t="shared" ca="1" si="12"/>
        <v>24344.707667100865</v>
      </c>
      <c r="Q41" s="53">
        <f t="shared" ca="1" si="12"/>
        <v>24485.488092459338</v>
      </c>
      <c r="R41" s="53">
        <f t="shared" ca="1" si="12"/>
        <v>25830.153415031691</v>
      </c>
      <c r="S41" s="53">
        <f t="shared" ca="1" si="12"/>
        <v>26597.155621630889</v>
      </c>
      <c r="T41" s="53">
        <f t="shared" ca="1" si="12"/>
        <v>27679.458534726189</v>
      </c>
      <c r="U41" s="53">
        <f t="shared" ca="1" si="12"/>
        <v>29538.859488661044</v>
      </c>
      <c r="V41" s="53">
        <f t="shared" ca="1" si="12"/>
        <v>28010.230908751848</v>
      </c>
      <c r="W41" s="53">
        <f t="shared" ca="1" si="12"/>
        <v>30595.117817383754</v>
      </c>
      <c r="X41" s="53">
        <f t="shared" ca="1" si="12"/>
        <v>31458.567262612829</v>
      </c>
      <c r="Y41" s="53">
        <f t="shared" ca="1" si="12"/>
        <v>32306.082879734346</v>
      </c>
      <c r="Z41" s="53">
        <f t="shared" ca="1" si="12"/>
        <v>33381.813610301098</v>
      </c>
      <c r="AA41" s="53">
        <f t="shared" ca="1" si="12"/>
        <v>34547.704037227639</v>
      </c>
      <c r="AB41" s="53">
        <f t="shared" ca="1" si="12"/>
        <v>11528.791954895343</v>
      </c>
      <c r="AC41" s="420">
        <f ca="1">SUM(G41:AB41)</f>
        <v>458611.10191979818</v>
      </c>
      <c r="AD41" s="26"/>
    </row>
    <row r="42" spans="1:31">
      <c r="A42" s="139"/>
      <c r="D42" s="8"/>
      <c r="E42" s="8"/>
      <c r="F42" s="8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420" t="s">
        <v>93</v>
      </c>
    </row>
    <row r="43" spans="1:31">
      <c r="A43" s="139" t="s">
        <v>56</v>
      </c>
      <c r="D43" s="8"/>
      <c r="E43" s="8"/>
      <c r="F43" s="8"/>
      <c r="G43" s="53">
        <f ca="1">IF(G$37&lt;YEAR(Startops1),0,HLOOKUP(G$37,CF_Table,CF!$AB$47))</f>
        <v>0</v>
      </c>
      <c r="H43" s="53">
        <f ca="1">IF(H$37&lt;YEAR(Startops1),0,HLOOKUP(H$37,CF_Table,CF!$AB$47))</f>
        <v>0</v>
      </c>
      <c r="I43" s="53">
        <f ca="1">IF(I$37&lt;YEAR(Startops1),0,HLOOKUP(I$37,CF_Table,CF!$AB$47))</f>
        <v>0</v>
      </c>
      <c r="J43" s="53">
        <f ca="1">IF(J$37&lt;YEAR(Startops1),0,HLOOKUP(J$37,CF_Table,CF!$AB$47))</f>
        <v>-6008.749462358709</v>
      </c>
      <c r="K43" s="53">
        <f ca="1">IF(K$37&lt;YEAR(Startops1),0,HLOOKUP(K$37,CF_Table,CF!$AB$47))</f>
        <v>-7210.499354830451</v>
      </c>
      <c r="L43" s="53">
        <f ca="1">IF(L$37&lt;YEAR(Startops1),0,HLOOKUP(L$37,CF_Table,CF!$AB$47))</f>
        <v>-7210.499354830451</v>
      </c>
      <c r="M43" s="53">
        <f ca="1">IF(M$37&lt;YEAR(Startops1),0,HLOOKUP(M$37,CF_Table,CF!$AB$47))</f>
        <v>-7210.499354830451</v>
      </c>
      <c r="N43" s="53">
        <f ca="1">IF(N$37&lt;YEAR(Startops1),0,HLOOKUP(N$37,CF_Table,CF!$AB$47))</f>
        <v>-7210.499354830451</v>
      </c>
      <c r="O43" s="53">
        <f ca="1">IF(O$37&lt;YEAR(Startops1),0,HLOOKUP(O$37,CF_Table,CF!$AB$47))</f>
        <v>-7210.499354830451</v>
      </c>
      <c r="P43" s="53">
        <f ca="1">IF(P$37&lt;YEAR(Startops1),0,HLOOKUP(P$37,CF_Table,CF!$AB$47))</f>
        <v>-7210.499354830451</v>
      </c>
      <c r="Q43" s="53">
        <f ca="1">IF(Q$37&lt;YEAR(Startops1),0,HLOOKUP(Q$37,CF_Table,CF!$AB$47))</f>
        <v>-7210.499354830451</v>
      </c>
      <c r="R43" s="53">
        <f ca="1">IF(R$37&lt;YEAR(Startops1),0,HLOOKUP(R$37,CF_Table,CF!$AB$47))</f>
        <v>-7210.499354830451</v>
      </c>
      <c r="S43" s="53">
        <f ca="1">IF(S$37&lt;YEAR(Startops1),0,HLOOKUP(S$37,CF_Table,CF!$AB$47))</f>
        <v>-7210.499354830451</v>
      </c>
      <c r="T43" s="53">
        <f ca="1">IF(T$37&lt;YEAR(Startops1),0,HLOOKUP(T$37,CF_Table,CF!$AB$47))</f>
        <v>-7210.499354830451</v>
      </c>
      <c r="U43" s="53">
        <f ca="1">IF(U$37&lt;YEAR(Startops1),0,HLOOKUP(U$37,CF_Table,CF!$AB$47))</f>
        <v>-7210.499354830451</v>
      </c>
      <c r="V43" s="53">
        <f ca="1">IF(V$37&lt;YEAR(Startops1),0,HLOOKUP(V$37,CF_Table,CF!$AB$47))</f>
        <v>-7210.499354830451</v>
      </c>
      <c r="W43" s="53">
        <f ca="1">IF(W$37&lt;YEAR(Startops1),0,HLOOKUP(W$37,CF_Table,CF!$AB$47))</f>
        <v>-7210.499354830451</v>
      </c>
      <c r="X43" s="53">
        <f ca="1">IF(X$37&lt;YEAR(Startops1),0,HLOOKUP(X$37,CF_Table,CF!$AB$47))</f>
        <v>-7210.499354830451</v>
      </c>
      <c r="Y43" s="53">
        <f ca="1">IF(Y$37&lt;YEAR(Startops1),0,HLOOKUP(Y$37,CF_Table,CF!$AB$47))</f>
        <v>-7210.499354830451</v>
      </c>
      <c r="Z43" s="53">
        <f ca="1">IF(Z$37&lt;YEAR(Startops1),0,HLOOKUP(Z$37,CF_Table,CF!$AB$47))</f>
        <v>-7210.499354830451</v>
      </c>
      <c r="AA43" s="53">
        <f ca="1">IF(AA$37&lt;YEAR(Startops1),0,HLOOKUP(AA$37,CF_Table,CF!$AB$47))</f>
        <v>-7210.499354830451</v>
      </c>
      <c r="AB43" s="53">
        <f ca="1">IF(AB$37&lt;YEAR(Startops1),0,HLOOKUP(AB$37,CF_Table,CF!$AB$47))</f>
        <v>-2403.4997849434835</v>
      </c>
      <c r="AC43" s="420">
        <f ca="1">SUM(G43:AB43)</f>
        <v>-130990.73827941983</v>
      </c>
    </row>
    <row r="44" spans="1:31">
      <c r="A44" s="139" t="s">
        <v>1152</v>
      </c>
      <c r="D44" s="8"/>
      <c r="E44" s="8"/>
      <c r="F44" s="8"/>
      <c r="G44" s="53">
        <f ca="1">IF(G$37&lt;YEAR(Startops1),0,HLOOKUP(G$37,CF_Table,CF!$AB$50))</f>
        <v>0</v>
      </c>
      <c r="H44" s="53">
        <f ca="1">IF(H$37&lt;YEAR(Startops1),0,HLOOKUP(H$37,CF_Table,CF!$AB$50))</f>
        <v>0</v>
      </c>
      <c r="I44" s="53">
        <f ca="1">IF(I$37&lt;YEAR(Startops1),0,HLOOKUP(I$37,CF_Table,CF!$AB$50))</f>
        <v>0</v>
      </c>
      <c r="J44" s="53">
        <f ca="1">IF(J$37&lt;YEAR(Startops1),0,HLOOKUP(J$37,CF_Table,CF!$AB$50))</f>
        <v>-4298.9671464881521</v>
      </c>
      <c r="K44" s="53">
        <f ca="1">IF(K$37&lt;YEAR(Startops1),0,HLOOKUP(K$37,CF_Table,CF!$AB$50))</f>
        <v>-10278.834132082155</v>
      </c>
      <c r="L44" s="53">
        <f ca="1">IF(L$37&lt;YEAR(Startops1),0,HLOOKUP(L$37,CF_Table,CF!$AB$50))</f>
        <v>-10097.18311772179</v>
      </c>
      <c r="M44" s="53">
        <f ca="1">IF(M$37&lt;YEAR(Startops1),0,HLOOKUP(M$37,CF_Table,CF!$AB$50))</f>
        <v>-9716.1718009101805</v>
      </c>
      <c r="N44" s="53">
        <f ca="1">IF(N$37&lt;YEAR(Startops1),0,HLOOKUP(N$37,CF_Table,CF!$AB$50))</f>
        <v>-8941.2866575846747</v>
      </c>
      <c r="O44" s="53">
        <f ca="1">IF(O$37&lt;YEAR(Startops1),0,HLOOKUP(O$37,CF_Table,CF!$AB$50))</f>
        <v>-7982.2263920456498</v>
      </c>
      <c r="P44" s="53">
        <f ca="1">IF(P$37&lt;YEAR(Startops1),0,HLOOKUP(P$37,CF_Table,CF!$AB$50))</f>
        <v>-6883.6216529316207</v>
      </c>
      <c r="Q44" s="53">
        <f ca="1">IF(Q$37&lt;YEAR(Startops1),0,HLOOKUP(Q$37,CF_Table,CF!$AB$50))</f>
        <v>-5746.3262094991969</v>
      </c>
      <c r="R44" s="53">
        <f ca="1">IF(R$37&lt;YEAR(Startops1),0,HLOOKUP(R$37,CF_Table,CF!$AB$50))</f>
        <v>-5020.6998600144798</v>
      </c>
      <c r="S44" s="53">
        <f ca="1">IF(S$37&lt;YEAR(Startops1),0,HLOOKUP(S$37,CF_Table,CF!$AB$50))</f>
        <v>-4432.2965418456652</v>
      </c>
      <c r="T44" s="53">
        <f ca="1">IF(T$37&lt;YEAR(Startops1),0,HLOOKUP(T$37,CF_Table,CF!$AB$50))</f>
        <v>-3843.8932236768501</v>
      </c>
      <c r="U44" s="53">
        <f ca="1">IF(U$37&lt;YEAR(Startops1),0,HLOOKUP(U$37,CF_Table,CF!$AB$50))</f>
        <v>-3049.6553585341817</v>
      </c>
      <c r="V44" s="53">
        <f ca="1">IF(V$37&lt;YEAR(Startops1),0,HLOOKUP(V$37,CF_Table,CF!$AB$50))</f>
        <v>-2186.805977733562</v>
      </c>
      <c r="W44" s="53">
        <f ca="1">IF(W$37&lt;YEAR(Startops1),0,HLOOKUP(W$37,CF_Table,CF!$AB$50))</f>
        <v>-1323.9565969329419</v>
      </c>
      <c r="X44" s="53">
        <f ca="1">IF(X$37&lt;YEAR(Startops1),0,HLOOKUP(X$37,CF_Table,CF!$AB$50))</f>
        <v>-403.0711596547298</v>
      </c>
      <c r="Y44" s="53">
        <f ca="1">IF(Y$37&lt;YEAR(Startops1),0,HLOOKUP(Y$37,CF_Table,CF!$AB$50))</f>
        <v>0</v>
      </c>
      <c r="Z44" s="53">
        <f ca="1">IF(Z$37&lt;YEAR(Startops1),0,HLOOKUP(Z$37,CF_Table,CF!$AB$50))</f>
        <v>0</v>
      </c>
      <c r="AA44" s="53">
        <f ca="1">IF(AA$37&lt;YEAR(Startops1),0,HLOOKUP(AA$37,CF_Table,CF!$AB$50))</f>
        <v>0</v>
      </c>
      <c r="AB44" s="53">
        <f ca="1">IF(AB$37&lt;YEAR(Startops1),0,HLOOKUP(AB$37,CF_Table,CF!$AB$50))</f>
        <v>0</v>
      </c>
      <c r="AC44" s="420">
        <f ca="1">SUM(G44:AB44)</f>
        <v>-84204.995827655803</v>
      </c>
    </row>
    <row r="45" spans="1:31">
      <c r="A45" s="139" t="s">
        <v>1153</v>
      </c>
      <c r="D45" s="8"/>
      <c r="E45" s="8"/>
      <c r="F45" s="8"/>
      <c r="G45" s="53">
        <f ca="1">IF(G$37&lt;YEAR(Startops1),0,HLOOKUP(G$37,CF_Table,CF!$AB$51))</f>
        <v>0</v>
      </c>
      <c r="H45" s="53">
        <f ca="1">IF(H$37&lt;YEAR(Startops1),0,HLOOKUP(H$37,CF_Table,CF!$AB$51))</f>
        <v>0</v>
      </c>
      <c r="I45" s="53">
        <f ca="1">IF(I$37&lt;YEAR(Startops1),0,HLOOKUP(I$37,CF_Table,CF!$AB$51))</f>
        <v>0</v>
      </c>
      <c r="J45" s="53">
        <f ca="1">IF(J$37&lt;YEAR(Startops1),0,HLOOKUP(J$37,CF_Table,CF!$AB$51))</f>
        <v>-133.98867062672454</v>
      </c>
      <c r="K45" s="53">
        <f ca="1">IF(K$37&lt;YEAR(Startops1),0,HLOOKUP(K$37,CF_Table,CF!$AB$51))</f>
        <v>-318.08515874682439</v>
      </c>
      <c r="L45" s="53">
        <f ca="1">IF(L$37&lt;YEAR(Startops1),0,HLOOKUP(L$37,CF_Table,CF!$AB$51))</f>
        <v>-303.21303119621513</v>
      </c>
      <c r="M45" s="53">
        <f ca="1">IF(M$37&lt;YEAR(Startops1),0,HLOOKUP(M$37,CF_Table,CF!$AB$51))</f>
        <v>-286.34469232512527</v>
      </c>
      <c r="N45" s="53">
        <f ca="1">IF(N$37&lt;YEAR(Startops1),0,HLOOKUP(N$37,CF_Table,CF!$AB$51))</f>
        <v>-267.21220066906335</v>
      </c>
      <c r="O45" s="53">
        <f ca="1">IF(O$37&lt;YEAR(Startops1),0,HLOOKUP(O$37,CF_Table,CF!$AB$51))</f>
        <v>-245.51165032046663</v>
      </c>
      <c r="P45" s="53">
        <f ca="1">IF(P$37&lt;YEAR(Startops1),0,HLOOKUP(P$37,CF_Table,CF!$AB$51))</f>
        <v>-220.89834360132943</v>
      </c>
      <c r="Q45" s="53">
        <f ca="1">IF(Q$37&lt;YEAR(Startops1),0,HLOOKUP(Q$37,CF_Table,CF!$AB$51))</f>
        <v>-192.9813157878161</v>
      </c>
      <c r="R45" s="53">
        <f ca="1">IF(R$37&lt;YEAR(Startops1),0,HLOOKUP(R$37,CF_Table,CF!$AB$51))</f>
        <v>-161.31712491603395</v>
      </c>
      <c r="S45" s="53">
        <f ca="1">IF(S$37&lt;YEAR(Startops1),0,HLOOKUP(S$37,CF_Table,CF!$AB$51))</f>
        <v>-125.40280802448683</v>
      </c>
      <c r="T45" s="53">
        <f ca="1">IF(T$37&lt;YEAR(Startops1),0,HLOOKUP(T$37,CF_Table,CF!$AB$51))</f>
        <v>-84.667891948171842</v>
      </c>
      <c r="U45" s="53">
        <f ca="1">IF(U$37&lt;YEAR(Startops1),0,HLOOKUP(U$37,CF_Table,CF!$AB$51))</f>
        <v>-38.465331761513497</v>
      </c>
      <c r="V45" s="53">
        <f ca="1">IF(V$37&lt;YEAR(Startops1),0,HLOOKUP(V$37,CF_Table,CF!$AB$51))</f>
        <v>0</v>
      </c>
      <c r="W45" s="53">
        <f ca="1">IF(W$37&lt;YEAR(Startops1),0,HLOOKUP(W$37,CF_Table,CF!$AB$51))</f>
        <v>0</v>
      </c>
      <c r="X45" s="53">
        <f ca="1">IF(X$37&lt;YEAR(Startops1),0,HLOOKUP(X$37,CF_Table,CF!$AB$51))</f>
        <v>0</v>
      </c>
      <c r="Y45" s="53">
        <f ca="1">IF(Y$37&lt;YEAR(Startops1),0,HLOOKUP(Y$37,CF_Table,CF!$AB$51))</f>
        <v>0</v>
      </c>
      <c r="Z45" s="53">
        <f ca="1">IF(Z$37&lt;YEAR(Startops1),0,HLOOKUP(Z$37,CF_Table,CF!$AB$51))</f>
        <v>0</v>
      </c>
      <c r="AA45" s="53">
        <f ca="1">IF(AA$37&lt;YEAR(Startops1),0,HLOOKUP(AA$37,CF_Table,CF!$AB$51))</f>
        <v>0</v>
      </c>
      <c r="AB45" s="53">
        <f ca="1">IF(AB$37&lt;YEAR(Startops1),0,HLOOKUP(AB$37,CF_Table,CF!$AB$51))</f>
        <v>0</v>
      </c>
      <c r="AC45" s="420">
        <f ca="1">SUM(G45:AB45)</f>
        <v>-2378.0882199237717</v>
      </c>
    </row>
    <row r="46" spans="1:31">
      <c r="A46" s="139" t="s">
        <v>418</v>
      </c>
      <c r="D46" s="8"/>
      <c r="E46" s="8"/>
      <c r="F46" s="8"/>
      <c r="G46" s="226">
        <f ca="1">IF(G$37&lt;YEAR(Startops1),0,HLOOKUP(G$37,CF_Table,CF!$AB$52))</f>
        <v>0</v>
      </c>
      <c r="H46" s="226">
        <f ca="1">IF(H$37&lt;YEAR(Startops1),0,HLOOKUP(H$37,CF_Table,CF!$AB$52))</f>
        <v>0</v>
      </c>
      <c r="I46" s="226">
        <f ca="1">IF(I$37&lt;YEAR(Startops1),0,HLOOKUP(I$37,CF_Table,CF!$AB$52))</f>
        <v>0</v>
      </c>
      <c r="J46" s="226">
        <f ca="1">IF(J$37&lt;YEAR(Startops1),0,HLOOKUP(J$37,CF_Table,CF!$AB$52))</f>
        <v>0</v>
      </c>
      <c r="K46" s="226">
        <f ca="1">IF(K$37&lt;YEAR(Startops1),0,HLOOKUP(K$37,CF_Table,CF!$AB$52))</f>
        <v>0</v>
      </c>
      <c r="L46" s="226">
        <f ca="1">IF(L$37&lt;YEAR(Startops1),0,HLOOKUP(L$37,CF_Table,CF!$AB$52))</f>
        <v>0</v>
      </c>
      <c r="M46" s="226">
        <f ca="1">IF(M$37&lt;YEAR(Startops1),0,HLOOKUP(M$37,CF_Table,CF!$AB$52))</f>
        <v>0</v>
      </c>
      <c r="N46" s="226">
        <f ca="1">IF(N$37&lt;YEAR(Startops1),0,HLOOKUP(N$37,CF_Table,CF!$AB$52))</f>
        <v>0</v>
      </c>
      <c r="O46" s="226">
        <f ca="1">IF(O$37&lt;YEAR(Startops1),0,HLOOKUP(O$37,CF_Table,CF!$AB$52))</f>
        <v>0</v>
      </c>
      <c r="P46" s="226">
        <f ca="1">IF(P$37&lt;YEAR(Startops1),0,HLOOKUP(P$37,CF_Table,CF!$AB$52))</f>
        <v>0</v>
      </c>
      <c r="Q46" s="226">
        <f ca="1">IF(Q$37&lt;YEAR(Startops1),0,HLOOKUP(Q$37,CF_Table,CF!$AB$52))</f>
        <v>0</v>
      </c>
      <c r="R46" s="226">
        <f ca="1">IF(R$37&lt;YEAR(Startops1),0,HLOOKUP(R$37,CF_Table,CF!$AB$52))</f>
        <v>0</v>
      </c>
      <c r="S46" s="226">
        <f ca="1">IF(S$37&lt;YEAR(Startops1),0,HLOOKUP(S$37,CF_Table,CF!$AB$52))</f>
        <v>0</v>
      </c>
      <c r="T46" s="226">
        <f ca="1">IF(T$37&lt;YEAR(Startops1),0,HLOOKUP(T$37,CF_Table,CF!$AB$52))</f>
        <v>0</v>
      </c>
      <c r="U46" s="226">
        <f ca="1">IF(U$37&lt;YEAR(Startops1),0,HLOOKUP(U$37,CF_Table,CF!$AB$52))</f>
        <v>0</v>
      </c>
      <c r="V46" s="226">
        <f ca="1">IF(V$37&lt;YEAR(Startops1),0,HLOOKUP(V$37,CF_Table,CF!$AB$52))</f>
        <v>0</v>
      </c>
      <c r="W46" s="226">
        <f ca="1">IF(W$37&lt;YEAR(Startops1),0,HLOOKUP(W$37,CF_Table,CF!$AB$52))</f>
        <v>0</v>
      </c>
      <c r="X46" s="226">
        <f ca="1">IF(X$37&lt;YEAR(Startops1),0,HLOOKUP(X$37,CF_Table,CF!$AB$52))</f>
        <v>0</v>
      </c>
      <c r="Y46" s="226">
        <f ca="1">IF(Y$37&lt;YEAR(Startops1),0,HLOOKUP(Y$37,CF_Table,CF!$AB$52))</f>
        <v>0</v>
      </c>
      <c r="Z46" s="226">
        <f ca="1">IF(Z$37&lt;YEAR(Startops1),0,HLOOKUP(Z$37,CF_Table,CF!$AB$52))</f>
        <v>0</v>
      </c>
      <c r="AA46" s="226">
        <f ca="1">IF(AA$37&lt;YEAR(Startops1),0,HLOOKUP(AA$37,CF_Table,CF!$AB$52))</f>
        <v>0</v>
      </c>
      <c r="AB46" s="226">
        <f ca="1">IF(AB$37&lt;YEAR(Startops1),0,HLOOKUP(AB$37,CF_Table,CF!$AB$52))</f>
        <v>0</v>
      </c>
      <c r="AC46" s="421">
        <f ca="1">SUM(G46:AB46)</f>
        <v>0</v>
      </c>
    </row>
    <row r="47" spans="1:31">
      <c r="A47" s="139" t="s">
        <v>568</v>
      </c>
      <c r="D47" s="8"/>
      <c r="E47" s="8"/>
      <c r="F47" s="8"/>
      <c r="G47" s="53">
        <f ca="1">SUM(G43:G46)</f>
        <v>0</v>
      </c>
      <c r="H47" s="53">
        <f t="shared" ref="H47:AB47" ca="1" si="13">SUM(H43:H46)</f>
        <v>0</v>
      </c>
      <c r="I47" s="53">
        <f t="shared" ca="1" si="13"/>
        <v>0</v>
      </c>
      <c r="J47" s="53">
        <f t="shared" ca="1" si="13"/>
        <v>-10441.705279473586</v>
      </c>
      <c r="K47" s="53">
        <f ca="1">SUM(K43:K46)</f>
        <v>-17807.418645659429</v>
      </c>
      <c r="L47" s="53">
        <f t="shared" ca="1" si="13"/>
        <v>-17610.895503748456</v>
      </c>
      <c r="M47" s="53">
        <f t="shared" ca="1" si="13"/>
        <v>-17213.015848065756</v>
      </c>
      <c r="N47" s="53">
        <f t="shared" ca="1" si="13"/>
        <v>-16418.998213084189</v>
      </c>
      <c r="O47" s="53">
        <f t="shared" ca="1" si="13"/>
        <v>-15438.237397196568</v>
      </c>
      <c r="P47" s="53">
        <f t="shared" ca="1" si="13"/>
        <v>-14315.0193513634</v>
      </c>
      <c r="Q47" s="53">
        <f t="shared" ca="1" si="13"/>
        <v>-13149.806880117463</v>
      </c>
      <c r="R47" s="53">
        <f t="shared" ca="1" si="13"/>
        <v>-12392.516339760965</v>
      </c>
      <c r="S47" s="53">
        <f t="shared" ca="1" si="13"/>
        <v>-11768.198704700602</v>
      </c>
      <c r="T47" s="53">
        <f t="shared" ca="1" si="13"/>
        <v>-11139.060470455472</v>
      </c>
      <c r="U47" s="53">
        <f t="shared" ca="1" si="13"/>
        <v>-10298.620045126147</v>
      </c>
      <c r="V47" s="53">
        <f t="shared" ca="1" si="13"/>
        <v>-9397.305332564014</v>
      </c>
      <c r="W47" s="53">
        <f t="shared" ca="1" si="13"/>
        <v>-8534.4559517633934</v>
      </c>
      <c r="X47" s="53">
        <f t="shared" ca="1" si="13"/>
        <v>-7613.5705144851809</v>
      </c>
      <c r="Y47" s="53">
        <f t="shared" ca="1" si="13"/>
        <v>-7210.499354830451</v>
      </c>
      <c r="Z47" s="53">
        <f t="shared" ca="1" si="13"/>
        <v>-7210.499354830451</v>
      </c>
      <c r="AA47" s="53">
        <f t="shared" ca="1" si="13"/>
        <v>-7210.499354830451</v>
      </c>
      <c r="AB47" s="53">
        <f t="shared" ca="1" si="13"/>
        <v>-2403.4997849434835</v>
      </c>
      <c r="AC47" s="420">
        <f ca="1">SUM(G47:AB47)</f>
        <v>-217573.82232699945</v>
      </c>
    </row>
    <row r="48" spans="1:31">
      <c r="A48" s="139"/>
      <c r="D48" s="8"/>
      <c r="E48" s="8"/>
      <c r="F48" s="8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420"/>
    </row>
    <row r="49" spans="1:30">
      <c r="A49" s="139" t="s">
        <v>401</v>
      </c>
      <c r="D49" s="8"/>
      <c r="E49" s="8" t="s">
        <v>93</v>
      </c>
      <c r="F49" s="8"/>
      <c r="G49" s="53">
        <f ca="1">SUM(G41,G47)</f>
        <v>0</v>
      </c>
      <c r="H49" s="53">
        <f t="shared" ref="H49:AB49" ca="1" si="14">SUM(H41,H47)</f>
        <v>0</v>
      </c>
      <c r="I49" s="53">
        <f t="shared" ca="1" si="14"/>
        <v>0</v>
      </c>
      <c r="J49" s="53">
        <f t="shared" ca="1" si="14"/>
        <v>-1837.5089814171442</v>
      </c>
      <c r="K49" s="1321">
        <f ca="1">SUM(K41,K47)</f>
        <v>-3586.4806004974635</v>
      </c>
      <c r="L49" s="53">
        <f t="shared" ca="1" si="14"/>
        <v>-4045.2545041057856</v>
      </c>
      <c r="M49" s="53">
        <f t="shared" ca="1" si="14"/>
        <v>1886.4154049585704</v>
      </c>
      <c r="N49" s="53">
        <f t="shared" ca="1" si="14"/>
        <v>2960.6166348564911</v>
      </c>
      <c r="O49" s="53">
        <f t="shared" ca="1" si="14"/>
        <v>7998.9117882586324</v>
      </c>
      <c r="P49" s="53">
        <f t="shared" ca="1" si="14"/>
        <v>10029.688315737465</v>
      </c>
      <c r="Q49" s="53">
        <f t="shared" ca="1" si="14"/>
        <v>11335.681212341875</v>
      </c>
      <c r="R49" s="53">
        <f t="shared" ca="1" si="14"/>
        <v>13437.637075270726</v>
      </c>
      <c r="S49" s="53">
        <f t="shared" ca="1" si="14"/>
        <v>14828.956916930287</v>
      </c>
      <c r="T49" s="53">
        <f t="shared" ca="1" si="14"/>
        <v>16540.398064270717</v>
      </c>
      <c r="U49" s="53">
        <f t="shared" ca="1" si="14"/>
        <v>19240.239443534898</v>
      </c>
      <c r="V49" s="53">
        <f t="shared" ca="1" si="14"/>
        <v>18612.925576187834</v>
      </c>
      <c r="W49" s="53">
        <f t="shared" ca="1" si="14"/>
        <v>22060.661865620361</v>
      </c>
      <c r="X49" s="53">
        <f t="shared" ca="1" si="14"/>
        <v>23844.996748127647</v>
      </c>
      <c r="Y49" s="53">
        <f t="shared" ca="1" si="14"/>
        <v>25095.583524903894</v>
      </c>
      <c r="Z49" s="53">
        <f t="shared" ca="1" si="14"/>
        <v>26171.314255470646</v>
      </c>
      <c r="AA49" s="53">
        <f t="shared" ca="1" si="14"/>
        <v>27337.204682397187</v>
      </c>
      <c r="AB49" s="53">
        <f t="shared" ca="1" si="14"/>
        <v>9125.2921699518593</v>
      </c>
      <c r="AC49" s="420">
        <f ca="1">SUM(G49:AB49)</f>
        <v>241037.2795927987</v>
      </c>
      <c r="AD49" s="26"/>
    </row>
    <row r="50" spans="1:30">
      <c r="A50" s="139" t="s">
        <v>402</v>
      </c>
      <c r="D50" s="8"/>
      <c r="E50" s="8"/>
      <c r="F50" s="8"/>
      <c r="G50" s="226">
        <f ca="1">IF(G$37&lt;YEAR(Startops1),0,HLOOKUP(G$37,CF_Table,CF!$AB$55))</f>
        <v>0</v>
      </c>
      <c r="H50" s="226">
        <f ca="1">IF(H$37&lt;YEAR(Startops1),0,HLOOKUP(H$37,CF_Table,CF!$AB$55))</f>
        <v>0</v>
      </c>
      <c r="I50" s="226">
        <f ca="1">IF(I$37&lt;YEAR(Startops1),0,HLOOKUP(I$37,CF_Table,CF!$AB$55))</f>
        <v>0</v>
      </c>
      <c r="J50" s="226">
        <f ca="1">IF(J$37&lt;YEAR(Startops1),0,HLOOKUP(J$37,CF_Table,CF!$AB$55))</f>
        <v>0</v>
      </c>
      <c r="K50" s="226">
        <f ca="1">IF(K$37&lt;YEAR(Startops1),0,HLOOKUP(K$37,CF_Table,CF!$AB$55))</f>
        <v>0</v>
      </c>
      <c r="L50" s="226">
        <f ca="1">IF(L$37&lt;YEAR(Startops1),0,HLOOKUP(L$37,CF_Table,CF!$AB$55))</f>
        <v>0</v>
      </c>
      <c r="M50" s="226">
        <f ca="1">IF(M$37&lt;YEAR(Startops1),0,HLOOKUP(M$37,CF_Table,CF!$AB$55))</f>
        <v>0</v>
      </c>
      <c r="N50" s="226">
        <f ca="1">IF(N$37&lt;YEAR(Startops1),0,HLOOKUP(N$37,CF_Table,CF!$AB$55))</f>
        <v>0</v>
      </c>
      <c r="O50" s="226">
        <f ca="1">IF(O$37&lt;YEAR(Startops1),0,HLOOKUP(O$37,CF_Table,CF!$AB$55))</f>
        <v>-840.85593552884325</v>
      </c>
      <c r="P50" s="226">
        <f ca="1">IF(P$37&lt;YEAR(Startops1),0,HLOOKUP(P$37,CF_Table,CF!$AB$55))</f>
        <v>-2507.4220789343658</v>
      </c>
      <c r="Q50" s="226">
        <f ca="1">IF(Q$37&lt;YEAR(Startops1),0,HLOOKUP(Q$37,CF_Table,CF!$AB$55))</f>
        <v>-2833.9203030854683</v>
      </c>
      <c r="R50" s="226">
        <f ca="1">IF(R$37&lt;YEAR(Startops1),0,HLOOKUP(R$37,CF_Table,CF!$AB$55))</f>
        <v>-3359.4092688176815</v>
      </c>
      <c r="S50" s="226">
        <f ca="1">IF(S$37&lt;YEAR(Startops1),0,HLOOKUP(S$37,CF_Table,CF!$AB$55))</f>
        <v>-3707.2392292325712</v>
      </c>
      <c r="T50" s="226">
        <f ca="1">IF(T$37&lt;YEAR(Startops1),0,HLOOKUP(T$37,CF_Table,CF!$AB$55))</f>
        <v>-4135.0995160676794</v>
      </c>
      <c r="U50" s="226">
        <f ca="1">IF(U$37&lt;YEAR(Startops1),0,HLOOKUP(U$37,CF_Table,CF!$AB$55))</f>
        <v>-4810.0598608837245</v>
      </c>
      <c r="V50" s="226">
        <f ca="1">IF(V$37&lt;YEAR(Startops1),0,HLOOKUP(V$37,CF_Table,CF!$AB$55))</f>
        <v>-4653.2313940469585</v>
      </c>
      <c r="W50" s="226">
        <f ca="1">IF(W$37&lt;YEAR(Startops1),0,HLOOKUP(W$37,CF_Table,CF!$AB$55))</f>
        <v>-5515.1654664050902</v>
      </c>
      <c r="X50" s="226">
        <f ca="1">IF(X$37&lt;YEAR(Startops1),0,HLOOKUP(X$37,CF_Table,CF!$AB$55))</f>
        <v>-5961.2491870319118</v>
      </c>
      <c r="Y50" s="226">
        <f ca="1">IF(Y$37&lt;YEAR(Startops1),0,HLOOKUP(Y$37,CF_Table,CF!$AB$55))</f>
        <v>-6273.8958812259734</v>
      </c>
      <c r="Z50" s="226">
        <f ca="1">IF(Z$37&lt;YEAR(Startops1),0,HLOOKUP(Z$37,CF_Table,CF!$AB$55))</f>
        <v>-6542.8285638676616</v>
      </c>
      <c r="AA50" s="226">
        <f ca="1">IF(AA$37&lt;YEAR(Startops1),0,HLOOKUP(AA$37,CF_Table,CF!$AB$55))</f>
        <v>-6834.3011705992967</v>
      </c>
      <c r="AB50" s="226">
        <f ca="1">IF(AB$37&lt;YEAR(Startops1),0,HLOOKUP(AB$37,CF_Table,CF!$AB$55))</f>
        <v>-2281.3230424879648</v>
      </c>
      <c r="AC50" s="421">
        <f ca="1">SUM(G50:AB50)</f>
        <v>-60256.000898215192</v>
      </c>
      <c r="AD50" s="29"/>
    </row>
    <row r="51" spans="1:30">
      <c r="A51" s="139" t="s">
        <v>403</v>
      </c>
      <c r="D51" s="8"/>
      <c r="E51" s="8" t="s">
        <v>93</v>
      </c>
      <c r="F51" s="8"/>
      <c r="G51" s="277">
        <f t="shared" ref="G51:AB51" ca="1" si="15">SUM(G49:G50)</f>
        <v>0</v>
      </c>
      <c r="H51" s="277">
        <f t="shared" ca="1" si="15"/>
        <v>0</v>
      </c>
      <c r="I51" s="277">
        <f t="shared" ca="1" si="15"/>
        <v>0</v>
      </c>
      <c r="J51" s="277">
        <f t="shared" ca="1" si="15"/>
        <v>-1837.5089814171442</v>
      </c>
      <c r="K51" s="1353">
        <f ca="1">SUM(K49:K50)</f>
        <v>-3586.4806004974635</v>
      </c>
      <c r="L51" s="277">
        <f t="shared" ca="1" si="15"/>
        <v>-4045.2545041057856</v>
      </c>
      <c r="M51" s="277">
        <f t="shared" ca="1" si="15"/>
        <v>1886.4154049585704</v>
      </c>
      <c r="N51" s="277">
        <f t="shared" ca="1" si="15"/>
        <v>2960.6166348564911</v>
      </c>
      <c r="O51" s="277">
        <f t="shared" ca="1" si="15"/>
        <v>7158.055852729789</v>
      </c>
      <c r="P51" s="277">
        <f t="shared" ca="1" si="15"/>
        <v>7522.2662368030997</v>
      </c>
      <c r="Q51" s="277">
        <f t="shared" ca="1" si="15"/>
        <v>8501.7609092564071</v>
      </c>
      <c r="R51" s="277">
        <f t="shared" ca="1" si="15"/>
        <v>10078.227806453044</v>
      </c>
      <c r="S51" s="277">
        <f t="shared" ca="1" si="15"/>
        <v>11121.717687697716</v>
      </c>
      <c r="T51" s="277">
        <f t="shared" ca="1" si="15"/>
        <v>12405.298548203038</v>
      </c>
      <c r="U51" s="277">
        <f t="shared" ca="1" si="15"/>
        <v>14430.179582651173</v>
      </c>
      <c r="V51" s="277">
        <f t="shared" ca="1" si="15"/>
        <v>13959.694182140876</v>
      </c>
      <c r="W51" s="277">
        <f t="shared" ca="1" si="15"/>
        <v>16545.49639921527</v>
      </c>
      <c r="X51" s="277">
        <f t="shared" ca="1" si="15"/>
        <v>17883.747561095734</v>
      </c>
      <c r="Y51" s="277">
        <f t="shared" ca="1" si="15"/>
        <v>18821.68764367792</v>
      </c>
      <c r="Z51" s="277">
        <f t="shared" ca="1" si="15"/>
        <v>19628.485691602986</v>
      </c>
      <c r="AA51" s="277">
        <f t="shared" ca="1" si="15"/>
        <v>20502.903511797889</v>
      </c>
      <c r="AB51" s="277">
        <f t="shared" ca="1" si="15"/>
        <v>6843.9691274638944</v>
      </c>
      <c r="AC51" s="461">
        <f ca="1">SUM(G51:AB51)</f>
        <v>180781.27869458351</v>
      </c>
      <c r="AD51" s="329" t="str">
        <f ca="1">IF(ROUND(AC51-CF!Z57,2)=0," ","DOES NOT TIE TO NET INCOME ON CASHFLOW SHEET")</f>
        <v>DOES NOT TIE TO NET INCOME ON CASHFLOW SHEET</v>
      </c>
    </row>
    <row r="52" spans="1:30">
      <c r="A52" s="404"/>
      <c r="B52" s="10"/>
      <c r="C52" s="10"/>
      <c r="D52" s="10"/>
      <c r="E52" s="10"/>
      <c r="F52" s="1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418"/>
    </row>
    <row r="53" spans="1:30">
      <c r="A53" s="13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416"/>
    </row>
    <row r="54" spans="1:30" ht="13.5" thickBot="1">
      <c r="A54" s="495" t="s">
        <v>251</v>
      </c>
      <c r="B54" s="327"/>
      <c r="C54" s="327"/>
      <c r="D54" s="327"/>
      <c r="E54" s="76"/>
      <c r="F54" s="76"/>
      <c r="G54" s="79">
        <f t="shared" ref="G54:AC54" si="16">G$7</f>
        <v>1998</v>
      </c>
      <c r="H54" s="79">
        <f t="shared" si="16"/>
        <v>1999</v>
      </c>
      <c r="I54" s="79">
        <f t="shared" si="16"/>
        <v>2000</v>
      </c>
      <c r="J54" s="79">
        <f t="shared" si="16"/>
        <v>2001</v>
      </c>
      <c r="K54" s="79">
        <f t="shared" si="16"/>
        <v>2002</v>
      </c>
      <c r="L54" s="79">
        <f t="shared" si="16"/>
        <v>2003</v>
      </c>
      <c r="M54" s="79">
        <f t="shared" si="16"/>
        <v>2004</v>
      </c>
      <c r="N54" s="79">
        <f t="shared" si="16"/>
        <v>2005</v>
      </c>
      <c r="O54" s="79">
        <f t="shared" si="16"/>
        <v>2006</v>
      </c>
      <c r="P54" s="79">
        <f t="shared" si="16"/>
        <v>2007</v>
      </c>
      <c r="Q54" s="79">
        <f t="shared" si="16"/>
        <v>2008</v>
      </c>
      <c r="R54" s="79">
        <f t="shared" si="16"/>
        <v>2009</v>
      </c>
      <c r="S54" s="79">
        <f t="shared" si="16"/>
        <v>2010</v>
      </c>
      <c r="T54" s="79">
        <f t="shared" si="16"/>
        <v>2011</v>
      </c>
      <c r="U54" s="79">
        <f t="shared" si="16"/>
        <v>2012</v>
      </c>
      <c r="V54" s="79">
        <f t="shared" si="16"/>
        <v>2013</v>
      </c>
      <c r="W54" s="79">
        <f t="shared" si="16"/>
        <v>2014</v>
      </c>
      <c r="X54" s="79">
        <f t="shared" si="16"/>
        <v>2015</v>
      </c>
      <c r="Y54" s="79">
        <f t="shared" si="16"/>
        <v>2016</v>
      </c>
      <c r="Z54" s="79">
        <f t="shared" si="16"/>
        <v>2017</v>
      </c>
      <c r="AA54" s="79">
        <f t="shared" si="16"/>
        <v>2018</v>
      </c>
      <c r="AB54" s="79">
        <f t="shared" si="16"/>
        <v>2019</v>
      </c>
      <c r="AC54" s="414" t="str">
        <f t="shared" si="16"/>
        <v>Totals</v>
      </c>
    </row>
    <row r="55" spans="1:30">
      <c r="A55" s="214" t="s">
        <v>404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416"/>
    </row>
    <row r="56" spans="1:30">
      <c r="A56" s="139"/>
      <c r="B56" s="8" t="s">
        <v>405</v>
      </c>
      <c r="D56" s="8"/>
      <c r="E56" s="8"/>
      <c r="F56" s="8"/>
      <c r="G56" s="53">
        <f ca="1">G38</f>
        <v>0</v>
      </c>
      <c r="H56" s="53">
        <f t="shared" ref="H56:Z56" ca="1" si="17">H38</f>
        <v>0</v>
      </c>
      <c r="I56" s="53">
        <f t="shared" ca="1" si="17"/>
        <v>0</v>
      </c>
      <c r="J56" s="53">
        <f t="shared" ca="1" si="17"/>
        <v>14282.925136278027</v>
      </c>
      <c r="K56" s="53">
        <f t="shared" ca="1" si="17"/>
        <v>24055.05101070087</v>
      </c>
      <c r="L56" s="53">
        <f t="shared" ca="1" si="17"/>
        <v>24793.36661323718</v>
      </c>
      <c r="M56" s="53">
        <f t="shared" ca="1" si="17"/>
        <v>25593.329628871357</v>
      </c>
      <c r="N56" s="53">
        <f t="shared" ca="1" si="17"/>
        <v>26258.924245431124</v>
      </c>
      <c r="O56" s="53">
        <f t="shared" ca="1" si="17"/>
        <v>26998.838079134002</v>
      </c>
      <c r="P56" s="53">
        <f t="shared" ca="1" si="17"/>
        <v>27742.812098795694</v>
      </c>
      <c r="Q56" s="53">
        <f t="shared" ca="1" si="17"/>
        <v>28566.99450136954</v>
      </c>
      <c r="R56" s="53">
        <f t="shared" ca="1" si="17"/>
        <v>29243.222568026747</v>
      </c>
      <c r="S56" s="53">
        <f t="shared" ca="1" si="17"/>
        <v>30002.951649161452</v>
      </c>
      <c r="T56" s="53">
        <f t="shared" ca="1" si="17"/>
        <v>30770.855661206879</v>
      </c>
      <c r="U56" s="53">
        <f t="shared" ca="1" si="17"/>
        <v>31634.35592757594</v>
      </c>
      <c r="V56" s="53">
        <f t="shared" ca="1" si="17"/>
        <v>32342.551229746583</v>
      </c>
      <c r="W56" s="53">
        <f t="shared" ca="1" si="17"/>
        <v>33158.156039656191</v>
      </c>
      <c r="X56" s="53">
        <f t="shared" ca="1" si="17"/>
        <v>34004.389875094806</v>
      </c>
      <c r="Y56" s="53">
        <f t="shared" ca="1" si="17"/>
        <v>34980.252818087909</v>
      </c>
      <c r="Z56" s="53">
        <f t="shared" ca="1" si="17"/>
        <v>35807.909346175526</v>
      </c>
      <c r="AA56" s="53">
        <f ca="1">AA38</f>
        <v>36770.404189155677</v>
      </c>
      <c r="AB56" s="53">
        <f ca="1">AB38</f>
        <v>12194.385801560777</v>
      </c>
      <c r="AC56" s="420">
        <f t="shared" ref="AC56:AC63" ca="1" si="18">SUM(G56:AB56)</f>
        <v>539201.67641926638</v>
      </c>
    </row>
    <row r="57" spans="1:30">
      <c r="A57" s="139"/>
      <c r="B57" s="8" t="s">
        <v>406</v>
      </c>
      <c r="D57" s="8"/>
      <c r="E57" s="8"/>
      <c r="F57" s="8"/>
      <c r="G57" s="53">
        <f ca="1">G39</f>
        <v>0</v>
      </c>
      <c r="H57" s="53">
        <f ca="1">H39</f>
        <v>0</v>
      </c>
      <c r="I57" s="53">
        <f t="shared" ref="I57:AB57" ca="1" si="19">I39</f>
        <v>0</v>
      </c>
      <c r="J57" s="53">
        <f t="shared" ca="1" si="19"/>
        <v>-2921.7389909554818</v>
      </c>
      <c r="K57" s="53">
        <f t="shared" ca="1" si="19"/>
        <v>-3916.8636877822109</v>
      </c>
      <c r="L57" s="53">
        <f t="shared" ca="1" si="19"/>
        <v>-5556.7985918438708</v>
      </c>
      <c r="M57" s="53">
        <f t="shared" ca="1" si="19"/>
        <v>-4688.3281276281905</v>
      </c>
      <c r="N57" s="53">
        <f t="shared" ca="1" si="19"/>
        <v>-4175.4167512163713</v>
      </c>
      <c r="O57" s="53">
        <f t="shared" ca="1" si="19"/>
        <v>-4434.0261507352579</v>
      </c>
      <c r="P57" s="53">
        <f t="shared" ca="1" si="19"/>
        <v>-4449.2335813117206</v>
      </c>
      <c r="Q57" s="53">
        <f t="shared" ca="1" si="19"/>
        <v>-5178.0104780268339</v>
      </c>
      <c r="R57" s="53">
        <f t="shared" ca="1" si="19"/>
        <v>-4647.4538864570914</v>
      </c>
      <c r="S57" s="53">
        <f t="shared" ca="1" si="19"/>
        <v>-4920.6352697057409</v>
      </c>
      <c r="T57" s="53">
        <f t="shared" ca="1" si="19"/>
        <v>-4889.3160210198694</v>
      </c>
      <c r="U57" s="53">
        <f t="shared" ca="1" si="19"/>
        <v>-4067.0761338197508</v>
      </c>
      <c r="V57" s="53">
        <f t="shared" ca="1" si="19"/>
        <v>-6314.6856331596009</v>
      </c>
      <c r="W57" s="53">
        <f t="shared" ca="1" si="19"/>
        <v>-4447.2943387838905</v>
      </c>
      <c r="X57" s="53">
        <f t="shared" ca="1" si="19"/>
        <v>-4383.1835555841053</v>
      </c>
      <c r="Y57" s="53">
        <f t="shared" ca="1" si="19"/>
        <v>-4547.5432781212694</v>
      </c>
      <c r="Z57" s="53">
        <f t="shared" ca="1" si="19"/>
        <v>-4616.9170205574701</v>
      </c>
      <c r="AA57" s="53">
        <f t="shared" ca="1" si="19"/>
        <v>-4732.9863766462277</v>
      </c>
      <c r="AB57" s="53">
        <f t="shared" ca="1" si="19"/>
        <v>-1609.5729164333754</v>
      </c>
      <c r="AC57" s="420">
        <f t="shared" ca="1" si="18"/>
        <v>-84497.080789788335</v>
      </c>
    </row>
    <row r="58" spans="1:30">
      <c r="A58" s="139"/>
      <c r="B58" s="8" t="s">
        <v>420</v>
      </c>
      <c r="D58" s="8"/>
      <c r="E58" s="8"/>
      <c r="F58" s="8"/>
      <c r="G58" s="53">
        <f ca="1">-SUM(Trapped!$E75:E77)-SUM($F58:F58)</f>
        <v>-825.14307615655071</v>
      </c>
      <c r="H58" s="53">
        <f ca="1">-SUM(Trapped!$E75:F77)-SUM($F58:G58)</f>
        <v>-5837.7026413862013</v>
      </c>
      <c r="I58" s="53">
        <f ca="1">-SUM(Trapped!$E75:G77)-SUM($F58:H58)</f>
        <v>-5091.231203388932</v>
      </c>
      <c r="J58" s="53">
        <f ca="1">-SUM(Trapped!$E75:H77)-SUM($F58:I58)</f>
        <v>-2.8497923485701904E-2</v>
      </c>
      <c r="K58" s="53">
        <f ca="1">-SUM(Trapped!$E75:I77)-SUM($F58:J58)</f>
        <v>0</v>
      </c>
      <c r="L58" s="53">
        <f ca="1">-SUM(Trapped!$E75:J77)-SUM($F58:K58)</f>
        <v>0</v>
      </c>
      <c r="M58" s="53">
        <f ca="1">-SUM(Trapped!$E75:K77)-SUM($F58:L58)</f>
        <v>0</v>
      </c>
      <c r="N58" s="53">
        <f ca="1">-SUM(Trapped!$E75:L77)-SUM($F58:M58)</f>
        <v>0</v>
      </c>
      <c r="O58" s="53">
        <f ca="1">-SUM(Trapped!$E75:M77)-SUM($F58:N58)</f>
        <v>0</v>
      </c>
      <c r="P58" s="53">
        <f ca="1">-SUM(Trapped!$E75:N77)-SUM($F58:O58)</f>
        <v>0</v>
      </c>
      <c r="Q58" s="53">
        <f ca="1">-SUM(Trapped!$E75:O77)-SUM($F58:P58)</f>
        <v>0</v>
      </c>
      <c r="R58" s="53">
        <f ca="1">-SUM(Trapped!$E75:P77)-SUM($F58:Q58)</f>
        <v>0</v>
      </c>
      <c r="S58" s="53">
        <f ca="1">-SUM(Trapped!$E75:Q77)-SUM($F58:R58)</f>
        <v>0</v>
      </c>
      <c r="T58" s="53">
        <f ca="1">-SUM(Trapped!$E75:R77)-SUM($F58:S58)</f>
        <v>0</v>
      </c>
      <c r="U58" s="53">
        <f ca="1">-SUM(Trapped!$E75:S77)-SUM($F58:T58)</f>
        <v>0</v>
      </c>
      <c r="V58" s="53">
        <f ca="1">-SUM(Trapped!$E75:T77)-SUM($F58:U58)</f>
        <v>0</v>
      </c>
      <c r="W58" s="53">
        <f ca="1">-SUM(Trapped!$E75:U77)-SUM($F58:V58)</f>
        <v>0</v>
      </c>
      <c r="X58" s="53">
        <f ca="1">-SUM(Trapped!$E75:V77)-SUM($F58:W58)</f>
        <v>0</v>
      </c>
      <c r="Y58" s="53">
        <f ca="1">-SUM(Trapped!$E75:W77)-SUM($F58:X58)</f>
        <v>0</v>
      </c>
      <c r="Z58" s="53">
        <f ca="1">-SUM(Trapped!$E75:X77)-SUM($F58:Y58)</f>
        <v>0</v>
      </c>
      <c r="AA58" s="53">
        <f ca="1">-SUM(Trapped!$E75:Y77)-SUM($F58:Z58)</f>
        <v>0</v>
      </c>
      <c r="AB58" s="53">
        <f ca="1">-SUM(Trapped!$E75:Z77)-SUM($F58:AA58)</f>
        <v>0</v>
      </c>
      <c r="AC58" s="420">
        <f ca="1">SUM(G58:AB58)</f>
        <v>-11754.10541885517</v>
      </c>
    </row>
    <row r="59" spans="1:30">
      <c r="A59" s="139"/>
      <c r="B59" s="8" t="s">
        <v>572</v>
      </c>
      <c r="D59" s="8"/>
      <c r="E59" s="8"/>
      <c r="F59" s="8"/>
      <c r="G59" s="53">
        <f ca="1">IF(G$54&lt;YEAR(Startops1),0,HLOOKUP(G$54,CF_Table,CF!$AB$60))</f>
        <v>0</v>
      </c>
      <c r="H59" s="53">
        <f ca="1">IF(H$54&lt;YEAR(Startops1),0,HLOOKUP(H$54,CF_Table,CF!$AB$60))</f>
        <v>0</v>
      </c>
      <c r="I59" s="53">
        <f ca="1">IF(I$54&lt;YEAR(Startops1),0,HLOOKUP(I$54,CF_Table,CF!$AB$60))</f>
        <v>0</v>
      </c>
      <c r="J59" s="53">
        <f ca="1">IF(J$54&lt;YEAR(Startops1),0,HLOOKUP(J$54,CF_Table,CF!$AB$60))</f>
        <v>1819.6446623618206</v>
      </c>
      <c r="K59" s="53">
        <f ca="1">IF(K$54&lt;YEAR(Startops1),0,HLOOKUP(K$54,CF_Table,CF!$AB$60))</f>
        <v>3064.6134987632913</v>
      </c>
      <c r="L59" s="53">
        <f ca="1">IF(L$54&lt;YEAR(Startops1),0,HLOOKUP(L$54,CF_Table,CF!$AB$60))</f>
        <v>3158.6749065264171</v>
      </c>
      <c r="M59" s="53">
        <f ca="1">IF(M$54&lt;YEAR(Startops1),0,HLOOKUP(M$54,CF_Table,CF!$AB$60))</f>
        <v>3260.590194718211</v>
      </c>
      <c r="N59" s="53">
        <f ca="1">IF(N$54&lt;YEAR(Startops1),0,HLOOKUP(N$54,CF_Table,CF!$AB$60))</f>
        <v>215.50004810832476</v>
      </c>
      <c r="O59" s="53">
        <f ca="1">IF(O$54&lt;YEAR(Startops1),0,HLOOKUP(O$54,CF_Table,CF!$AB$60))</f>
        <v>0</v>
      </c>
      <c r="P59" s="53">
        <f ca="1">IF(P$54&lt;YEAR(Startops1),0,HLOOKUP(P$54,CF_Table,CF!$AB$60))</f>
        <v>0</v>
      </c>
      <c r="Q59" s="53">
        <f ca="1">IF(Q$54&lt;YEAR(Startops1),0,HLOOKUP(Q$54,CF_Table,CF!$AB$60))</f>
        <v>0</v>
      </c>
      <c r="R59" s="53">
        <f ca="1">IF(R$54&lt;YEAR(Startops1),0,HLOOKUP(R$54,CF_Table,CF!$AB$60))</f>
        <v>0</v>
      </c>
      <c r="S59" s="53">
        <f ca="1">IF(S$54&lt;YEAR(Startops1),0,HLOOKUP(S$54,CF_Table,CF!$AB$60))</f>
        <v>0</v>
      </c>
      <c r="T59" s="53">
        <f ca="1">IF(T$54&lt;YEAR(Startops1),0,HLOOKUP(T$54,CF_Table,CF!$AB$60))</f>
        <v>0</v>
      </c>
      <c r="U59" s="53">
        <f ca="1">IF(U$54&lt;YEAR(Startops1),0,HLOOKUP(U$54,CF_Table,CF!$AB$60))</f>
        <v>0</v>
      </c>
      <c r="V59" s="53">
        <f ca="1">IF(V$54&lt;YEAR(Startops1),0,HLOOKUP(V$54,CF_Table,CF!$AB$60))</f>
        <v>0</v>
      </c>
      <c r="W59" s="53">
        <f ca="1">IF(W$54&lt;YEAR(Startops1),0,HLOOKUP(W$54,CF_Table,CF!$AB$60))</f>
        <v>0</v>
      </c>
      <c r="X59" s="53">
        <f ca="1">IF(X$54&lt;YEAR(Startops1),0,HLOOKUP(X$54,CF_Table,CF!$AB$60))</f>
        <v>0</v>
      </c>
      <c r="Y59" s="53">
        <f ca="1">IF(Y$54&lt;YEAR(Startops1),0,HLOOKUP(Y$54,CF_Table,CF!$AB$60))</f>
        <v>0</v>
      </c>
      <c r="Z59" s="53">
        <f ca="1">IF(Z$54&lt;YEAR(Startops1),0,HLOOKUP(Z$54,CF_Table,CF!$AB$60))</f>
        <v>0</v>
      </c>
      <c r="AA59" s="53">
        <f ca="1">IF(AA$54&lt;YEAR(Startops1),0,HLOOKUP(AA$54,CF_Table,CF!$AB$60))</f>
        <v>0</v>
      </c>
      <c r="AB59" s="53">
        <f ca="1">IF(AB$54&lt;YEAR(Startops1),0,HLOOKUP(AB$54,CF_Table,CF!$AB$60))</f>
        <v>0</v>
      </c>
      <c r="AC59" s="420">
        <f ca="1">SUM(G59:AB59)</f>
        <v>11519.023310478065</v>
      </c>
    </row>
    <row r="60" spans="1:30">
      <c r="A60" s="139"/>
      <c r="B60" s="8" t="s">
        <v>753</v>
      </c>
      <c r="D60" s="8"/>
      <c r="E60" s="8"/>
      <c r="F60" s="8"/>
      <c r="G60" s="53">
        <f ca="1">IF(G$37&lt;YEAR(Startops1),0,HLOOKUP(G$37,CF_Table,CF!$AB$40))</f>
        <v>0</v>
      </c>
      <c r="H60" s="53">
        <f ca="1">IF(H$37&lt;YEAR(Startops1),0,HLOOKUP(H$37,CF_Table,CF!$AB$40))</f>
        <v>0</v>
      </c>
      <c r="I60" s="53">
        <f ca="1">IF(I$37&lt;YEAR(Startops1),0,HLOOKUP(I$37,CF_Table,CF!$AB$40))</f>
        <v>0</v>
      </c>
      <c r="J60" s="53">
        <f ca="1">IF(J$37&lt;YEAR(Startops1),0,HLOOKUP(J$37,CF_Table,CF!$AB$40))</f>
        <v>0</v>
      </c>
      <c r="K60" s="53">
        <f ca="1">IF(K$37&lt;YEAR(Startops1),0,HLOOKUP(K$37,CF_Table,CF!$AB$40))</f>
        <v>0</v>
      </c>
      <c r="L60" s="53">
        <f ca="1">IF(L$37&lt;YEAR(Startops1),0,HLOOKUP(L$37,CF_Table,CF!$AB$40))</f>
        <v>0</v>
      </c>
      <c r="M60" s="53">
        <f ca="1">IF(M$37&lt;YEAR(Startops1),0,HLOOKUP(M$37,CF_Table,CF!$AB$40))</f>
        <v>0</v>
      </c>
      <c r="N60" s="53">
        <f ca="1">IF(N$37&lt;YEAR(Startops1),0,HLOOKUP(N$37,CF_Table,CF!$AB$40))</f>
        <v>0</v>
      </c>
      <c r="O60" s="53">
        <f ca="1">IF(O$37&lt;YEAR(Startops1),0,HLOOKUP(O$37,CF_Table,CF!$AB$40))</f>
        <v>0</v>
      </c>
      <c r="P60" s="53">
        <f ca="1">IF(P$37&lt;YEAR(Startops1),0,HLOOKUP(P$37,CF_Table,CF!$AB$40))</f>
        <v>0</v>
      </c>
      <c r="Q60" s="53">
        <f ca="1">IF(Q$37&lt;YEAR(Startops1),0,HLOOKUP(Q$37,CF_Table,CF!$AB$40))</f>
        <v>0</v>
      </c>
      <c r="R60" s="53">
        <f ca="1">IF(R$37&lt;YEAR(Startops1),0,HLOOKUP(R$37,CF_Table,CF!$AB$40))</f>
        <v>0</v>
      </c>
      <c r="S60" s="53">
        <f ca="1">IF(S$37&lt;YEAR(Startops1),0,HLOOKUP(S$37,CF_Table,CF!$AB$40))</f>
        <v>0</v>
      </c>
      <c r="T60" s="53">
        <f ca="1">IF(T$37&lt;YEAR(Startops1),0,HLOOKUP(T$37,CF_Table,CF!$AB$40))</f>
        <v>0</v>
      </c>
      <c r="U60" s="53">
        <f ca="1">IF(U$37&lt;YEAR(Startops1),0,HLOOKUP(U$37,CF_Table,CF!$AB$40))</f>
        <v>0</v>
      </c>
      <c r="V60" s="53">
        <f ca="1">IF(V$37&lt;YEAR(Startops1),0,HLOOKUP(V$37,CF_Table,CF!$AB$40))</f>
        <v>0</v>
      </c>
      <c r="W60" s="53">
        <f ca="1">IF(W$37&lt;YEAR(Startops1),0,HLOOKUP(W$37,CF_Table,CF!$AB$40))</f>
        <v>0</v>
      </c>
      <c r="X60" s="53">
        <f ca="1">IF(X$37&lt;YEAR(Startops1),0,HLOOKUP(X$37,CF_Table,CF!$AB$40))</f>
        <v>0</v>
      </c>
      <c r="Y60" s="53">
        <f ca="1">IF(Y$37&lt;YEAR(Startops1),0,HLOOKUP(Y$37,CF_Table,CF!$AB$40))</f>
        <v>0</v>
      </c>
      <c r="Z60" s="53">
        <f ca="1">IF(Z$37&lt;YEAR(Startops1),0,HLOOKUP(Z$37,CF_Table,CF!$AB$40))</f>
        <v>0</v>
      </c>
      <c r="AA60" s="53">
        <f ca="1">IF(AA$37&lt;YEAR(Startops1),0,HLOOKUP(AA$37,CF_Table,CF!$AB$40))</f>
        <v>0</v>
      </c>
      <c r="AB60" s="53">
        <f ca="1">IF(AB$37&lt;YEAR(Startops1),0,HLOOKUP(AB$37,CF_Table,CF!$AB$40))</f>
        <v>0</v>
      </c>
      <c r="AC60" s="420">
        <f t="shared" ca="1" si="18"/>
        <v>0</v>
      </c>
    </row>
    <row r="61" spans="1:30">
      <c r="A61" s="139"/>
      <c r="B61" s="8" t="s">
        <v>858</v>
      </c>
      <c r="D61" s="8"/>
      <c r="E61" s="8"/>
      <c r="F61" s="8"/>
      <c r="G61" s="53">
        <f ca="1">IF(G$37&lt;YEAR(Startops1),0,HLOOKUP(G$37,CF_Table,CF!$AB$43))</f>
        <v>0</v>
      </c>
      <c r="H61" s="53">
        <f ca="1">IF(H$37&lt;YEAR(Startops1),0,HLOOKUP(H$37,CF_Table,CF!$AB$43))</f>
        <v>0</v>
      </c>
      <c r="I61" s="53">
        <f ca="1">IF(I$37&lt;YEAR(Startops1),0,HLOOKUP(I$37,CF_Table,CF!$AB$43))</f>
        <v>0</v>
      </c>
      <c r="J61" s="53">
        <f ca="1">IF(J$37&lt;YEAR(Startops1),0,HLOOKUP(J$37,CF_Table,CF!$AB$43))</f>
        <v>-1033.0489441562738</v>
      </c>
      <c r="K61" s="53">
        <f ca="1">IF(K$37&lt;YEAR(Startops1),0,HLOOKUP(K$37,CF_Table,CF!$AB$43))</f>
        <v>-2132.0252186882694</v>
      </c>
      <c r="L61" s="53">
        <f ca="1">IF(L$37&lt;YEAR(Startops1),0,HLOOKUP(L$37,CF_Table,CF!$AB$43))</f>
        <v>-2196.232019021189</v>
      </c>
      <c r="M61" s="53">
        <f ca="1">IF(M$37&lt;YEAR(Startops1),0,HLOOKUP(M$37,CF_Table,CF!$AB$43))</f>
        <v>-2260.374623198245</v>
      </c>
      <c r="N61" s="53">
        <f ca="1">IF(N$37&lt;YEAR(Startops1),0,HLOOKUP(N$37,CF_Table,CF!$AB$43))</f>
        <v>-3487.3727483780804</v>
      </c>
      <c r="O61" s="53">
        <f ca="1">IF(O$37&lt;YEAR(Startops1),0,HLOOKUP(O$37,CF_Table,CF!$AB$43))</f>
        <v>0</v>
      </c>
      <c r="P61" s="53">
        <f ca="1">IF(P$37&lt;YEAR(Startops1),0,HLOOKUP(P$37,CF_Table,CF!$AB$43))</f>
        <v>0</v>
      </c>
      <c r="Q61" s="53">
        <f ca="1">IF(Q$37&lt;YEAR(Startops1),0,HLOOKUP(Q$37,CF_Table,CF!$AB$43))</f>
        <v>0</v>
      </c>
      <c r="R61" s="53">
        <f ca="1">IF(R$37&lt;YEAR(Startops1),0,HLOOKUP(R$37,CF_Table,CF!$AB$43))</f>
        <v>0</v>
      </c>
      <c r="S61" s="53">
        <f ca="1">IF(S$37&lt;YEAR(Startops1),0,HLOOKUP(S$37,CF_Table,CF!$AB$43))</f>
        <v>0</v>
      </c>
      <c r="T61" s="53">
        <f ca="1">IF(T$37&lt;YEAR(Startops1),0,HLOOKUP(T$37,CF_Table,CF!$AB$43))</f>
        <v>0</v>
      </c>
      <c r="U61" s="53">
        <f ca="1">IF(U$37&lt;YEAR(Startops1),0,HLOOKUP(U$37,CF_Table,CF!$AB$43))</f>
        <v>0</v>
      </c>
      <c r="V61" s="53">
        <f ca="1">IF(V$37&lt;YEAR(Startops1),0,HLOOKUP(V$37,CF_Table,CF!$AB$43))</f>
        <v>0</v>
      </c>
      <c r="W61" s="53">
        <f ca="1">IF(W$37&lt;YEAR(Startops1),0,HLOOKUP(W$37,CF_Table,CF!$AB$43))</f>
        <v>0</v>
      </c>
      <c r="X61" s="53">
        <f ca="1">IF(X$37&lt;YEAR(Startops1),0,HLOOKUP(X$37,CF_Table,CF!$AB$43))</f>
        <v>0</v>
      </c>
      <c r="Y61" s="53">
        <f ca="1">IF(Y$37&lt;YEAR(Startops1),0,HLOOKUP(Y$37,CF_Table,CF!$AB$43))</f>
        <v>0</v>
      </c>
      <c r="Z61" s="53">
        <f ca="1">IF(Z$37&lt;YEAR(Startops1),0,HLOOKUP(Z$37,CF_Table,CF!$AB$43))</f>
        <v>0</v>
      </c>
      <c r="AA61" s="53">
        <f ca="1">IF(AA$37&lt;YEAR(Startops1),0,HLOOKUP(AA$37,CF_Table,CF!$AB$43))</f>
        <v>0</v>
      </c>
      <c r="AB61" s="53">
        <f ca="1">IF(AB$37&lt;YEAR(Startops1),0,HLOOKUP(AB$37,CF_Table,CF!$AB$43))</f>
        <v>0</v>
      </c>
      <c r="AC61" s="420">
        <f ca="1">SUM(G61:AB61)</f>
        <v>-11109.053553442056</v>
      </c>
    </row>
    <row r="62" spans="1:30">
      <c r="A62" s="139"/>
      <c r="B62" s="8" t="s">
        <v>407</v>
      </c>
      <c r="D62" s="8"/>
      <c r="E62" s="8"/>
      <c r="F62" s="8"/>
      <c r="G62" s="226">
        <f ca="1">IF(G$37&lt;YEAR(Startops1),0,HLOOKUP(G$37,CF_Table,CF!$AB$64))</f>
        <v>0</v>
      </c>
      <c r="H62" s="226">
        <f ca="1">IF(H$37&lt;YEAR(Startops1),0,HLOOKUP(H$37,CF_Table,CF!$AB$64))</f>
        <v>0</v>
      </c>
      <c r="I62" s="226">
        <f ca="1">IF(I$37&lt;YEAR(Startops1),0,HLOOKUP(I$37,CF_Table,CF!$AB$64))</f>
        <v>0</v>
      </c>
      <c r="J62" s="226">
        <f ca="1">IF(J$37&lt;YEAR(Startops1),0,HLOOKUP(J$37,CF_Table,CF!$AB$64))</f>
        <v>0</v>
      </c>
      <c r="K62" s="226">
        <f ca="1">IF(K$37&lt;YEAR(Startops1),0,HLOOKUP(K$37,CF_Table,CF!$AB$64))</f>
        <v>0</v>
      </c>
      <c r="L62" s="226">
        <f ca="1">IF(L$37&lt;YEAR(Startops1),0,HLOOKUP(L$37,CF_Table,CF!$AB$64))</f>
        <v>0</v>
      </c>
      <c r="M62" s="226">
        <f ca="1">IF(M$37&lt;YEAR(Startops1),0,HLOOKUP(M$37,CF_Table,CF!$AB$64))</f>
        <v>0</v>
      </c>
      <c r="N62" s="226">
        <f ca="1">IF(N$37&lt;YEAR(Startops1),0,HLOOKUP(N$37,CF_Table,CF!$AB$64))</f>
        <v>0</v>
      </c>
      <c r="O62" s="226">
        <f ca="1">IF(O$37&lt;YEAR(Startops1),0,HLOOKUP(O$37,CF_Table,CF!$AB$64))</f>
        <v>0</v>
      </c>
      <c r="P62" s="226">
        <f ca="1">IF(P$37&lt;YEAR(Startops1),0,HLOOKUP(P$37,CF_Table,CF!$AB$64))</f>
        <v>0</v>
      </c>
      <c r="Q62" s="226">
        <f ca="1">IF(Q$37&lt;YEAR(Startops1),0,HLOOKUP(Q$37,CF_Table,CF!$AB$64))</f>
        <v>0</v>
      </c>
      <c r="R62" s="226">
        <f ca="1">IF(R$37&lt;YEAR(Startops1),0,HLOOKUP(R$37,CF_Table,CF!$AB$64))</f>
        <v>0</v>
      </c>
      <c r="S62" s="226">
        <f ca="1">IF(S$37&lt;YEAR(Startops1),0,HLOOKUP(S$37,CF_Table,CF!$AB$64))</f>
        <v>0</v>
      </c>
      <c r="T62" s="226">
        <f ca="1">IF(T$37&lt;YEAR(Startops1),0,HLOOKUP(T$37,CF_Table,CF!$AB$64))</f>
        <v>-1444.7910322207226</v>
      </c>
      <c r="U62" s="226">
        <f ca="1">IF(U$37&lt;YEAR(Startops1),0,HLOOKUP(U$37,CF_Table,CF!$AB$64))</f>
        <v>-6622.3010325317155</v>
      </c>
      <c r="V62" s="226">
        <f ca="1">IF(V$37&lt;YEAR(Startops1),0,HLOOKUP(V$37,CF_Table,CF!$AB$64))</f>
        <v>-6455.8562327545715</v>
      </c>
      <c r="W62" s="226">
        <f ca="1">IF(W$37&lt;YEAR(Startops1),0,HLOOKUP(W$37,CF_Table,CF!$AB$64))</f>
        <v>-7317.7903051127032</v>
      </c>
      <c r="X62" s="226">
        <f ca="1">IF(X$37&lt;YEAR(Startops1),0,HLOOKUP(X$37,CF_Table,CF!$AB$64))</f>
        <v>-7763.8740257395248</v>
      </c>
      <c r="Y62" s="226">
        <f ca="1">IF(Y$37&lt;YEAR(Startops1),0,HLOOKUP(Y$37,CF_Table,CF!$AB$64))</f>
        <v>-8076.5207199335864</v>
      </c>
      <c r="Z62" s="226">
        <f ca="1">IF(Z$37&lt;YEAR(Startops1),0,HLOOKUP(Z$37,CF_Table,CF!$AB$64))</f>
        <v>-8345.4534025752746</v>
      </c>
      <c r="AA62" s="226">
        <f ca="1">IF(AA$37&lt;YEAR(Startops1),0,HLOOKUP(AA$37,CF_Table,CF!$AB$64))</f>
        <v>-8636.9260093069097</v>
      </c>
      <c r="AB62" s="226">
        <f ca="1">IF(AB$37&lt;YEAR(Startops1),0,HLOOKUP(AB$37,CF_Table,CF!$AB$64))</f>
        <v>-2882.1979887238358</v>
      </c>
      <c r="AC62" s="421">
        <f t="shared" ca="1" si="18"/>
        <v>-57545.71074889884</v>
      </c>
    </row>
    <row r="63" spans="1:30">
      <c r="A63" s="139"/>
      <c r="C63" s="8" t="s">
        <v>408</v>
      </c>
      <c r="D63" s="8"/>
      <c r="E63" s="8"/>
      <c r="F63" s="8"/>
      <c r="G63" s="53">
        <f ca="1">SUM(G56:G62)</f>
        <v>-825.14307615655071</v>
      </c>
      <c r="H63" s="53">
        <f t="shared" ref="H63:AB63" ca="1" si="20">SUM(H56:H62)</f>
        <v>-5837.7026413862013</v>
      </c>
      <c r="I63" s="53">
        <f t="shared" ca="1" si="20"/>
        <v>-5091.231203388932</v>
      </c>
      <c r="J63" s="53">
        <f t="shared" ca="1" si="20"/>
        <v>12147.753365604607</v>
      </c>
      <c r="K63" s="53">
        <f t="shared" ca="1" si="20"/>
        <v>21070.775602993683</v>
      </c>
      <c r="L63" s="53">
        <f t="shared" ca="1" si="20"/>
        <v>20199.010908898534</v>
      </c>
      <c r="M63" s="53">
        <f t="shared" ca="1" si="20"/>
        <v>21905.217072763135</v>
      </c>
      <c r="N63" s="53">
        <f t="shared" ca="1" si="20"/>
        <v>18811.634793944999</v>
      </c>
      <c r="O63" s="53">
        <f t="shared" ca="1" si="20"/>
        <v>22564.811928398743</v>
      </c>
      <c r="P63" s="53">
        <f t="shared" ca="1" si="20"/>
        <v>23293.578517483973</v>
      </c>
      <c r="Q63" s="53">
        <f t="shared" ca="1" si="20"/>
        <v>23388.984023342706</v>
      </c>
      <c r="R63" s="53">
        <f t="shared" ca="1" si="20"/>
        <v>24595.768681569658</v>
      </c>
      <c r="S63" s="53">
        <f t="shared" ca="1" si="20"/>
        <v>25082.316379455711</v>
      </c>
      <c r="T63" s="53">
        <f t="shared" ca="1" si="20"/>
        <v>24436.748607966285</v>
      </c>
      <c r="U63" s="53">
        <f t="shared" ca="1" si="20"/>
        <v>20944.978761224473</v>
      </c>
      <c r="V63" s="53">
        <f t="shared" ca="1" si="20"/>
        <v>19572.009363832411</v>
      </c>
      <c r="W63" s="53">
        <f t="shared" ca="1" si="20"/>
        <v>21393.071395759598</v>
      </c>
      <c r="X63" s="53">
        <f t="shared" ca="1" si="20"/>
        <v>21857.332293771175</v>
      </c>
      <c r="Y63" s="53">
        <f t="shared" ca="1" si="20"/>
        <v>22356.188820033054</v>
      </c>
      <c r="Z63" s="53">
        <f t="shared" ca="1" si="20"/>
        <v>22845.538923042783</v>
      </c>
      <c r="AA63" s="53">
        <f t="shared" ca="1" si="20"/>
        <v>23400.491803202538</v>
      </c>
      <c r="AB63" s="53">
        <f t="shared" ca="1" si="20"/>
        <v>7702.6148964035656</v>
      </c>
      <c r="AC63" s="420">
        <f t="shared" ca="1" si="18"/>
        <v>385814.74921875988</v>
      </c>
    </row>
    <row r="64" spans="1:30">
      <c r="A64" s="139"/>
      <c r="D64" s="8"/>
      <c r="E64" s="8"/>
      <c r="F64" s="8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420"/>
    </row>
    <row r="65" spans="1:29">
      <c r="A65" s="146" t="s">
        <v>409</v>
      </c>
      <c r="D65" s="8"/>
      <c r="E65" s="8"/>
      <c r="F65" s="8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420"/>
    </row>
    <row r="66" spans="1:29">
      <c r="A66" s="139"/>
      <c r="B66" s="8" t="s">
        <v>411</v>
      </c>
      <c r="D66" s="8"/>
      <c r="E66" s="8"/>
      <c r="F66" s="8"/>
      <c r="G66" s="53">
        <f ca="1">IF(G$54&lt;YEAR(Startconst),0,HLOOKUP(DATE(G$54,12,31),Idc_Table,IDC!$AP$67)-SUM($F66:F66))</f>
        <v>10372.336370000001</v>
      </c>
      <c r="H66" s="53">
        <f ca="1">HLOOKUP(DATE(H$54,12,31),Idc_Table,IDC!$AP$67)-SUM($F66:G66)</f>
        <v>29627.663640000002</v>
      </c>
      <c r="I66" s="53">
        <f ca="1">HLOOKUP(DATE(I$54,12,31),Idc_Table,IDC!$AP$67)-SUM($F66:H66)</f>
        <v>20000</v>
      </c>
      <c r="J66" s="53">
        <f ca="1">HLOOKUP(DATE(J$54,12,31),Idc_Table,IDC!$AP$67)-SUM($F66:I66)</f>
        <v>0</v>
      </c>
      <c r="K66" s="53">
        <f ca="1">HLOOKUP(DATE(K$54,12,31),Idc_Table,IDC!$AP$67)-SUM($F66:J66)</f>
        <v>0</v>
      </c>
      <c r="L66" s="53">
        <f ca="1">HLOOKUP(DATE(L$54,12,31),Idc_Table,IDC!$AP$67)-SUM($F66:K66)</f>
        <v>0</v>
      </c>
      <c r="M66" s="53">
        <f ca="1">HLOOKUP(DATE(M$54,12,31),Idc_Table,IDC!$AP$67)-SUM($F66:L66)</f>
        <v>0</v>
      </c>
      <c r="N66" s="53">
        <f ca="1">HLOOKUP(DATE(N$54,12,31),Idc_Table,IDC!$AP$67)-SUM($F66:M66)</f>
        <v>0</v>
      </c>
      <c r="O66" s="53">
        <f ca="1">HLOOKUP(DATE(O$54,12,31),Idc_Table,IDC!$AP$67)-SUM($F66:N66)</f>
        <v>0</v>
      </c>
      <c r="P66" s="53">
        <f ca="1">HLOOKUP(DATE(P$54,12,31),Idc_Table,IDC!$AP$67)-SUM($F66:O66)</f>
        <v>0</v>
      </c>
      <c r="Q66" s="53">
        <f ca="1">HLOOKUP(DATE(Q$54,12,31),Idc_Table,IDC!$AP$67)-SUM($F66:P66)</f>
        <v>0</v>
      </c>
      <c r="R66" s="53">
        <f ca="1">HLOOKUP(DATE(R$54,12,31),Idc_Table,IDC!$AP$67)-SUM($F66:Q66)</f>
        <v>0</v>
      </c>
      <c r="S66" s="53">
        <f ca="1">HLOOKUP(DATE(S$54,12,31),Idc_Table,IDC!$AP$67)-SUM($F66:R66)</f>
        <v>0</v>
      </c>
      <c r="T66" s="53">
        <f ca="1">HLOOKUP(DATE(T$54,12,31),Idc_Table,IDC!$AP$67)-SUM($F66:S66)</f>
        <v>0</v>
      </c>
      <c r="U66" s="53">
        <f ca="1">HLOOKUP(DATE(U$54,12,31),Idc_Table,IDC!$AP$67)-SUM($F66:T66)</f>
        <v>0</v>
      </c>
      <c r="V66" s="53">
        <f ca="1">HLOOKUP(DATE(V$54,12,31),Idc_Table,IDC!$AP$67)-SUM($F66:U66)</f>
        <v>0</v>
      </c>
      <c r="W66" s="53">
        <f ca="1">HLOOKUP(DATE(W$54,12,31),Idc_Table,IDC!$AP$67)-SUM($F66:V66)</f>
        <v>0</v>
      </c>
      <c r="X66" s="53">
        <f ca="1">HLOOKUP(DATE(X$54,12,31),Idc_Table,IDC!$AP$67)-SUM($F66:W66)</f>
        <v>0</v>
      </c>
      <c r="Y66" s="53">
        <f ca="1">HLOOKUP(DATE(Y$54,12,31),Idc_Table,IDC!$AP$67)-SUM($F66:X66)</f>
        <v>0</v>
      </c>
      <c r="Z66" s="53">
        <f ca="1">HLOOKUP(DATE(Z$54,12,31),Idc_Table,IDC!$AP$67)-SUM($F66:Y66)</f>
        <v>0</v>
      </c>
      <c r="AA66" s="53">
        <f ca="1">HLOOKUP(DATE(AA$54,12,31),Idc_Table,IDC!$AP$67)-SUM($F66:Z66)</f>
        <v>0</v>
      </c>
      <c r="AB66" s="53">
        <f ca="1">HLOOKUP(DATE(AB$54,12,31),Idc_Table,IDC!$AP$67)-SUM($F66:AA66)</f>
        <v>0</v>
      </c>
      <c r="AC66" s="420">
        <f ca="1">SUM(G66:AB66)</f>
        <v>60000.000010000003</v>
      </c>
    </row>
    <row r="67" spans="1:29">
      <c r="A67" s="139"/>
      <c r="B67" s="8" t="s">
        <v>726</v>
      </c>
      <c r="D67" s="8"/>
      <c r="E67" s="8"/>
      <c r="F67" s="8"/>
      <c r="G67" s="53">
        <f ca="1">IF(G$54&lt;YEAR(Startconst),0,HLOOKUP(DATE(G$54,12,31),Idc_Table,IDC!$AP$75)-SUM($F67:F67))</f>
        <v>0</v>
      </c>
      <c r="H67" s="53">
        <f ca="1">IF(H$54&lt;YEAR(Startconst),0,HLOOKUP(DATE(H$54,12,31),Idc_Table,IDC!$AP$75)-SUM($F67:G67))</f>
        <v>44691.44199957425</v>
      </c>
      <c r="I67" s="53">
        <f ca="1">IF(I$54&lt;YEAR(Startconst),0,HLOOKUP(DATE(I$54,12,31),Idc_Table,IDC!$AP$75)-SUM($F67:H67))</f>
        <v>25437.961773614254</v>
      </c>
      <c r="J67" s="53">
        <f ca="1">IF(J$54&lt;YEAR(Startconst),0,HLOOKUP(DATE(J$54,12,31),Idc_Table,IDC!$AP$75)-SUM($F67:I67))</f>
        <v>0</v>
      </c>
      <c r="K67" s="53">
        <f ca="1">IF(K$54&lt;YEAR(Startconst),0,HLOOKUP(DATE(K$54,12,31),Idc_Table,IDC!$AP$75)-SUM($F67:J67))</f>
        <v>0</v>
      </c>
      <c r="L67" s="53">
        <f ca="1">IF(L$54&lt;YEAR(Startconst),0,HLOOKUP(DATE(L$54,12,31),Idc_Table,IDC!$AP$75)-SUM($F67:K67))</f>
        <v>0</v>
      </c>
      <c r="M67" s="53">
        <f ca="1">IF(M$54&lt;YEAR(Startconst),0,HLOOKUP(DATE(M$54,12,31),Idc_Table,IDC!$AP$75)-SUM($F67:L67))</f>
        <v>0</v>
      </c>
      <c r="N67" s="53">
        <f ca="1">IF(N$54&lt;YEAR(Startconst),0,HLOOKUP(DATE(N$54,12,31),Idc_Table,IDC!$AP$75)-SUM($F67:M67))</f>
        <v>0</v>
      </c>
      <c r="O67" s="53">
        <f ca="1">IF(O$54&lt;YEAR(Startconst),0,HLOOKUP(DATE(O$54,12,31),Idc_Table,IDC!$AP$75)-SUM($F67:N67))</f>
        <v>0</v>
      </c>
      <c r="P67" s="53">
        <f ca="1">IF(P$54&lt;YEAR(Startconst),0,HLOOKUP(DATE(P$54,12,31),Idc_Table,IDC!$AP$75)-SUM($F67:O67))</f>
        <v>0</v>
      </c>
      <c r="Q67" s="53">
        <f ca="1">IF(Q$54&lt;YEAR(Startconst),0,HLOOKUP(DATE(Q$54,12,31),Idc_Table,IDC!$AP$75)-SUM($F67:P67))</f>
        <v>0</v>
      </c>
      <c r="R67" s="53">
        <f ca="1">IF(R$54&lt;YEAR(Startconst),0,HLOOKUP(DATE(R$54,12,31),Idc_Table,IDC!$AP$75)-SUM($F67:Q67))</f>
        <v>0</v>
      </c>
      <c r="S67" s="53">
        <f ca="1">IF(S$54&lt;YEAR(Startconst),0,HLOOKUP(DATE(S$54,12,31),Idc_Table,IDC!$AP$75)-SUM($F67:R67))</f>
        <v>0</v>
      </c>
      <c r="T67" s="53">
        <f ca="1">IF(T$54&lt;YEAR(Startconst),0,HLOOKUP(DATE(T$54,12,31),Idc_Table,IDC!$AP$75)-SUM($F67:S67))</f>
        <v>0</v>
      </c>
      <c r="U67" s="53">
        <f ca="1">IF(U$54&lt;YEAR(Startconst),0,HLOOKUP(DATE(U$54,12,31),Idc_Table,IDC!$AP$75)-SUM($F67:T67))</f>
        <v>0</v>
      </c>
      <c r="V67" s="53">
        <f ca="1">IF(V$54&lt;YEAR(Startconst),0,HLOOKUP(DATE(V$54,12,31),Idc_Table,IDC!$AP$75)-SUM($F67:U67))</f>
        <v>0</v>
      </c>
      <c r="W67" s="53">
        <f ca="1">IF(W$54&lt;YEAR(Startconst),0,HLOOKUP(DATE(W$54,12,31),Idc_Table,IDC!$AP$75)-SUM($F67:V67))</f>
        <v>0</v>
      </c>
      <c r="X67" s="53">
        <f ca="1">IF(X$54&lt;YEAR(Startconst),0,HLOOKUP(DATE(X$54,12,31),Idc_Table,IDC!$AP$75)-SUM($F67:W67))</f>
        <v>0</v>
      </c>
      <c r="Y67" s="53">
        <f ca="1">IF(Y$54&lt;YEAR(Startconst),0,HLOOKUP(DATE(Y$54,12,31),Idc_Table,IDC!$AP$75)-SUM($F67:X67))</f>
        <v>0</v>
      </c>
      <c r="Z67" s="53">
        <f ca="1">IF(Z$54&lt;YEAR(Startconst),0,HLOOKUP(DATE(Z$54,12,31),Idc_Table,IDC!$AP$75)-SUM($F67:Y67))</f>
        <v>0</v>
      </c>
      <c r="AA67" s="53">
        <f ca="1">IF(AA$54&lt;YEAR(Startconst),0,HLOOKUP(DATE(AA$54,12,31),Idc_Table,IDC!$AP$75)-SUM($F67:Z67))</f>
        <v>0</v>
      </c>
      <c r="AB67" s="53">
        <f ca="1">IF(AB$54&lt;YEAR(Startconst),0,HLOOKUP(DATE(AB$54,12,31),Idc_Table,IDC!$AP$75)-SUM($F67:AA67))</f>
        <v>0</v>
      </c>
      <c r="AC67" s="420">
        <f ca="1">SUM(G67:AB67)</f>
        <v>70129.403773188504</v>
      </c>
    </row>
    <row r="68" spans="1:29">
      <c r="A68" s="139"/>
      <c r="B68" s="8" t="s">
        <v>727</v>
      </c>
      <c r="D68" s="8"/>
      <c r="E68" s="8"/>
      <c r="F68" s="8"/>
      <c r="G68" s="53">
        <f ca="1">IF(G$54=YEAR(Fin_Close),-SUM($F67:G67),0)</f>
        <v>0</v>
      </c>
      <c r="H68" s="53">
        <f ca="1">IF(H$54=YEAR(Fin_Close),-SUM($F67:H67),0)</f>
        <v>0</v>
      </c>
      <c r="I68" s="53">
        <f ca="1">IF(I$54=YEAR(Fin_Close),-SUM($F67:I67),0)</f>
        <v>-70129.403773188504</v>
      </c>
      <c r="J68" s="53">
        <f ca="1">IF(J$54=YEAR(Fin_Close),-SUM($F67:J67),0)</f>
        <v>0</v>
      </c>
      <c r="K68" s="53">
        <f ca="1">IF(K$54=YEAR(Fin_Close),-SUM($F67:K67),0)</f>
        <v>0</v>
      </c>
      <c r="L68" s="53">
        <f ca="1">IF(L$54=YEAR(Fin_Close),-SUM($F67:L67),0)</f>
        <v>0</v>
      </c>
      <c r="M68" s="53">
        <f ca="1">IF(M$54=YEAR(Fin_Close),-SUM($F67:M67),0)</f>
        <v>0</v>
      </c>
      <c r="N68" s="53">
        <f ca="1">IF(N$54=YEAR(Fin_Close),-SUM($F67:N67),0)</f>
        <v>0</v>
      </c>
      <c r="O68" s="53">
        <f ca="1">IF(O$54=YEAR(Fin_Close),-SUM($F67:O67),0)</f>
        <v>0</v>
      </c>
      <c r="P68" s="53">
        <f ca="1">IF(P$54=YEAR(Fin_Close),-SUM($F67:P67),0)</f>
        <v>0</v>
      </c>
      <c r="Q68" s="53">
        <f ca="1">IF(Q$54=YEAR(Fin_Close),-SUM($F67:Q67),0)</f>
        <v>0</v>
      </c>
      <c r="R68" s="53">
        <f ca="1">IF(R$54=YEAR(Fin_Close),-SUM($F67:R67),0)</f>
        <v>0</v>
      </c>
      <c r="S68" s="53">
        <f ca="1">IF(S$54=YEAR(Fin_Close),-SUM($F67:S67),0)</f>
        <v>0</v>
      </c>
      <c r="T68" s="53">
        <f ca="1">IF(T$54=YEAR(Fin_Close),-SUM($F67:T67),0)</f>
        <v>0</v>
      </c>
      <c r="U68" s="53">
        <f ca="1">IF(U$54=YEAR(Fin_Close),-SUM($F67:U67),0)</f>
        <v>0</v>
      </c>
      <c r="V68" s="53">
        <f ca="1">IF(V$54=YEAR(Fin_Close),-SUM($F67:V67),0)</f>
        <v>0</v>
      </c>
      <c r="W68" s="53">
        <f ca="1">IF(W$54=YEAR(Fin_Close),-SUM($F67:W67),0)</f>
        <v>0</v>
      </c>
      <c r="X68" s="53">
        <f ca="1">IF(X$54=YEAR(Fin_Close),-SUM($F67:X67),0)</f>
        <v>0</v>
      </c>
      <c r="Y68" s="53">
        <f ca="1">IF(Y$54=YEAR(Fin_Close),-SUM($F67:Y67),0)</f>
        <v>0</v>
      </c>
      <c r="Z68" s="53">
        <f ca="1">IF(Z$54=YEAR(Fin_Close),-SUM($F67:Z67),0)</f>
        <v>0</v>
      </c>
      <c r="AA68" s="53">
        <f ca="1">IF(AA$54=YEAR(Fin_Close),-SUM($F67:AA67),0)</f>
        <v>0</v>
      </c>
      <c r="AB68" s="53">
        <f ca="1">IF(AB$54=YEAR(Fin_Close),-SUM($F67:AB67),0)</f>
        <v>0</v>
      </c>
      <c r="AC68" s="420">
        <f ca="1">SUM(G68:AB68)</f>
        <v>-70129.403773188504</v>
      </c>
    </row>
    <row r="69" spans="1:29">
      <c r="A69" s="139"/>
      <c r="B69" s="8" t="s">
        <v>724</v>
      </c>
      <c r="D69" s="8"/>
      <c r="E69" s="8"/>
      <c r="F69" s="8"/>
      <c r="G69" s="53">
        <f ca="1">IF(G$54&lt;YEAR(Startconst),0,HLOOKUP(DATE(G$54,12,31),Idc_Table,IDC!$AP$38)-SUM($F69:F69))</f>
        <v>0</v>
      </c>
      <c r="H69" s="53">
        <f ca="1">IF(H$54&lt;YEAR(Startconst),0,HLOOKUP(DATE(H$54,12,31),Idc_Table,IDC!$AP$38)-SUM($F69:G69))</f>
        <v>0</v>
      </c>
      <c r="I69" s="53">
        <f ca="1">IF(I$54&lt;YEAR(Startconst),0,HLOOKUP(DATE(I$54,12,31),Idc_Table,IDC!$AP$38)-SUM($F69:H69))</f>
        <v>91998.497448496521</v>
      </c>
      <c r="J69" s="53">
        <f ca="1">IF(J$54&lt;YEAR(Startconst),0,HLOOKUP(DATE(J$54,12,31),Idc_Table,IDC!$AP$38)-SUM($F69:I69))</f>
        <v>1711.9580607819662</v>
      </c>
      <c r="K69" s="53">
        <f ca="1">IF(K$54&lt;YEAR(Startconst),0,HLOOKUP(DATE(K$54,12,31),Idc_Table,IDC!$AP$38)-SUM($F69:J69))</f>
        <v>0</v>
      </c>
      <c r="L69" s="53">
        <f ca="1">IF(L$54&lt;YEAR(Startconst),0,HLOOKUP(DATE(L$54,12,31),Idc_Table,IDC!$AP$38)-SUM($F69:K69))</f>
        <v>0</v>
      </c>
      <c r="M69" s="53">
        <f ca="1">IF(M$54&lt;YEAR(Startconst),0,HLOOKUP(DATE(M$54,12,31),Idc_Table,IDC!$AP$38)-SUM($F69:L69))</f>
        <v>0</v>
      </c>
      <c r="N69" s="53">
        <f ca="1">IF(N$54&lt;YEAR(Startconst),0,HLOOKUP(DATE(N$54,12,31),Idc_Table,IDC!$AP$38)-SUM($F69:M69))</f>
        <v>0</v>
      </c>
      <c r="O69" s="53">
        <f ca="1">IF(O$54&lt;YEAR(Startconst),0,HLOOKUP(DATE(O$54,12,31),Idc_Table,IDC!$AP$38)-SUM($F69:N69))</f>
        <v>0</v>
      </c>
      <c r="P69" s="53">
        <f ca="1">IF(P$54&lt;YEAR(Startconst),0,HLOOKUP(DATE(P$54,12,31),Idc_Table,IDC!$AP$38)-SUM($F69:O69))</f>
        <v>0</v>
      </c>
      <c r="Q69" s="53">
        <f ca="1">IF(Q$54&lt;YEAR(Startconst),0,HLOOKUP(DATE(Q$54,12,31),Idc_Table,IDC!$AP$38)-SUM($F69:P69))</f>
        <v>0</v>
      </c>
      <c r="R69" s="53">
        <f ca="1">IF(R$54&lt;YEAR(Startconst),0,HLOOKUP(DATE(R$54,12,31),Idc_Table,IDC!$AP$38)-SUM($F69:Q69))</f>
        <v>0</v>
      </c>
      <c r="S69" s="53">
        <f ca="1">IF(S$54&lt;YEAR(Startconst),0,HLOOKUP(DATE(S$54,12,31),Idc_Table,IDC!$AP$38)-SUM($F69:R69))</f>
        <v>0</v>
      </c>
      <c r="T69" s="53">
        <f ca="1">IF(T$54&lt;YEAR(Startconst),0,HLOOKUP(DATE(T$54,12,31),Idc_Table,IDC!$AP$38)-SUM($F69:S69))</f>
        <v>0</v>
      </c>
      <c r="U69" s="53">
        <f ca="1">IF(U$54&lt;YEAR(Startconst),0,HLOOKUP(DATE(U$54,12,31),Idc_Table,IDC!$AP$38)-SUM($F69:T69))</f>
        <v>0</v>
      </c>
      <c r="V69" s="53">
        <f ca="1">IF(V$54&lt;YEAR(Startconst),0,HLOOKUP(DATE(V$54,12,31),Idc_Table,IDC!$AP$38)-SUM($F69:U69))</f>
        <v>0</v>
      </c>
      <c r="W69" s="53">
        <f ca="1">IF(W$54&lt;YEAR(Startconst),0,HLOOKUP(DATE(W$54,12,31),Idc_Table,IDC!$AP$38)-SUM($F69:V69))</f>
        <v>0</v>
      </c>
      <c r="X69" s="53">
        <f ca="1">IF(X$54&lt;YEAR(Startconst),0,HLOOKUP(DATE(X$54,12,31),Idc_Table,IDC!$AP$38)-SUM($F69:W69))</f>
        <v>0</v>
      </c>
      <c r="Y69" s="53">
        <f ca="1">IF(Y$54&lt;YEAR(Startconst),0,HLOOKUP(DATE(Y$54,12,31),Idc_Table,IDC!$AP$38)-SUM($F69:X69))</f>
        <v>0</v>
      </c>
      <c r="Z69" s="53">
        <f ca="1">IF(Z$54&lt;YEAR(Startconst),0,HLOOKUP(DATE(Z$54,12,31),Idc_Table,IDC!$AP$38)-SUM($F69:Y69))</f>
        <v>0</v>
      </c>
      <c r="AA69" s="53">
        <f ca="1">IF(AA$54&lt;YEAR(Startconst),0,HLOOKUP(DATE(AA$54,12,31),Idc_Table,IDC!$AP$38)-SUM($F69:Z69))</f>
        <v>0</v>
      </c>
      <c r="AB69" s="53">
        <f ca="1">IF(AB$54&lt;YEAR(Startconst),0,HLOOKUP(DATE(AB$54,12,31),Idc_Table,IDC!$AP$38)-SUM($F69:AA69))</f>
        <v>0</v>
      </c>
      <c r="AC69" s="420">
        <f t="shared" ref="AC69:AC84" ca="1" si="21">SUM(G69:AB69)</f>
        <v>93710.455509278487</v>
      </c>
    </row>
    <row r="70" spans="1:29">
      <c r="A70" s="139"/>
      <c r="B70" s="8" t="s">
        <v>725</v>
      </c>
      <c r="D70" s="8"/>
      <c r="E70" s="8"/>
      <c r="F70" s="8"/>
      <c r="G70" s="53">
        <f ca="1">IF(G$37&lt;YEAR(Startops1),0,HLOOKUP(G$37,CF_Table,CF!$AB$65))</f>
        <v>0</v>
      </c>
      <c r="H70" s="53">
        <f ca="1">IF(H$37&lt;YEAR(Startops1),0,HLOOKUP(H$37,CF_Table,CF!$AB$65))</f>
        <v>0</v>
      </c>
      <c r="I70" s="53">
        <f ca="1">IF(I$37&lt;YEAR(Startops1),0,HLOOKUP(I$37,CF_Table,CF!$AB$65))</f>
        <v>0</v>
      </c>
      <c r="J70" s="53">
        <f ca="1">IF(J$37&lt;YEAR(Startops1),0,HLOOKUP(J$37,CF_Table,CF!$AB$65))</f>
        <v>0</v>
      </c>
      <c r="K70" s="53">
        <f ca="1">IF(K$37&lt;YEAR(Startops1),0,HLOOKUP(K$37,CF_Table,CF!$AB$65))</f>
        <v>-1405.5229605598795</v>
      </c>
      <c r="L70" s="53">
        <f ca="1">IF(L$37&lt;YEAR(Startops1),0,HLOOKUP(L$37,CF_Table,CF!$AB$65))</f>
        <v>-2382.923011521651</v>
      </c>
      <c r="M70" s="53">
        <f ca="1">IF(M$37&lt;YEAR(Startops1),0,HLOOKUP(M$37,CF_Table,CF!$AB$65))</f>
        <v>-6693.6039649484646</v>
      </c>
      <c r="N70" s="53">
        <f ca="1">IF(N$37&lt;YEAR(Startops1),0,HLOOKUP(N$37,CF_Table,CF!$AB$65))</f>
        <v>-8497.6194815549406</v>
      </c>
      <c r="O70" s="53">
        <f ca="1">IF(O$37&lt;YEAR(Startops1),0,HLOOKUP(O$37,CF_Table,CF!$AB$65))</f>
        <v>-9626.8304704417478</v>
      </c>
      <c r="P70" s="53">
        <f ca="1">IF(P$37&lt;YEAR(Startops1),0,HLOOKUP(P$37,CF_Table,CF!$AB$65))</f>
        <v>-10329.658886761337</v>
      </c>
      <c r="Q70" s="53">
        <f ca="1">IF(Q$37&lt;YEAR(Startops1),0,HLOOKUP(Q$37,CF_Table,CF!$AB$65))</f>
        <v>-7836.9607702145286</v>
      </c>
      <c r="R70" s="53">
        <f ca="1">IF(R$37&lt;YEAR(Startops1),0,HLOOKUP(R$37,CF_Table,CF!$AB$65))</f>
        <v>-5344.2626536677199</v>
      </c>
      <c r="S70" s="53">
        <f ca="1">IF(S$37&lt;YEAR(Startops1),0,HLOOKUP(S$37,CF_Table,CF!$AB$65))</f>
        <v>-5344.2626536677199</v>
      </c>
      <c r="T70" s="53">
        <f ca="1">IF(T$37&lt;YEAR(Startops1),0,HLOOKUP(T$37,CF_Table,CF!$AB$65))</f>
        <v>-6590.6117119411247</v>
      </c>
      <c r="U70" s="53">
        <f ca="1">IF(U$37&lt;YEAR(Startops1),0,HLOOKUP(U$37,CF_Table,CF!$AB$65))</f>
        <v>-7836.9607702145304</v>
      </c>
      <c r="V70" s="53">
        <f ca="1">IF(V$37&lt;YEAR(Startops1),0,HLOOKUP(V$37,CF_Table,CF!$AB$65))</f>
        <v>-7836.9607702145304</v>
      </c>
      <c r="W70" s="53">
        <f ca="1">IF(W$37&lt;YEAR(Startops1),0,HLOOKUP(W$37,CF_Table,CF!$AB$65))</f>
        <v>-8118.0921367423653</v>
      </c>
      <c r="X70" s="53">
        <f ca="1">IF(X$37&lt;YEAR(Startops1),0,HLOOKUP(X$37,CF_Table,CF!$AB$65))</f>
        <v>-5866.185266827998</v>
      </c>
      <c r="Y70" s="53">
        <f ca="1">IF(Y$37&lt;YEAR(Startops1),0,HLOOKUP(Y$37,CF_Table,CF!$AB$65))</f>
        <v>0</v>
      </c>
      <c r="Z70" s="53">
        <f ca="1">IF(Z$37&lt;YEAR(Startops1),0,HLOOKUP(Z$37,CF_Table,CF!$AB$65))</f>
        <v>0</v>
      </c>
      <c r="AA70" s="53">
        <f ca="1">IF(AA$37&lt;YEAR(Startops1),0,HLOOKUP(AA$37,CF_Table,CF!$AB$65))</f>
        <v>0</v>
      </c>
      <c r="AB70" s="53">
        <f ca="1">IF(AB$37&lt;YEAR(Startops1),0,HLOOKUP(AB$37,CF_Table,CF!$AB$65))</f>
        <v>0</v>
      </c>
      <c r="AC70" s="420">
        <f t="shared" ca="1" si="21"/>
        <v>-93710.45550927853</v>
      </c>
    </row>
    <row r="71" spans="1:29">
      <c r="A71" s="139"/>
      <c r="B71" s="8" t="s">
        <v>1150</v>
      </c>
      <c r="D71" s="8"/>
      <c r="E71" s="8"/>
      <c r="F71" s="8"/>
      <c r="G71" s="53">
        <f ca="1">IF(G$54&lt;YEAR(Startconst),0,HLOOKUP(DATE(G$54,12,31),Idc_Table,IDC!$AP$46)-SUM($F71:F71))</f>
        <v>0</v>
      </c>
      <c r="H71" s="53">
        <f ca="1">IF(H$54&lt;YEAR(Startconst),0,HLOOKUP(DATE(H$54,12,31),Idc_Table,IDC!$AP$46)-SUM($F71:G71))</f>
        <v>0</v>
      </c>
      <c r="I71" s="53">
        <f ca="1">IF(I$54&lt;YEAR(Startconst),0,HLOOKUP(DATE(I$54,12,31),Idc_Table,IDC!$AP$46)-SUM($F71:H71))</f>
        <v>2428.4471315963551</v>
      </c>
      <c r="J71" s="53">
        <f ca="1">IF(J$54&lt;YEAR(Startconst),0,HLOOKUP(DATE(J$54,12,31),Idc_Table,IDC!$AP$46)-SUM($F71:I71))</f>
        <v>45.189864589327954</v>
      </c>
      <c r="K71" s="53">
        <f ca="1">IF(K$54&lt;YEAR(Startconst),0,HLOOKUP(DATE(K$54,12,31),Idc_Table,IDC!$AP$46)-SUM($F71:J71))</f>
        <v>0</v>
      </c>
      <c r="L71" s="53">
        <f ca="1">IF(L$54&lt;YEAR(Startconst),0,HLOOKUP(DATE(L$54,12,31),Idc_Table,IDC!$AP$46)-SUM($F71:K71))</f>
        <v>0</v>
      </c>
      <c r="M71" s="53">
        <f ca="1">IF(M$54&lt;YEAR(Startconst),0,HLOOKUP(DATE(M$54,12,31),Idc_Table,IDC!$AP$46)-SUM($F71:L71))</f>
        <v>0</v>
      </c>
      <c r="N71" s="53">
        <f ca="1">IF(N$54&lt;YEAR(Startconst),0,HLOOKUP(DATE(N$54,12,31),Idc_Table,IDC!$AP$46)-SUM($F71:M71))</f>
        <v>0</v>
      </c>
      <c r="O71" s="53">
        <f ca="1">IF(O$54&lt;YEAR(Startconst),0,HLOOKUP(DATE(O$54,12,31),Idc_Table,IDC!$AP$46)-SUM($F71:N71))</f>
        <v>0</v>
      </c>
      <c r="P71" s="53">
        <f ca="1">IF(P$54&lt;YEAR(Startconst),0,HLOOKUP(DATE(P$54,12,31),Idc_Table,IDC!$AP$46)-SUM($F71:O71))</f>
        <v>0</v>
      </c>
      <c r="Q71" s="53">
        <f ca="1">IF(Q$54&lt;YEAR(Startconst),0,HLOOKUP(DATE(Q$54,12,31),Idc_Table,IDC!$AP$46)-SUM($F71:P71))</f>
        <v>0</v>
      </c>
      <c r="R71" s="53">
        <f ca="1">IF(R$54&lt;YEAR(Startconst),0,HLOOKUP(DATE(R$54,12,31),Idc_Table,IDC!$AP$46)-SUM($F71:Q71))</f>
        <v>0</v>
      </c>
      <c r="S71" s="53">
        <f ca="1">IF(S$54&lt;YEAR(Startconst),0,HLOOKUP(DATE(S$54,12,31),Idc_Table,IDC!$AP$46)-SUM($F71:R71))</f>
        <v>0</v>
      </c>
      <c r="T71" s="53">
        <f ca="1">IF(T$54&lt;YEAR(Startconst),0,HLOOKUP(DATE(T$54,12,31),Idc_Table,IDC!$AP$46)-SUM($F71:S71))</f>
        <v>0</v>
      </c>
      <c r="U71" s="53">
        <f ca="1">IF(U$54&lt;YEAR(Startconst),0,HLOOKUP(DATE(U$54,12,31),Idc_Table,IDC!$AP$46)-SUM($F71:T71))</f>
        <v>0</v>
      </c>
      <c r="V71" s="53">
        <f ca="1">IF(V$54&lt;YEAR(Startconst),0,HLOOKUP(DATE(V$54,12,31),Idc_Table,IDC!$AP$46)-SUM($F71:U71))</f>
        <v>0</v>
      </c>
      <c r="W71" s="53">
        <f ca="1">IF(W$54&lt;YEAR(Startconst),0,HLOOKUP(DATE(W$54,12,31),Idc_Table,IDC!$AP$46)-SUM($F71:V71))</f>
        <v>0</v>
      </c>
      <c r="X71" s="53">
        <f ca="1">IF(X$54&lt;YEAR(Startconst),0,HLOOKUP(DATE(X$54,12,31),Idc_Table,IDC!$AP$46)-SUM($F71:W71))</f>
        <v>0</v>
      </c>
      <c r="Y71" s="53">
        <f ca="1">IF(Y$54&lt;YEAR(Startconst),0,HLOOKUP(DATE(Y$54,12,31),Idc_Table,IDC!$AP$46)-SUM($F71:X71))</f>
        <v>0</v>
      </c>
      <c r="Z71" s="53">
        <f ca="1">IF(Z$54&lt;YEAR(Startconst),0,HLOOKUP(DATE(Z$54,12,31),Idc_Table,IDC!$AP$46)-SUM($F71:Y71))</f>
        <v>0</v>
      </c>
      <c r="AA71" s="53">
        <f ca="1">IF(AA$54&lt;YEAR(Startconst),0,HLOOKUP(DATE(AA$54,12,31),Idc_Table,IDC!$AP$46)-SUM($F71:Z71))</f>
        <v>0</v>
      </c>
      <c r="AB71" s="53">
        <f ca="1">IF(AB$54&lt;YEAR(Startconst),0,HLOOKUP(DATE(AB$54,12,31),Idc_Table,IDC!$AP$46)-SUM($F71:AA71))</f>
        <v>0</v>
      </c>
      <c r="AC71" s="420">
        <f ca="1">SUM(G71:AB71)</f>
        <v>2473.6369961856831</v>
      </c>
    </row>
    <row r="72" spans="1:29">
      <c r="A72" s="139"/>
      <c r="B72" s="8" t="s">
        <v>1151</v>
      </c>
      <c r="D72" s="8"/>
      <c r="E72" s="8"/>
      <c r="F72" s="8"/>
      <c r="G72" s="53">
        <f ca="1">IF(G$37&lt;YEAR(Startops1),0,HLOOKUP(G$37,CF_Table,CF!$AB$69))</f>
        <v>0</v>
      </c>
      <c r="H72" s="53">
        <f ca="1">IF(H$37&lt;YEAR(Startops1),0,HLOOKUP(H$37,CF_Table,CF!$AB$69))</f>
        <v>0</v>
      </c>
      <c r="I72" s="53">
        <f ca="1">IF(I$37&lt;YEAR(Startops1),0,HLOOKUP(I$37,CF_Table,CF!$AB$69))</f>
        <v>0</v>
      </c>
      <c r="J72" s="53">
        <f ca="1">IF(J$37&lt;YEAR(Startops1),0,HLOOKUP(J$37,CF_Table,CF!$AB$69))</f>
        <v>0</v>
      </c>
      <c r="K72" s="53">
        <f ca="1">IF(K$37&lt;YEAR(Startops1),0,HLOOKUP(K$37,CF_Table,CF!$AB$69))</f>
        <v>-110.799981751606</v>
      </c>
      <c r="L72" s="53">
        <f ca="1">IF(L$37&lt;YEAR(Startops1),0,HLOOKUP(L$37,CF_Table,CF!$AB$69))</f>
        <v>-125.67210930221523</v>
      </c>
      <c r="M72" s="53">
        <f ca="1">IF(M$37&lt;YEAR(Startops1),0,HLOOKUP(M$37,CF_Table,CF!$AB$69))</f>
        <v>-142.54044817330512</v>
      </c>
      <c r="N72" s="53">
        <f ca="1">IF(N$37&lt;YEAR(Startops1),0,HLOOKUP(N$37,CF_Table,CF!$AB$69))</f>
        <v>-161.67293982936695</v>
      </c>
      <c r="O72" s="53">
        <f ca="1">IF(O$37&lt;YEAR(Startops1),0,HLOOKUP(O$37,CF_Table,CF!$AB$69))</f>
        <v>-183.37349017796362</v>
      </c>
      <c r="P72" s="53">
        <f ca="1">IF(P$37&lt;YEAR(Startops1),0,HLOOKUP(P$37,CF_Table,CF!$AB$69))</f>
        <v>-207.98679689710076</v>
      </c>
      <c r="Q72" s="53">
        <f ca="1">IF(Q$37&lt;YEAR(Startops1),0,HLOOKUP(Q$37,CF_Table,CF!$AB$69))</f>
        <v>-235.903824710614</v>
      </c>
      <c r="R72" s="53">
        <f ca="1">IF(R$37&lt;YEAR(Startops1),0,HLOOKUP(R$37,CF_Table,CF!$AB$69))</f>
        <v>-267.56801558239607</v>
      </c>
      <c r="S72" s="53">
        <f ca="1">IF(S$37&lt;YEAR(Startops1),0,HLOOKUP(S$37,CF_Table,CF!$AB$69))</f>
        <v>-303.48233247394296</v>
      </c>
      <c r="T72" s="53">
        <f ca="1">IF(T$37&lt;YEAR(Startops1),0,HLOOKUP(T$37,CF_Table,CF!$AB$69))</f>
        <v>-344.21724855025781</v>
      </c>
      <c r="U72" s="53">
        <f ca="1">IF(U$37&lt;YEAR(Startops1),0,HLOOKUP(U$37,CF_Table,CF!$AB$69))</f>
        <v>-390.41980873691523</v>
      </c>
      <c r="V72" s="53">
        <f ca="1">IF(V$37&lt;YEAR(Startops1),0,HLOOKUP(V$37,CF_Table,CF!$AB$69))</f>
        <v>0</v>
      </c>
      <c r="W72" s="53">
        <f ca="1">IF(W$37&lt;YEAR(Startops1),0,HLOOKUP(W$37,CF_Table,CF!$AB$69))</f>
        <v>0</v>
      </c>
      <c r="X72" s="53">
        <f ca="1">IF(X$37&lt;YEAR(Startops1),0,HLOOKUP(X$37,CF_Table,CF!$AB$69))</f>
        <v>0</v>
      </c>
      <c r="Y72" s="53">
        <f ca="1">IF(Y$37&lt;YEAR(Startops1),0,HLOOKUP(Y$37,CF_Table,CF!$AB$69))</f>
        <v>0</v>
      </c>
      <c r="Z72" s="53">
        <f ca="1">IF(Z$37&lt;YEAR(Startops1),0,HLOOKUP(Z$37,CF_Table,CF!$AB$69))</f>
        <v>0</v>
      </c>
      <c r="AA72" s="53">
        <f ca="1">IF(AA$37&lt;YEAR(Startops1),0,HLOOKUP(AA$37,CF_Table,CF!$AB$69))</f>
        <v>0</v>
      </c>
      <c r="AB72" s="53">
        <f ca="1">IF(AB$37&lt;YEAR(Startops1),0,HLOOKUP(AB$37,CF_Table,CF!$AB$69))</f>
        <v>0</v>
      </c>
      <c r="AC72" s="420">
        <f ca="1">SUM(G72:AB72)</f>
        <v>-2473.6369961856835</v>
      </c>
    </row>
    <row r="73" spans="1:29">
      <c r="A73" s="139"/>
      <c r="B73" s="8" t="s">
        <v>412</v>
      </c>
      <c r="D73" s="8"/>
      <c r="E73" s="8"/>
      <c r="F73" s="8"/>
      <c r="G73" s="53">
        <f ca="1">IF(G$54&lt;YEAR(Startconst),0,-HLOOKUP(DATE(G$54,12,31),Idc_Table,IDC!$AP$20)+SUM(Trapped!$E78:E78)+IF(G$54&gt;=YEAR(Startops1),Wcap+Linefill,0)-SUM($G80:G80)-SUM($F73:F73))</f>
        <v>-9547.1932938434511</v>
      </c>
      <c r="H73" s="53">
        <f ca="1">IF(H$54&lt;YEAR(Startconst),0,-HLOOKUP(DATE(H$54,12,31),Idc_Table,IDC!$AP$20)+SUM(Trapped!$E78:F78)+IF(H$54&gt;=YEAR(Startops1),Wcap+Linefill,0)-SUM($G80:H80)-SUM($F73:G73))</f>
        <v>-68481.402998188059</v>
      </c>
      <c r="I73" s="53">
        <f ca="1">IF(I$54&lt;YEAR(Startconst),0,-HLOOKUP(DATE(I$54,12,31),Idc_Table,IDC!$AP$20)+SUM(Trapped!$E78:G78)+IF(I$54&gt;=YEAR(Startops1),Wcap+Linefill,0)-SUM($G80:I80)-SUM($F73:H73))</f>
        <v>-64644.271377129699</v>
      </c>
      <c r="J73" s="53">
        <f ca="1">IF(J$54&lt;YEAR(Startconst),0,-HLOOKUP(DATE(J$54,12,31),Idc_Table,IDC!$AP$20)+SUM(Trapped!$E78:H78)+IF(J$54&gt;=YEAR(Startops1),Wcap+Linefill,0)-SUM($G80:J80)-SUM($F73:I73))</f>
        <v>-1537.1194274478185</v>
      </c>
      <c r="K73" s="53">
        <f ca="1">IF(K$54&lt;YEAR(Startconst),0,-HLOOKUP(DATE(K$54,12,31),Idc_Table,IDC!$AP$20)+SUM(Trapped!$E78:I78)+IF(K$54&gt;=YEAR(Startops1),Wcap+Linefill,0)-SUM($G80:K80)-SUM($F73:J73))</f>
        <v>0</v>
      </c>
      <c r="L73" s="53">
        <f ca="1">IF(L$54&lt;YEAR(Startconst),0,-HLOOKUP(DATE(L$54,12,31),Idc_Table,IDC!$AP$20)+SUM(Trapped!$E78:J78)+IF(L$54&gt;=YEAR(Startops1),Wcap+Linefill,0)-SUM($G80:L80)-SUM($F73:K73))</f>
        <v>0</v>
      </c>
      <c r="M73" s="53">
        <f ca="1">IF(M$54&lt;YEAR(Startconst),0,-HLOOKUP(DATE(M$54,12,31),Idc_Table,IDC!$AP$20)+SUM(Trapped!$E78:K78)+IF(M$54&gt;=YEAR(Startops1),Wcap+Linefill,0)-SUM($G80:M80)-SUM($F73:L73))</f>
        <v>0</v>
      </c>
      <c r="N73" s="53">
        <f ca="1">IF(N$54&lt;YEAR(Startconst),0,-HLOOKUP(DATE(N$54,12,31),Idc_Table,IDC!$AP$20)+SUM(Trapped!$E78:L78)+IF(N$54&gt;=YEAR(Startops1),Wcap+Linefill,0)-SUM($G80:N80)-SUM($F73:M73))</f>
        <v>0</v>
      </c>
      <c r="O73" s="53">
        <f ca="1">IF(O$54&lt;YEAR(Startconst),0,-HLOOKUP(DATE(O$54,12,31),Idc_Table,IDC!$AP$20)+SUM(Trapped!$E78:M78)+IF(O$54&gt;=YEAR(Startops1),Wcap+Linefill,0)-SUM($G80:O80)-SUM($F73:N73))</f>
        <v>0</v>
      </c>
      <c r="P73" s="53">
        <f ca="1">IF(P$54&lt;YEAR(Startconst),0,-HLOOKUP(DATE(P$54,12,31),Idc_Table,IDC!$AP$20)+SUM(Trapped!$E78:N78)+IF(P$54&gt;=YEAR(Startops1),Wcap+Linefill,0)-SUM($G80:P80)-SUM($F73:O73))</f>
        <v>0</v>
      </c>
      <c r="Q73" s="53">
        <f ca="1">IF(Q$54&lt;YEAR(Startconst),0,-HLOOKUP(DATE(Q$54,12,31),Idc_Table,IDC!$AP$20)+SUM(Trapped!$E78:O78)+IF(Q$54&gt;=YEAR(Startops1),Wcap+Linefill,0)-SUM($G80:Q80)-SUM($F73:P73))</f>
        <v>0</v>
      </c>
      <c r="R73" s="53">
        <f ca="1">IF(R$54&lt;YEAR(Startconst),0,-HLOOKUP(DATE(R$54,12,31),Idc_Table,IDC!$AP$20)+SUM(Trapped!$E78:P78)+IF(R$54&gt;=YEAR(Startops1),Wcap+Linefill,0)-SUM($G80:R80)-SUM($F73:Q73))</f>
        <v>0</v>
      </c>
      <c r="S73" s="53">
        <f ca="1">IF(S$54&lt;YEAR(Startconst),0,-HLOOKUP(DATE(S$54,12,31),Idc_Table,IDC!$AP$20)+SUM(Trapped!$E78:Q78)+IF(S$54&gt;=YEAR(Startops1),Wcap+Linefill,0)-SUM($G80:S80)-SUM($F73:R73))</f>
        <v>0</v>
      </c>
      <c r="T73" s="53">
        <f ca="1">IF(T$54&lt;YEAR(Startconst),0,-HLOOKUP(DATE(T$54,12,31),Idc_Table,IDC!$AP$20)+SUM(Trapped!$E78:R78)+IF(T$54&gt;=YEAR(Startops1),Wcap+Linefill,0)-SUM($G80:T80)-SUM($F73:S73))</f>
        <v>0</v>
      </c>
      <c r="U73" s="53">
        <f ca="1">IF(U$54&lt;YEAR(Startconst),0,-HLOOKUP(DATE(U$54,12,31),Idc_Table,IDC!$AP$20)+SUM(Trapped!$E78:S78)+IF(U$54&gt;=YEAR(Startops1),Wcap+Linefill,0)-SUM($G80:U80)-SUM($F73:T73))</f>
        <v>0</v>
      </c>
      <c r="V73" s="53">
        <f ca="1">IF(V$54&lt;YEAR(Startconst),0,-HLOOKUP(DATE(V$54,12,31),Idc_Table,IDC!$AP$20)+SUM(Trapped!$E78:T78)+IF(V$54&gt;=YEAR(Startops1),Wcap+Linefill,0)-SUM($G80:V80)-SUM($F73:U73))</f>
        <v>0</v>
      </c>
      <c r="W73" s="53">
        <f ca="1">IF(W$54&lt;YEAR(Startconst),0,-HLOOKUP(DATE(W$54,12,31),Idc_Table,IDC!$AP$20)+SUM(Trapped!$E78:U78)+IF(W$54&gt;=YEAR(Startops1),Wcap+Linefill,0)-SUM($G80:W80)-SUM($F73:V73))</f>
        <v>0</v>
      </c>
      <c r="X73" s="53">
        <f ca="1">IF(X$54&lt;YEAR(Startconst),0,-HLOOKUP(DATE(X$54,12,31),Idc_Table,IDC!$AP$20)+SUM(Trapped!$E78:V78)+IF(X$54&gt;=YEAR(Startops1),Wcap+Linefill,0)-SUM($G80:X80)-SUM($F73:W73))</f>
        <v>0</v>
      </c>
      <c r="Y73" s="53">
        <f ca="1">IF(Y$54&lt;YEAR(Startconst),0,-HLOOKUP(DATE(Y$54,12,31),Idc_Table,IDC!$AP$20)+SUM(Trapped!$E78:W78)+IF(Y$54&gt;=YEAR(Startops1),Wcap+Linefill,0)-SUM($G80:Y80)-SUM($F73:X73))</f>
        <v>0</v>
      </c>
      <c r="Z73" s="53">
        <f ca="1">IF(Z$54&lt;YEAR(Startconst),0,-HLOOKUP(DATE(Z$54,12,31),Idc_Table,IDC!$AP$20)+SUM(Trapped!$E78:X78)+IF(Z$54&gt;=YEAR(Startops1),Wcap+Linefill,0)-SUM($G80:Z80)-SUM($F73:Y73))</f>
        <v>0</v>
      </c>
      <c r="AA73" s="53">
        <f ca="1">IF(AA$54&lt;YEAR(Startconst),0,-HLOOKUP(DATE(AA$54,12,31),Idc_Table,IDC!$AP$20)+SUM(Trapped!$E78:Y78)+IF(AA$54&gt;=YEAR(Startops1),Wcap+Linefill,0)-SUM($G80:AA80)-SUM($F73:Z73))</f>
        <v>0</v>
      </c>
      <c r="AB73" s="53">
        <f ca="1">IF(AB$54&lt;YEAR(Startconst),0,-HLOOKUP(DATE(AB$54,12,31),Idc_Table,IDC!$AP$20)+SUM(Trapped!$E78:Z78)+IF(AB$54&gt;=YEAR(Startops1),Wcap+Linefill,0)-SUM($G80:AB80)-SUM($F73:AA73))</f>
        <v>0</v>
      </c>
      <c r="AC73" s="420">
        <f t="shared" ca="1" si="21"/>
        <v>-144209.98709660902</v>
      </c>
    </row>
    <row r="74" spans="1:29">
      <c r="A74" s="139"/>
      <c r="B74" s="8" t="s">
        <v>419</v>
      </c>
      <c r="D74" s="8"/>
      <c r="E74" s="8"/>
      <c r="F74" s="8"/>
      <c r="G74" s="53">
        <f t="shared" ref="G74:AB74" si="22">IF(G$54=YEAR(Startops1),-Linefill,0)</f>
        <v>0</v>
      </c>
      <c r="H74" s="53">
        <f t="shared" si="22"/>
        <v>0</v>
      </c>
      <c r="I74" s="53">
        <f t="shared" si="22"/>
        <v>0</v>
      </c>
      <c r="J74" s="53">
        <f t="shared" si="22"/>
        <v>-220</v>
      </c>
      <c r="K74" s="53">
        <f t="shared" si="22"/>
        <v>0</v>
      </c>
      <c r="L74" s="53">
        <f t="shared" si="22"/>
        <v>0</v>
      </c>
      <c r="M74" s="53">
        <f t="shared" si="22"/>
        <v>0</v>
      </c>
      <c r="N74" s="53">
        <f t="shared" si="22"/>
        <v>0</v>
      </c>
      <c r="O74" s="53">
        <f t="shared" si="22"/>
        <v>0</v>
      </c>
      <c r="P74" s="53">
        <f t="shared" si="22"/>
        <v>0</v>
      </c>
      <c r="Q74" s="53">
        <f t="shared" si="22"/>
        <v>0</v>
      </c>
      <c r="R74" s="53">
        <f t="shared" si="22"/>
        <v>0</v>
      </c>
      <c r="S74" s="53">
        <f t="shared" si="22"/>
        <v>0</v>
      </c>
      <c r="T74" s="53">
        <f t="shared" si="22"/>
        <v>0</v>
      </c>
      <c r="U74" s="53">
        <f t="shared" si="22"/>
        <v>0</v>
      </c>
      <c r="V74" s="53">
        <f t="shared" si="22"/>
        <v>0</v>
      </c>
      <c r="W74" s="53">
        <f t="shared" si="22"/>
        <v>0</v>
      </c>
      <c r="X74" s="53">
        <f t="shared" si="22"/>
        <v>0</v>
      </c>
      <c r="Y74" s="53">
        <f t="shared" si="22"/>
        <v>0</v>
      </c>
      <c r="Z74" s="53">
        <f t="shared" si="22"/>
        <v>0</v>
      </c>
      <c r="AA74" s="53">
        <f t="shared" si="22"/>
        <v>0</v>
      </c>
      <c r="AB74" s="53">
        <f t="shared" si="22"/>
        <v>0</v>
      </c>
      <c r="AC74" s="420">
        <f t="shared" si="21"/>
        <v>-220</v>
      </c>
    </row>
    <row r="75" spans="1:29">
      <c r="A75" s="139"/>
      <c r="B75" s="8" t="s">
        <v>573</v>
      </c>
      <c r="D75" s="8"/>
      <c r="E75" s="8"/>
      <c r="F75" s="8"/>
      <c r="G75" s="53">
        <f ca="1">IF(G$54&lt;YEAR(Startops1),0,HLOOKUP(G$54,CF_Table,CF!$AB$73))</f>
        <v>0</v>
      </c>
      <c r="H75" s="53">
        <f ca="1">IF(H$54&lt;YEAR(Startops1),0,HLOOKUP(H$54,CF_Table,CF!$AB$73))</f>
        <v>0</v>
      </c>
      <c r="I75" s="53">
        <f ca="1">IF(I$54&lt;YEAR(Startops1),0,HLOOKUP(I$54,CF_Table,CF!$AB$73))</f>
        <v>0</v>
      </c>
      <c r="J75" s="53">
        <f ca="1">IF(J$54&lt;YEAR(Startops1),0,HLOOKUP(J$54,CF_Table,CF!$AB$73))</f>
        <v>-6028.0207486577092</v>
      </c>
      <c r="K75" s="53">
        <f ca="1">IF(K$54&lt;YEAR(Startops1),0,HLOOKUP(K$54,CF_Table,CF!$AB$73))</f>
        <v>-5234.8524434126139</v>
      </c>
      <c r="L75" s="53">
        <f ca="1">IF(L$54&lt;YEAR(Startops1),0,HLOOKUP(L$54,CF_Table,CF!$AB$73))</f>
        <v>-3879.7873896216333</v>
      </c>
      <c r="M75" s="53">
        <f ca="1">IF(M$54&lt;YEAR(Startops1),0,HLOOKUP(M$54,CF_Table,CF!$AB$73))</f>
        <v>-5587.9031984205249</v>
      </c>
      <c r="N75" s="53">
        <f ca="1">IF(N$54&lt;YEAR(Startops1),0,HLOOKUP(N$54,CF_Table,CF!$AB$73))</f>
        <v>-1731.721576576434</v>
      </c>
      <c r="O75" s="53">
        <f ca="1">IF(O$54&lt;YEAR(Startops1),0,HLOOKUP(O$54,CF_Table,CF!$AB$73))</f>
        <v>-3476.8937705100834</v>
      </c>
      <c r="P75" s="53">
        <f ca="1">IF(P$54&lt;YEAR(Startops1),0,HLOOKUP(P$54,CF_Table,CF!$AB$73))</f>
        <v>0</v>
      </c>
      <c r="Q75" s="53">
        <f ca="1">IF(Q$54&lt;YEAR(Startops1),0,HLOOKUP(Q$54,CF_Table,CF!$AB$73))</f>
        <v>-2396.6431084535943</v>
      </c>
      <c r="R75" s="53">
        <f ca="1">IF(R$54&lt;YEAR(Startops1),0,HLOOKUP(R$54,CF_Table,CF!$AB$73))</f>
        <v>-5461.9893447206668</v>
      </c>
      <c r="S75" s="53">
        <f ca="1">IF(S$54&lt;YEAR(Startops1),0,HLOOKUP(S$54,CF_Table,CF!$AB$73))</f>
        <v>-5826.0794823062461</v>
      </c>
      <c r="T75" s="53">
        <f ca="1">IF(T$54&lt;YEAR(Startops1),0,HLOOKUP(T$54,CF_Table,CF!$AB$73))</f>
        <v>-3586.2438055961829</v>
      </c>
      <c r="U75" s="53">
        <f ca="1">IF(U$54&lt;YEAR(Startops1),0,HLOOKUP(U$54,CF_Table,CF!$AB$73))</f>
        <v>0</v>
      </c>
      <c r="V75" s="53">
        <f ca="1">IF(V$54&lt;YEAR(Startops1),0,HLOOKUP(V$54,CF_Table,CF!$AB$73))</f>
        <v>0</v>
      </c>
      <c r="W75" s="53">
        <f ca="1">IF(W$54&lt;YEAR(Startops1),0,HLOOKUP(W$54,CF_Table,CF!$AB$73))</f>
        <v>0</v>
      </c>
      <c r="X75" s="53">
        <f ca="1">IF(X$54&lt;YEAR(Startops1),0,HLOOKUP(X$54,CF_Table,CF!$AB$73))</f>
        <v>-435.87662734962942</v>
      </c>
      <c r="Y75" s="53">
        <f ca="1">IF(Y$54&lt;YEAR(Startops1),0,HLOOKUP(Y$54,CF_Table,CF!$AB$73))</f>
        <v>-6348.958898306737</v>
      </c>
      <c r="Z75" s="53">
        <f ca="1">IF(Z$54&lt;YEAR(Startops1),0,HLOOKUP(Z$54,CF_Table,CF!$AB$73))</f>
        <v>-6389.2988007029926</v>
      </c>
      <c r="AA75" s="53">
        <f ca="1">IF(AA$54&lt;YEAR(Startops1),0,HLOOKUP(AA$54,CF_Table,CF!$AB$73))</f>
        <v>-6433.0196917127323</v>
      </c>
      <c r="AB75" s="53">
        <f ca="1">IF(AB$54&lt;YEAR(Startops1),0,HLOOKUP(AB$54,CF_Table,CF!$AB$73))</f>
        <v>0</v>
      </c>
      <c r="AC75" s="420">
        <f t="shared" ca="1" si="21"/>
        <v>-62817.288886347786</v>
      </c>
    </row>
    <row r="76" spans="1:29">
      <c r="A76" s="139"/>
      <c r="B76" s="8" t="s">
        <v>322</v>
      </c>
      <c r="D76" s="8"/>
      <c r="E76" s="8"/>
      <c r="F76" s="8"/>
      <c r="G76" s="53">
        <f ca="1">IF(G$54&lt;YEAR(Startops1),0,HLOOKUP(G$54,CF_Table,CF!$AB$74))</f>
        <v>0</v>
      </c>
      <c r="H76" s="53">
        <f ca="1">IF(H$54&lt;YEAR(Startops1),0,HLOOKUP(H$54,CF_Table,CF!$AB$74))</f>
        <v>0</v>
      </c>
      <c r="I76" s="53">
        <f ca="1">IF(I$54&lt;YEAR(Startops1),0,HLOOKUP(I$54,CF_Table,CF!$AB$74))</f>
        <v>0</v>
      </c>
      <c r="J76" s="53">
        <f ca="1">IF(J$54&lt;YEAR(Startops1),0,HLOOKUP(J$54,CF_Table,CF!$AB$74))</f>
        <v>0</v>
      </c>
      <c r="K76" s="53">
        <f ca="1">IF(K$54&lt;YEAR(Startops1),0,HLOOKUP(K$54,CF_Table,CF!$AB$74))</f>
        <v>0</v>
      </c>
      <c r="L76" s="53">
        <f ca="1">IF(L$54&lt;YEAR(Startops1),0,HLOOKUP(L$54,CF_Table,CF!$AB$74))</f>
        <v>0</v>
      </c>
      <c r="M76" s="53">
        <f ca="1">IF(M$54&lt;YEAR(Startops1),0,HLOOKUP(M$54,CF_Table,CF!$AB$74))</f>
        <v>0</v>
      </c>
      <c r="N76" s="53">
        <f ca="1">IF(N$54&lt;YEAR(Startops1),0,HLOOKUP(N$54,CF_Table,CF!$AB$74))</f>
        <v>0</v>
      </c>
      <c r="O76" s="53">
        <f ca="1">IF(O$54&lt;YEAR(Startops1),0,HLOOKUP(O$54,CF_Table,CF!$AB$74))</f>
        <v>0</v>
      </c>
      <c r="P76" s="53">
        <f ca="1">IF(P$54&lt;YEAR(Startops1),0,HLOOKUP(P$54,CF_Table,CF!$AB$74))</f>
        <v>443.61093805346536</v>
      </c>
      <c r="Q76" s="53">
        <f ca="1">IF(Q$54&lt;YEAR(Startops1),0,HLOOKUP(Q$54,CF_Table,CF!$AB$74))</f>
        <v>0</v>
      </c>
      <c r="R76" s="53">
        <f ca="1">IF(R$54&lt;YEAR(Startops1),0,HLOOKUP(R$54,CF_Table,CF!$AB$74))</f>
        <v>0</v>
      </c>
      <c r="S76" s="53">
        <f ca="1">IF(S$54&lt;YEAR(Startops1),0,HLOOKUP(S$54,CF_Table,CF!$AB$74))</f>
        <v>0</v>
      </c>
      <c r="T76" s="53">
        <f ca="1">IF(T$54&lt;YEAR(Startops1),0,HLOOKUP(T$54,CF_Table,CF!$AB$74))</f>
        <v>0</v>
      </c>
      <c r="U76" s="53">
        <f ca="1">IF(U$54&lt;YEAR(Startops1),0,HLOOKUP(U$54,CF_Table,CF!$AB$74))</f>
        <v>2107.6134166364282</v>
      </c>
      <c r="V76" s="53">
        <f ca="1">IF(V$54&lt;YEAR(Startops1),0,HLOOKUP(V$54,CF_Table,CF!$AB$74))</f>
        <v>1731.1015449846527</v>
      </c>
      <c r="W76" s="53">
        <f ca="1">IF(W$54&lt;YEAR(Startops1),0,HLOOKUP(W$54,CF_Table,CF!$AB$74))</f>
        <v>1882.942800658755</v>
      </c>
      <c r="X76" s="53">
        <f ca="1">IF(X$54&lt;YEAR(Startops1),0,HLOOKUP(X$54,CF_Table,CF!$AB$74))</f>
        <v>0</v>
      </c>
      <c r="Y76" s="53">
        <f ca="1">IF(Y$54&lt;YEAR(Startops1),0,HLOOKUP(Y$54,CF_Table,CF!$AB$74))</f>
        <v>0</v>
      </c>
      <c r="Z76" s="53">
        <f ca="1">IF(Z$54&lt;YEAR(Startops1),0,HLOOKUP(Z$54,CF_Table,CF!$AB$74))</f>
        <v>0</v>
      </c>
      <c r="AA76" s="53">
        <f ca="1">IF(AA$54&lt;YEAR(Startops1),0,HLOOKUP(AA$54,CF_Table,CF!$AB$74))</f>
        <v>0</v>
      </c>
      <c r="AB76" s="53">
        <f ca="1">IF(AB$54&lt;YEAR(Startops1),0,HLOOKUP(AB$54,CF_Table,CF!$AB$74))</f>
        <v>56638.744186076554</v>
      </c>
      <c r="AC76" s="420">
        <f t="shared" ca="1" si="21"/>
        <v>62804.012886409851</v>
      </c>
    </row>
    <row r="77" spans="1:29">
      <c r="A77" s="139"/>
      <c r="B77" s="8" t="s">
        <v>410</v>
      </c>
      <c r="D77" s="8"/>
      <c r="E77" s="8"/>
      <c r="F77" s="8"/>
      <c r="G77" s="53">
        <f ca="1">IF(G$54&lt;YEAR(Startops1),0,HLOOKUP(G$54,CF_Table,CF!$AB$39))</f>
        <v>0</v>
      </c>
      <c r="H77" s="53">
        <f ca="1">IF(H$54&lt;YEAR(Startops1),0,HLOOKUP(H$54,CF_Table,CF!$AB$39))</f>
        <v>0</v>
      </c>
      <c r="I77" s="53">
        <f ca="1">IF(I$54&lt;YEAR(Startops1),0,HLOOKUP(I$54,CF_Table,CF!$AB$39))</f>
        <v>0</v>
      </c>
      <c r="J77" s="53">
        <f ca="1">IF(J$54&lt;YEAR(Startops1),0,HLOOKUP(J$54,CF_Table,CF!$AB$39))</f>
        <v>0</v>
      </c>
      <c r="K77" s="53">
        <f ca="1">IF(K$54&lt;YEAR(Startops1),0,HLOOKUP(K$54,CF_Table,CF!$AB$39))</f>
        <v>300.73723743598924</v>
      </c>
      <c r="L77" s="53">
        <f ca="1">IF(L$54&lt;YEAR(Startops1),0,HLOOKUP(L$54,CF_Table,CF!$AB$39))</f>
        <v>562.47985960661993</v>
      </c>
      <c r="M77" s="53">
        <f ca="1">IF(M$54&lt;YEAR(Startops1),0,HLOOKUP(M$54,CF_Table,CF!$AB$39))</f>
        <v>756.46922908770159</v>
      </c>
      <c r="N77" s="53">
        <f ca="1">IF(N$54&lt;YEAR(Startops1),0,HLOOKUP(N$54,CF_Table,CF!$AB$39))</f>
        <v>1035.8643890087278</v>
      </c>
      <c r="O77" s="53">
        <f ca="1">IF(O$54&lt;YEAR(Startops1),0,HLOOKUP(O$54,CF_Table,CF!$AB$39))</f>
        <v>1122.4504678375495</v>
      </c>
      <c r="P77" s="53">
        <f ca="1">IF(P$54&lt;YEAR(Startops1),0,HLOOKUP(P$54,CF_Table,CF!$AB$39))</f>
        <v>1296.2951563630538</v>
      </c>
      <c r="Q77" s="53">
        <f ca="1">IF(Q$54&lt;YEAR(Startops1),0,HLOOKUP(Q$54,CF_Table,CF!$AB$39))</f>
        <v>1296.2951563630538</v>
      </c>
      <c r="R77" s="53">
        <f ca="1">IF(R$54&lt;YEAR(Startops1),0,HLOOKUP(R$54,CF_Table,CF!$AB$39))</f>
        <v>1393.9467648830603</v>
      </c>
      <c r="S77" s="53">
        <f ca="1">IF(S$54&lt;YEAR(Startops1),0,HLOOKUP(S$54,CF_Table,CF!$AB$39))</f>
        <v>1667.0462321190935</v>
      </c>
      <c r="T77" s="53">
        <f ca="1">IF(T$54&lt;YEAR(Startops1),0,HLOOKUP(T$54,CF_Table,CF!$AB$39))</f>
        <v>1958.350206234406</v>
      </c>
      <c r="U77" s="53">
        <f ca="1">IF(U$54&lt;YEAR(Startops1),0,HLOOKUP(U$54,CF_Table,CF!$AB$39))</f>
        <v>2137.6623965142148</v>
      </c>
      <c r="V77" s="53">
        <f ca="1">IF(V$54&lt;YEAR(Startops1),0,HLOOKUP(V$54,CF_Table,CF!$AB$39))</f>
        <v>2137.6623965142148</v>
      </c>
      <c r="W77" s="53">
        <f ca="1">IF(W$54&lt;YEAR(Startops1),0,HLOOKUP(W$54,CF_Table,CF!$AB$39))</f>
        <v>2032.2817256823937</v>
      </c>
      <c r="X77" s="53">
        <f ca="1">IF(X$54&lt;YEAR(Startops1),0,HLOOKUP(X$54,CF_Table,CF!$AB$39))</f>
        <v>1945.726648433161</v>
      </c>
      <c r="Y77" s="53">
        <f ca="1">IF(Y$54&lt;YEAR(Startops1),0,HLOOKUP(Y$54,CF_Table,CF!$AB$39))</f>
        <v>1873.3733397677049</v>
      </c>
      <c r="Z77" s="53">
        <f ca="1">IF(Z$54&lt;YEAR(Startops1),0,HLOOKUP(Z$54,CF_Table,CF!$AB$39))</f>
        <v>2190.8212846830415</v>
      </c>
      <c r="AA77" s="53">
        <f ca="1">IF(AA$54&lt;YEAR(Startops1),0,HLOOKUP(AA$54,CF_Table,CF!$AB$39))</f>
        <v>2510.2862247181911</v>
      </c>
      <c r="AB77" s="53">
        <f ca="1">IF(AB$54&lt;YEAR(Startops1),0,HLOOKUP(AB$54,CF_Table,CF!$AB$39))</f>
        <v>943.97906976794263</v>
      </c>
      <c r="AC77" s="420">
        <f t="shared" ca="1" si="21"/>
        <v>27161.727785020121</v>
      </c>
    </row>
    <row r="78" spans="1:29">
      <c r="A78" s="139"/>
      <c r="B78" s="8" t="s">
        <v>1148</v>
      </c>
      <c r="D78" s="8"/>
      <c r="E78" s="8"/>
      <c r="F78" s="8"/>
      <c r="G78" s="53">
        <f t="shared" ref="G78:AB78" ca="1" si="23">G44</f>
        <v>0</v>
      </c>
      <c r="H78" s="53">
        <f t="shared" ca="1" si="23"/>
        <v>0</v>
      </c>
      <c r="I78" s="53">
        <f t="shared" ca="1" si="23"/>
        <v>0</v>
      </c>
      <c r="J78" s="53">
        <f t="shared" ca="1" si="23"/>
        <v>-4298.9671464881521</v>
      </c>
      <c r="K78" s="53">
        <f t="shared" ca="1" si="23"/>
        <v>-10278.834132082155</v>
      </c>
      <c r="L78" s="53">
        <f t="shared" ca="1" si="23"/>
        <v>-10097.18311772179</v>
      </c>
      <c r="M78" s="53">
        <f t="shared" ca="1" si="23"/>
        <v>-9716.1718009101805</v>
      </c>
      <c r="N78" s="53">
        <f t="shared" ca="1" si="23"/>
        <v>-8941.2866575846747</v>
      </c>
      <c r="O78" s="53">
        <f t="shared" ca="1" si="23"/>
        <v>-7982.2263920456498</v>
      </c>
      <c r="P78" s="53">
        <f t="shared" ca="1" si="23"/>
        <v>-6883.6216529316207</v>
      </c>
      <c r="Q78" s="53">
        <f t="shared" ca="1" si="23"/>
        <v>-5746.3262094991969</v>
      </c>
      <c r="R78" s="53">
        <f t="shared" ca="1" si="23"/>
        <v>-5020.6998600144798</v>
      </c>
      <c r="S78" s="53">
        <f t="shared" ca="1" si="23"/>
        <v>-4432.2965418456652</v>
      </c>
      <c r="T78" s="53">
        <f t="shared" ca="1" si="23"/>
        <v>-3843.8932236768501</v>
      </c>
      <c r="U78" s="53">
        <f t="shared" ca="1" si="23"/>
        <v>-3049.6553585341817</v>
      </c>
      <c r="V78" s="53">
        <f t="shared" ca="1" si="23"/>
        <v>-2186.805977733562</v>
      </c>
      <c r="W78" s="53">
        <f t="shared" ca="1" si="23"/>
        <v>-1323.9565969329419</v>
      </c>
      <c r="X78" s="53">
        <f t="shared" ca="1" si="23"/>
        <v>-403.0711596547298</v>
      </c>
      <c r="Y78" s="53">
        <f t="shared" ca="1" si="23"/>
        <v>0</v>
      </c>
      <c r="Z78" s="53">
        <f t="shared" ca="1" si="23"/>
        <v>0</v>
      </c>
      <c r="AA78" s="53">
        <f t="shared" ca="1" si="23"/>
        <v>0</v>
      </c>
      <c r="AB78" s="53">
        <f t="shared" ca="1" si="23"/>
        <v>0</v>
      </c>
      <c r="AC78" s="420">
        <f ca="1">SUM(G78:AB78)</f>
        <v>-84204.995827655803</v>
      </c>
    </row>
    <row r="79" spans="1:29">
      <c r="A79" s="139"/>
      <c r="B79" s="8" t="s">
        <v>1149</v>
      </c>
      <c r="D79" s="8"/>
      <c r="E79" s="8"/>
      <c r="F79" s="8"/>
      <c r="G79" s="53">
        <f ca="1">G45</f>
        <v>0</v>
      </c>
      <c r="H79" s="53">
        <f t="shared" ref="H79:AB79" ca="1" si="24">H45</f>
        <v>0</v>
      </c>
      <c r="I79" s="53">
        <f t="shared" ca="1" si="24"/>
        <v>0</v>
      </c>
      <c r="J79" s="53">
        <f t="shared" ca="1" si="24"/>
        <v>-133.98867062672454</v>
      </c>
      <c r="K79" s="53">
        <f t="shared" ca="1" si="24"/>
        <v>-318.08515874682439</v>
      </c>
      <c r="L79" s="53">
        <f t="shared" ca="1" si="24"/>
        <v>-303.21303119621513</v>
      </c>
      <c r="M79" s="53">
        <f t="shared" ca="1" si="24"/>
        <v>-286.34469232512527</v>
      </c>
      <c r="N79" s="53">
        <f t="shared" ca="1" si="24"/>
        <v>-267.21220066906335</v>
      </c>
      <c r="O79" s="53">
        <f t="shared" ca="1" si="24"/>
        <v>-245.51165032046663</v>
      </c>
      <c r="P79" s="53">
        <f t="shared" ca="1" si="24"/>
        <v>-220.89834360132943</v>
      </c>
      <c r="Q79" s="53">
        <f t="shared" ca="1" si="24"/>
        <v>-192.9813157878161</v>
      </c>
      <c r="R79" s="53">
        <f t="shared" ca="1" si="24"/>
        <v>-161.31712491603395</v>
      </c>
      <c r="S79" s="53">
        <f t="shared" ca="1" si="24"/>
        <v>-125.40280802448683</v>
      </c>
      <c r="T79" s="53">
        <f t="shared" ca="1" si="24"/>
        <v>-84.667891948171842</v>
      </c>
      <c r="U79" s="53">
        <f t="shared" ca="1" si="24"/>
        <v>-38.465331761513497</v>
      </c>
      <c r="V79" s="53">
        <f t="shared" ca="1" si="24"/>
        <v>0</v>
      </c>
      <c r="W79" s="53">
        <f t="shared" ca="1" si="24"/>
        <v>0</v>
      </c>
      <c r="X79" s="53">
        <f t="shared" ca="1" si="24"/>
        <v>0</v>
      </c>
      <c r="Y79" s="53">
        <f t="shared" ca="1" si="24"/>
        <v>0</v>
      </c>
      <c r="Z79" s="53">
        <f t="shared" ca="1" si="24"/>
        <v>0</v>
      </c>
      <c r="AA79" s="53">
        <f t="shared" ca="1" si="24"/>
        <v>0</v>
      </c>
      <c r="AB79" s="53">
        <f t="shared" ca="1" si="24"/>
        <v>0</v>
      </c>
      <c r="AC79" s="420">
        <f ca="1">SUM(G79:AB79)</f>
        <v>-2378.0882199237717</v>
      </c>
    </row>
    <row r="80" spans="1:29">
      <c r="A80" s="139"/>
      <c r="B80" s="8" t="s">
        <v>418</v>
      </c>
      <c r="D80" s="8"/>
      <c r="E80" s="8"/>
      <c r="F80" s="8"/>
      <c r="G80" s="53">
        <f t="shared" ref="G80:AB80" ca="1" si="25">G46</f>
        <v>0</v>
      </c>
      <c r="H80" s="53">
        <f t="shared" ca="1" si="25"/>
        <v>0</v>
      </c>
      <c r="I80" s="53">
        <f t="shared" ca="1" si="25"/>
        <v>0</v>
      </c>
      <c r="J80" s="53">
        <f t="shared" ca="1" si="25"/>
        <v>0</v>
      </c>
      <c r="K80" s="53">
        <f t="shared" ca="1" si="25"/>
        <v>0</v>
      </c>
      <c r="L80" s="53">
        <f t="shared" ca="1" si="25"/>
        <v>0</v>
      </c>
      <c r="M80" s="53">
        <f t="shared" ca="1" si="25"/>
        <v>0</v>
      </c>
      <c r="N80" s="53">
        <f t="shared" ca="1" si="25"/>
        <v>0</v>
      </c>
      <c r="O80" s="53">
        <f t="shared" ca="1" si="25"/>
        <v>0</v>
      </c>
      <c r="P80" s="53">
        <f t="shared" ca="1" si="25"/>
        <v>0</v>
      </c>
      <c r="Q80" s="53">
        <f t="shared" ca="1" si="25"/>
        <v>0</v>
      </c>
      <c r="R80" s="53">
        <f t="shared" ca="1" si="25"/>
        <v>0</v>
      </c>
      <c r="S80" s="53">
        <f t="shared" ca="1" si="25"/>
        <v>0</v>
      </c>
      <c r="T80" s="53">
        <f t="shared" ca="1" si="25"/>
        <v>0</v>
      </c>
      <c r="U80" s="53">
        <f t="shared" ca="1" si="25"/>
        <v>0</v>
      </c>
      <c r="V80" s="53">
        <f t="shared" ca="1" si="25"/>
        <v>0</v>
      </c>
      <c r="W80" s="53">
        <f t="shared" ca="1" si="25"/>
        <v>0</v>
      </c>
      <c r="X80" s="53">
        <f t="shared" ca="1" si="25"/>
        <v>0</v>
      </c>
      <c r="Y80" s="53">
        <f t="shared" ca="1" si="25"/>
        <v>0</v>
      </c>
      <c r="Z80" s="53">
        <f t="shared" ca="1" si="25"/>
        <v>0</v>
      </c>
      <c r="AA80" s="53">
        <f t="shared" ca="1" si="25"/>
        <v>0</v>
      </c>
      <c r="AB80" s="53">
        <f t="shared" ca="1" si="25"/>
        <v>0</v>
      </c>
      <c r="AC80" s="420">
        <f ca="1">SUM(G80:AB80)</f>
        <v>0</v>
      </c>
    </row>
    <row r="81" spans="1:29">
      <c r="A81" s="139"/>
      <c r="B81" s="8" t="s">
        <v>976</v>
      </c>
      <c r="D81" s="8"/>
      <c r="E81" s="8"/>
      <c r="F81" s="8"/>
      <c r="G81" s="53">
        <f ca="1">IF(G$54&lt;YEAR(Startops1),0,HLOOKUP(G$54,CF_Table,CF!$AB$41))</f>
        <v>0</v>
      </c>
      <c r="H81" s="53">
        <f ca="1">IF(H$54&lt;YEAR(Startops1),0,HLOOKUP(H$54,CF_Table,CF!$AB$41))</f>
        <v>0</v>
      </c>
      <c r="I81" s="53">
        <f ca="1">IF(I$54&lt;YEAR(Startops1),0,HLOOKUP(I$54,CF_Table,CF!$AB$41))</f>
        <v>0</v>
      </c>
      <c r="J81" s="53">
        <f ca="1">IF(J$54&lt;YEAR(Startops1),0,HLOOKUP(J$54,CF_Table,CF!$AB$41))</f>
        <v>-1633.0682084244033</v>
      </c>
      <c r="K81" s="53">
        <f ca="1">IF(K$54&lt;YEAR(Startops1),0,HLOOKUP(K$54,CF_Table,CF!$AB$41))</f>
        <v>-3877.3637002185678</v>
      </c>
      <c r="L81" s="53">
        <f ca="1">IF(L$54&lt;YEAR(Startops1),0,HLOOKUP(L$54,CF_Table,CF!$AB$41))</f>
        <v>-3816.7107825261087</v>
      </c>
      <c r="M81" s="53">
        <f ca="1">IF(M$54&lt;YEAR(Startops1),0,HLOOKUP(M$54,CF_Table,CF!$AB$41))</f>
        <v>-30</v>
      </c>
      <c r="N81" s="53">
        <f ca="1">IF(N$54&lt;YEAR(Startops1),0,HLOOKUP(N$54,CF_Table,CF!$AB$41))</f>
        <v>-30</v>
      </c>
      <c r="O81" s="53">
        <f ca="1">IF(O$54&lt;YEAR(Startops1),0,HLOOKUP(O$54,CF_Table,CF!$AB$41))</f>
        <v>-30</v>
      </c>
      <c r="P81" s="53">
        <f ca="1">IF(P$54&lt;YEAR(Startops1),0,HLOOKUP(P$54,CF_Table,CF!$AB$41))</f>
        <v>-30</v>
      </c>
      <c r="Q81" s="53">
        <f ca="1">IF(Q$54&lt;YEAR(Startops1),0,HLOOKUP(Q$54,CF_Table,CF!$AB$41))</f>
        <v>-30</v>
      </c>
      <c r="R81" s="53">
        <f ca="1">IF(R$54&lt;YEAR(Startops1),0,HLOOKUP(R$54,CF_Table,CF!$AB$41))</f>
        <v>-30</v>
      </c>
      <c r="S81" s="53">
        <f ca="1">IF(S$54&lt;YEAR(Startops1),0,HLOOKUP(S$54,CF_Table,CF!$AB$41))</f>
        <v>-30</v>
      </c>
      <c r="T81" s="53">
        <f ca="1">IF(T$54&lt;YEAR(Startops1),0,HLOOKUP(T$54,CF_Table,CF!$AB$41))</f>
        <v>-30</v>
      </c>
      <c r="U81" s="53">
        <f ca="1">IF(U$54&lt;YEAR(Startops1),0,HLOOKUP(U$54,CF_Table,CF!$AB$41))</f>
        <v>-30</v>
      </c>
      <c r="V81" s="53">
        <f ca="1">IF(V$54&lt;YEAR(Startops1),0,HLOOKUP(V$54,CF_Table,CF!$AB$41))</f>
        <v>-30</v>
      </c>
      <c r="W81" s="53">
        <f ca="1">IF(W$54&lt;YEAR(Startops1),0,HLOOKUP(W$54,CF_Table,CF!$AB$41))</f>
        <v>-30</v>
      </c>
      <c r="X81" s="53">
        <f ca="1">IF(X$54&lt;YEAR(Startops1),0,HLOOKUP(X$54,CF_Table,CF!$AB$41))</f>
        <v>-30</v>
      </c>
      <c r="Y81" s="53">
        <f ca="1">IF(Y$54&lt;YEAR(Startops1),0,HLOOKUP(Y$54,CF_Table,CF!$AB$41))</f>
        <v>0</v>
      </c>
      <c r="Z81" s="53">
        <f ca="1">IF(Z$54&lt;YEAR(Startops1),0,HLOOKUP(Z$54,CF_Table,CF!$AB$41))</f>
        <v>0</v>
      </c>
      <c r="AA81" s="53">
        <f ca="1">IF(AA$54&lt;YEAR(Startops1),0,HLOOKUP(AA$54,CF_Table,CF!$AB$41))</f>
        <v>0</v>
      </c>
      <c r="AB81" s="53">
        <f ca="1">IF(AB$54&lt;YEAR(Startops1),0,HLOOKUP(AB$54,CF_Table,CF!$AB$41))</f>
        <v>0</v>
      </c>
      <c r="AC81" s="420">
        <f ca="1">SUM(G81:AB81)</f>
        <v>-9687.1426911690796</v>
      </c>
    </row>
    <row r="82" spans="1:29">
      <c r="A82" s="139"/>
      <c r="B82" s="8" t="s">
        <v>977</v>
      </c>
      <c r="D82" s="8"/>
      <c r="E82" s="8"/>
      <c r="F82" s="8"/>
      <c r="G82" s="53">
        <f ca="1">IF(G$54&lt;YEAR(Startops1),0,HLOOKUP(G$54,CF_Table,CF!$AB$42))</f>
        <v>0</v>
      </c>
      <c r="H82" s="53">
        <f ca="1">IF(H$54&lt;YEAR(Startops1),0,HLOOKUP(H$54,CF_Table,CF!$AB$42))</f>
        <v>0</v>
      </c>
      <c r="I82" s="53">
        <f ca="1">IF(I$54&lt;YEAR(Startops1),0,HLOOKUP(I$54,CF_Table,CF!$AB$42))</f>
        <v>0</v>
      </c>
      <c r="J82" s="53">
        <f ca="1">IF(J$54&lt;YEAR(Startops1),0,HLOOKUP(J$54,CF_Table,CF!$AB$42))</f>
        <v>-53.737089331101906</v>
      </c>
      <c r="K82" s="53">
        <f ca="1">IF(K$54&lt;YEAR(Startops1),0,HLOOKUP(K$54,CF_Table,CF!$AB$42))</f>
        <v>-146.05446365802544</v>
      </c>
      <c r="L82" s="53">
        <f ca="1">IF(L$54&lt;YEAR(Startops1),0,HLOOKUP(L$54,CF_Table,CF!$AB$42))</f>
        <v>-156.00132661554301</v>
      </c>
      <c r="M82" s="53">
        <f ca="1">IF(M$54&lt;YEAR(Startops1),0,HLOOKUP(M$54,CF_Table,CF!$AB$42))</f>
        <v>-205.12219707323308</v>
      </c>
      <c r="N82" s="53">
        <f ca="1">IF(N$54&lt;YEAR(Startops1),0,HLOOKUP(N$54,CF_Table,CF!$AB$42))</f>
        <v>-217.98632673924521</v>
      </c>
      <c r="O82" s="53">
        <f ca="1">IF(O$54&lt;YEAR(Startops1),0,HLOOKUP(O$54,CF_Table,CF!$AB$42))</f>
        <v>-220.1132107810925</v>
      </c>
      <c r="P82" s="53">
        <f ca="1">IF(P$54&lt;YEAR(Startops1),0,HLOOKUP(P$54,CF_Table,CF!$AB$42))</f>
        <v>-215.166006746162</v>
      </c>
      <c r="Q82" s="53">
        <f ca="1">IF(Q$54&lt;YEAR(Startops1),0,HLOOKUP(Q$54,CF_Table,CF!$AB$42))</f>
        <v>-169.79108724642157</v>
      </c>
      <c r="R82" s="53">
        <f ca="1">IF(R$54&lt;YEAR(Startops1),0,HLOOKUP(R$54,CF_Table,CF!$AB$42))</f>
        <v>-129.56203142102751</v>
      </c>
      <c r="S82" s="53">
        <f ca="1">IF(S$54&lt;YEAR(Startops1),0,HLOOKUP(S$54,CF_Table,CF!$AB$42))</f>
        <v>-122.20698994391734</v>
      </c>
      <c r="T82" s="53">
        <f ca="1">IF(T$54&lt;YEAR(Startops1),0,HLOOKUP(T$54,CF_Table,CF!$AB$42))</f>
        <v>-130.43131169522471</v>
      </c>
      <c r="U82" s="53">
        <f ca="1">IF(U$54&lt;YEAR(Startops1),0,HLOOKUP(U$54,CF_Table,CF!$AB$42))</f>
        <v>-136.08270160935891</v>
      </c>
      <c r="V82" s="53">
        <f ca="1">IF(V$54&lt;YEAR(Startops1),0,HLOOKUP(V$54,CF_Table,CF!$AB$42))</f>
        <v>-125.29708434935115</v>
      </c>
      <c r="W82" s="53">
        <f ca="1">IF(W$54&lt;YEAR(Startops1),0,HLOOKUP(W$54,CF_Table,CF!$AB$42))</f>
        <v>-118.02560917094134</v>
      </c>
      <c r="X82" s="53">
        <f ca="1">IF(X$54&lt;YEAR(Startops1),0,HLOOKUP(X$54,CF_Table,CF!$AB$42))</f>
        <v>-78.365705331034107</v>
      </c>
      <c r="Y82" s="53">
        <f ca="1">IF(Y$54&lt;YEAR(Startops1),0,HLOOKUP(Y$54,CF_Table,CF!$AB$42))</f>
        <v>0</v>
      </c>
      <c r="Z82" s="53">
        <f ca="1">IF(Z$54&lt;YEAR(Startops1),0,HLOOKUP(Z$54,CF_Table,CF!$AB$42))</f>
        <v>0</v>
      </c>
      <c r="AA82" s="53">
        <f ca="1">IF(AA$54&lt;YEAR(Startops1),0,HLOOKUP(AA$54,CF_Table,CF!$AB$42))</f>
        <v>0</v>
      </c>
      <c r="AB82" s="53">
        <f ca="1">IF(AB$54&lt;YEAR(Startops1),0,HLOOKUP(AB$54,CF_Table,CF!$AB$42))</f>
        <v>0</v>
      </c>
      <c r="AC82" s="420">
        <f t="shared" ca="1" si="21"/>
        <v>-2223.9431417116793</v>
      </c>
    </row>
    <row r="83" spans="1:29">
      <c r="A83" s="139"/>
      <c r="B83" s="8" t="s">
        <v>413</v>
      </c>
      <c r="D83" s="8"/>
      <c r="E83" s="8"/>
      <c r="F83" s="8"/>
      <c r="G83" s="226">
        <f ca="1">IF(G$37&lt;YEAR(Startops1),0,-HLOOKUP(G$37,CF_Table,CF!$AB$76))</f>
        <v>0</v>
      </c>
      <c r="H83" s="226">
        <f ca="1">IF(H$37&lt;YEAR(Startops1),0,-HLOOKUP(H$37,CF_Table,CF!$AB$76))</f>
        <v>0</v>
      </c>
      <c r="I83" s="226">
        <f ca="1">IF(I$37&lt;YEAR(Startops1),0,-HLOOKUP(I$37,CF_Table,CF!$AB$76))</f>
        <v>0</v>
      </c>
      <c r="J83" s="226">
        <f ca="1">IF(J$37&lt;YEAR(Startops1),0,-HLOOKUP(J$37,CF_Table,CF!$AB$76))</f>
        <v>0</v>
      </c>
      <c r="K83" s="226">
        <f ca="1">IF(K$37&lt;YEAR(Startops1),0,-HLOOKUP(K$37,CF_Table,CF!$AB$76))</f>
        <v>-9.0949470177292824E-13</v>
      </c>
      <c r="L83" s="226">
        <f ca="1">IF(L$37&lt;YEAR(Startops1),0,-HLOOKUP(L$37,CF_Table,CF!$AB$76))</f>
        <v>4.5474735088646412E-13</v>
      </c>
      <c r="M83" s="226">
        <f ca="1">IF(M$37&lt;YEAR(Startops1),0,-HLOOKUP(M$37,CF_Table,CF!$AB$76))</f>
        <v>9.0949470177292824E-13</v>
      </c>
      <c r="N83" s="226">
        <f ca="1">IF(N$37&lt;YEAR(Startops1),0,-HLOOKUP(N$37,CF_Table,CF!$AB$76))</f>
        <v>4.5474735088646412E-13</v>
      </c>
      <c r="O83" s="226">
        <f ca="1">IF(O$37&lt;YEAR(Startops1),0,-HLOOKUP(O$37,CF_Table,CF!$AB$76))</f>
        <v>-1922.3134119592878</v>
      </c>
      <c r="P83" s="226">
        <f ca="1">IF(P$37&lt;YEAR(Startops1),0,-HLOOKUP(P$37,CF_Table,CF!$AB$76))</f>
        <v>-7146.1529249629439</v>
      </c>
      <c r="Q83" s="226">
        <f ca="1">IF(Q$37&lt;YEAR(Startops1),0,-HLOOKUP(Q$37,CF_Table,CF!$AB$76))</f>
        <v>-8076.6728637935885</v>
      </c>
      <c r="R83" s="226">
        <f ca="1">IF(R$37&lt;YEAR(Startops1),0,-HLOOKUP(R$37,CF_Table,CF!$AB$76))</f>
        <v>-9574.3164161303957</v>
      </c>
      <c r="S83" s="226">
        <f ca="1">IF(S$37&lt;YEAR(Startops1),0,-HLOOKUP(S$37,CF_Table,CF!$AB$76))</f>
        <v>-10565.631803312826</v>
      </c>
      <c r="T83" s="226">
        <f ca="1">IF(T$37&lt;YEAR(Startops1),0,-HLOOKUP(T$37,CF_Table,CF!$AB$76))</f>
        <v>-11785.033620792883</v>
      </c>
      <c r="U83" s="226">
        <f ca="1">IF(U$37&lt;YEAR(Startops1),0,-HLOOKUP(U$37,CF_Table,CF!$AB$76))</f>
        <v>-13708.670603518618</v>
      </c>
      <c r="V83" s="226">
        <f ca="1">IF(V$37&lt;YEAR(Startops1),0,-HLOOKUP(V$37,CF_Table,CF!$AB$76))</f>
        <v>-13261.709473033836</v>
      </c>
      <c r="W83" s="226">
        <f ca="1">IF(W$37&lt;YEAR(Startops1),0,-HLOOKUP(W$37,CF_Table,CF!$AB$76))</f>
        <v>-15718.221579254499</v>
      </c>
      <c r="X83" s="226">
        <f ca="1">IF(X$37&lt;YEAR(Startops1),0,-HLOOKUP(X$37,CF_Table,CF!$AB$76))</f>
        <v>-16989.560183040943</v>
      </c>
      <c r="Y83" s="226">
        <f ca="1">IF(Y$37&lt;YEAR(Startops1),0,-HLOOKUP(Y$37,CF_Table,CF!$AB$76))</f>
        <v>-17880.603261494023</v>
      </c>
      <c r="Z83" s="226">
        <f ca="1">IF(Z$37&lt;YEAR(Startops1),0,-HLOOKUP(Z$37,CF_Table,CF!$AB$76))</f>
        <v>-18647.061407022833</v>
      </c>
      <c r="AA83" s="226">
        <f ca="1">IF(AA$37&lt;YEAR(Startops1),0,-HLOOKUP(AA$37,CF_Table,CF!$AB$76))</f>
        <v>-19477.758336207997</v>
      </c>
      <c r="AB83" s="226">
        <f ca="1">IF(AB$37&lt;YEAR(Startops1),0,-HLOOKUP(AB$37,CF_Table,CF!$AB$76))</f>
        <v>-65285.338152248063</v>
      </c>
      <c r="AC83" s="421">
        <f t="shared" ca="1" si="21"/>
        <v>-230039.04403677274</v>
      </c>
    </row>
    <row r="84" spans="1:29">
      <c r="A84" s="139"/>
      <c r="C84" s="8" t="s">
        <v>414</v>
      </c>
      <c r="D84" s="8"/>
      <c r="E84" s="8"/>
      <c r="F84" s="8"/>
      <c r="G84" s="53">
        <f ca="1">SUM(G66:G83)</f>
        <v>825.1430761565498</v>
      </c>
      <c r="H84" s="53">
        <f t="shared" ref="H84:AB84" ca="1" si="26">SUM(H66:H83)</f>
        <v>5837.7026413861895</v>
      </c>
      <c r="I84" s="53">
        <f t="shared" ca="1" si="26"/>
        <v>5091.231203388932</v>
      </c>
      <c r="J84" s="53">
        <f t="shared" ca="1" si="26"/>
        <v>-12147.753365604614</v>
      </c>
      <c r="K84" s="53">
        <f t="shared" ca="1" si="26"/>
        <v>-21070.775602993683</v>
      </c>
      <c r="L84" s="53">
        <f t="shared" ca="1" si="26"/>
        <v>-20199.010908898537</v>
      </c>
      <c r="M84" s="53">
        <f t="shared" ca="1" si="26"/>
        <v>-21905.217072763131</v>
      </c>
      <c r="N84" s="53">
        <f t="shared" ca="1" si="26"/>
        <v>-18811.634793944995</v>
      </c>
      <c r="O84" s="53">
        <f t="shared" ca="1" si="26"/>
        <v>-22564.811928398743</v>
      </c>
      <c r="P84" s="53">
        <f t="shared" ca="1" si="26"/>
        <v>-23293.578517483977</v>
      </c>
      <c r="Q84" s="53">
        <f t="shared" ca="1" si="26"/>
        <v>-23388.984023342706</v>
      </c>
      <c r="R84" s="53">
        <f t="shared" ca="1" si="26"/>
        <v>-24595.768681569658</v>
      </c>
      <c r="S84" s="53">
        <f t="shared" ca="1" si="26"/>
        <v>-25082.316379455711</v>
      </c>
      <c r="T84" s="53">
        <f t="shared" ca="1" si="26"/>
        <v>-24436.748607966289</v>
      </c>
      <c r="U84" s="53">
        <f t="shared" ca="1" si="26"/>
        <v>-20944.978761224476</v>
      </c>
      <c r="V84" s="53">
        <f t="shared" ca="1" si="26"/>
        <v>-19572.009363832411</v>
      </c>
      <c r="W84" s="53">
        <f t="shared" ca="1" si="26"/>
        <v>-21393.071395759602</v>
      </c>
      <c r="X84" s="53">
        <f t="shared" ca="1" si="26"/>
        <v>-21857.332293771175</v>
      </c>
      <c r="Y84" s="53">
        <f t="shared" ca="1" si="26"/>
        <v>-22356.188820033054</v>
      </c>
      <c r="Z84" s="53">
        <f t="shared" ca="1" si="26"/>
        <v>-22845.538923042783</v>
      </c>
      <c r="AA84" s="53">
        <f t="shared" ca="1" si="26"/>
        <v>-23400.491803202538</v>
      </c>
      <c r="AB84" s="53">
        <f t="shared" ca="1" si="26"/>
        <v>-7702.6148964035674</v>
      </c>
      <c r="AC84" s="420">
        <f t="shared" ca="1" si="21"/>
        <v>-385814.74921875994</v>
      </c>
    </row>
    <row r="85" spans="1:29">
      <c r="A85" s="139"/>
      <c r="D85" s="8"/>
      <c r="E85" s="8"/>
      <c r="F85" s="8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420" t="s">
        <v>93</v>
      </c>
    </row>
    <row r="86" spans="1:29">
      <c r="A86" s="139" t="s">
        <v>415</v>
      </c>
      <c r="D86" s="8"/>
      <c r="E86" s="8"/>
      <c r="F86" s="8"/>
      <c r="G86" s="53">
        <f t="shared" ref="G86:AB86" ca="1" si="27">G63+G84</f>
        <v>-9.0949470177292824E-13</v>
      </c>
      <c r="H86" s="53">
        <f t="shared" ca="1" si="27"/>
        <v>-1.1823431123048067E-11</v>
      </c>
      <c r="I86" s="53">
        <f t="shared" ca="1" si="27"/>
        <v>0</v>
      </c>
      <c r="J86" s="53">
        <f t="shared" ca="1" si="27"/>
        <v>0</v>
      </c>
      <c r="K86" s="53">
        <f t="shared" ca="1" si="27"/>
        <v>0</v>
      </c>
      <c r="L86" s="53">
        <f t="shared" ca="1" si="27"/>
        <v>0</v>
      </c>
      <c r="M86" s="53">
        <f t="shared" ca="1" si="27"/>
        <v>0</v>
      </c>
      <c r="N86" s="53">
        <f t="shared" ca="1" si="27"/>
        <v>0</v>
      </c>
      <c r="O86" s="53">
        <f t="shared" ca="1" si="27"/>
        <v>0</v>
      </c>
      <c r="P86" s="53">
        <f t="shared" ca="1" si="27"/>
        <v>0</v>
      </c>
      <c r="Q86" s="53">
        <f t="shared" ca="1" si="27"/>
        <v>0</v>
      </c>
      <c r="R86" s="53">
        <f t="shared" ca="1" si="27"/>
        <v>0</v>
      </c>
      <c r="S86" s="53">
        <f t="shared" ca="1" si="27"/>
        <v>0</v>
      </c>
      <c r="T86" s="53">
        <f t="shared" ca="1" si="27"/>
        <v>0</v>
      </c>
      <c r="U86" s="53">
        <f t="shared" ca="1" si="27"/>
        <v>0</v>
      </c>
      <c r="V86" s="53">
        <f t="shared" ca="1" si="27"/>
        <v>0</v>
      </c>
      <c r="W86" s="53">
        <f t="shared" ca="1" si="27"/>
        <v>0</v>
      </c>
      <c r="X86" s="53">
        <f t="shared" ca="1" si="27"/>
        <v>0</v>
      </c>
      <c r="Y86" s="53">
        <f t="shared" ca="1" si="27"/>
        <v>0</v>
      </c>
      <c r="Z86" s="53">
        <f t="shared" ca="1" si="27"/>
        <v>0</v>
      </c>
      <c r="AA86" s="53">
        <f t="shared" ca="1" si="27"/>
        <v>0</v>
      </c>
      <c r="AB86" s="53">
        <f t="shared" ca="1" si="27"/>
        <v>0</v>
      </c>
      <c r="AC86" s="420">
        <f ca="1">SUM(G86:AB86)</f>
        <v>-1.2732925824820995E-11</v>
      </c>
    </row>
    <row r="87" spans="1:29">
      <c r="A87" s="139"/>
      <c r="D87" s="8"/>
      <c r="E87" s="8"/>
      <c r="F87" s="8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420" t="s">
        <v>93</v>
      </c>
    </row>
    <row r="88" spans="1:29">
      <c r="A88" s="139" t="s">
        <v>416</v>
      </c>
      <c r="D88" s="8"/>
      <c r="E88" s="8"/>
      <c r="F88" s="8"/>
      <c r="G88" s="831">
        <v>0</v>
      </c>
      <c r="H88" s="53">
        <f ca="1">G90</f>
        <v>-9.0949470177292824E-13</v>
      </c>
      <c r="I88" s="53">
        <f ca="1">H90</f>
        <v>-1.2732925824820995E-11</v>
      </c>
      <c r="J88" s="53">
        <f t="shared" ref="J88:Z88" ca="1" si="28">I90</f>
        <v>-1.2732925824820995E-11</v>
      </c>
      <c r="K88" s="53">
        <f t="shared" ca="1" si="28"/>
        <v>-1.2732925824820995E-11</v>
      </c>
      <c r="L88" s="53">
        <f t="shared" ca="1" si="28"/>
        <v>-1.2732925824820995E-11</v>
      </c>
      <c r="M88" s="53">
        <f t="shared" ca="1" si="28"/>
        <v>-1.2732925824820995E-11</v>
      </c>
      <c r="N88" s="53">
        <f t="shared" ca="1" si="28"/>
        <v>-1.2732925824820995E-11</v>
      </c>
      <c r="O88" s="53">
        <f t="shared" ca="1" si="28"/>
        <v>-1.2732925824820995E-11</v>
      </c>
      <c r="P88" s="53">
        <f t="shared" ca="1" si="28"/>
        <v>-1.2732925824820995E-11</v>
      </c>
      <c r="Q88" s="53">
        <f t="shared" ca="1" si="28"/>
        <v>-1.2732925824820995E-11</v>
      </c>
      <c r="R88" s="53">
        <f t="shared" ca="1" si="28"/>
        <v>-1.2732925824820995E-11</v>
      </c>
      <c r="S88" s="53">
        <f t="shared" ca="1" si="28"/>
        <v>-1.2732925824820995E-11</v>
      </c>
      <c r="T88" s="53">
        <f t="shared" ca="1" si="28"/>
        <v>-1.2732925824820995E-11</v>
      </c>
      <c r="U88" s="53">
        <f t="shared" ca="1" si="28"/>
        <v>-1.2732925824820995E-11</v>
      </c>
      <c r="V88" s="53">
        <f t="shared" ca="1" si="28"/>
        <v>-1.2732925824820995E-11</v>
      </c>
      <c r="W88" s="53">
        <f t="shared" ca="1" si="28"/>
        <v>-1.2732925824820995E-11</v>
      </c>
      <c r="X88" s="53">
        <f t="shared" ca="1" si="28"/>
        <v>-1.2732925824820995E-11</v>
      </c>
      <c r="Y88" s="53">
        <f t="shared" ca="1" si="28"/>
        <v>-1.2732925824820995E-11</v>
      </c>
      <c r="Z88" s="53">
        <f t="shared" ca="1" si="28"/>
        <v>-1.2732925824820995E-11</v>
      </c>
      <c r="AA88" s="53">
        <f ca="1">Z90</f>
        <v>-1.2732925824820995E-11</v>
      </c>
      <c r="AB88" s="53">
        <f ca="1">AA90</f>
        <v>-1.2732925824820995E-11</v>
      </c>
      <c r="AC88" s="420"/>
    </row>
    <row r="89" spans="1:29">
      <c r="A89" s="139"/>
      <c r="D89" s="8"/>
      <c r="E89" s="8"/>
      <c r="F89" s="8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420" t="s">
        <v>93</v>
      </c>
    </row>
    <row r="90" spans="1:29" ht="13.5" thickBot="1">
      <c r="A90" s="141" t="s">
        <v>417</v>
      </c>
      <c r="B90" s="76"/>
      <c r="C90" s="76"/>
      <c r="D90" s="76"/>
      <c r="E90" s="76"/>
      <c r="F90" s="76"/>
      <c r="G90" s="398">
        <f ca="1">G86+G88</f>
        <v>-9.0949470177292824E-13</v>
      </c>
      <c r="H90" s="398">
        <f ca="1">H86+H88</f>
        <v>-1.2732925824820995E-11</v>
      </c>
      <c r="I90" s="398">
        <f ca="1">I86+I88</f>
        <v>-1.2732925824820995E-11</v>
      </c>
      <c r="J90" s="398">
        <f t="shared" ref="J90:W90" ca="1" si="29">J86+J88</f>
        <v>-1.2732925824820995E-11</v>
      </c>
      <c r="K90" s="398">
        <f t="shared" ca="1" si="29"/>
        <v>-1.2732925824820995E-11</v>
      </c>
      <c r="L90" s="398">
        <f t="shared" ca="1" si="29"/>
        <v>-1.2732925824820995E-11</v>
      </c>
      <c r="M90" s="398">
        <f t="shared" ca="1" si="29"/>
        <v>-1.2732925824820995E-11</v>
      </c>
      <c r="N90" s="398">
        <f t="shared" ca="1" si="29"/>
        <v>-1.2732925824820995E-11</v>
      </c>
      <c r="O90" s="398">
        <f t="shared" ca="1" si="29"/>
        <v>-1.2732925824820995E-11</v>
      </c>
      <c r="P90" s="398">
        <f t="shared" ca="1" si="29"/>
        <v>-1.2732925824820995E-11</v>
      </c>
      <c r="Q90" s="398">
        <f t="shared" ca="1" si="29"/>
        <v>-1.2732925824820995E-11</v>
      </c>
      <c r="R90" s="398">
        <f t="shared" ca="1" si="29"/>
        <v>-1.2732925824820995E-11</v>
      </c>
      <c r="S90" s="398">
        <f t="shared" ca="1" si="29"/>
        <v>-1.2732925824820995E-11</v>
      </c>
      <c r="T90" s="398">
        <f t="shared" ca="1" si="29"/>
        <v>-1.2732925824820995E-11</v>
      </c>
      <c r="U90" s="398">
        <f t="shared" ca="1" si="29"/>
        <v>-1.2732925824820995E-11</v>
      </c>
      <c r="V90" s="398">
        <f t="shared" ca="1" si="29"/>
        <v>-1.2732925824820995E-11</v>
      </c>
      <c r="W90" s="398">
        <f t="shared" ca="1" si="29"/>
        <v>-1.2732925824820995E-11</v>
      </c>
      <c r="X90" s="398">
        <f ca="1">X86+X88</f>
        <v>-1.2732925824820995E-11</v>
      </c>
      <c r="Y90" s="398">
        <f ca="1">Y86+Y88</f>
        <v>-1.2732925824820995E-11</v>
      </c>
      <c r="Z90" s="398">
        <f ca="1">Z86+Z88</f>
        <v>-1.2732925824820995E-11</v>
      </c>
      <c r="AA90" s="398">
        <f ca="1">AA86+AA88</f>
        <v>-1.2732925824820995E-11</v>
      </c>
      <c r="AB90" s="398">
        <f ca="1">AB86+AB88</f>
        <v>-1.2732925824820995E-11</v>
      </c>
      <c r="AC90" s="567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C141"/>
  <sheetViews>
    <sheetView showGridLines="0" zoomScale="75" workbookViewId="0">
      <selection activeCell="E72" sqref="E72"/>
    </sheetView>
  </sheetViews>
  <sheetFormatPr defaultRowHeight="12.75"/>
  <cols>
    <col min="1" max="1" width="8.7109375" style="8" customWidth="1"/>
    <col min="2" max="2" width="42.7109375" style="5" customWidth="1"/>
    <col min="3" max="3" width="10.42578125" style="5" bestFit="1" customWidth="1"/>
    <col min="4" max="4" width="1.7109375" style="5" customWidth="1"/>
    <col min="5" max="26" width="10.7109375" style="5" customWidth="1"/>
    <col min="27" max="27" width="10.7109375" style="8" customWidth="1"/>
    <col min="28" max="28" width="10.7109375" style="5" customWidth="1"/>
    <col min="29" max="16384" width="9.140625" style="5"/>
  </cols>
  <sheetData>
    <row r="1" spans="1:29" s="240" customFormat="1" ht="15.75">
      <c r="A1" s="987" t="str">
        <f>Assm!A1</f>
        <v>GAS ORIENTE BOLIVIANO S.A. (GASBOL) *** DRAFT COPY ***</v>
      </c>
      <c r="B1" s="239"/>
      <c r="C1" s="134"/>
      <c r="D1" s="23"/>
      <c r="G1" s="241"/>
      <c r="J1" s="242"/>
      <c r="R1" s="243"/>
      <c r="AA1" s="23"/>
    </row>
    <row r="2" spans="1:29" s="240" customFormat="1" ht="15.75">
      <c r="A2" s="987" t="str">
        <f>Assm!A2</f>
        <v>369 KM PIPELINE SPUR FOR CUIABA POWER PLANT (BOLIVIA)</v>
      </c>
      <c r="B2" s="239"/>
      <c r="C2" s="134"/>
      <c r="D2" s="23"/>
      <c r="G2" s="241"/>
      <c r="J2" s="242"/>
      <c r="R2" s="243"/>
      <c r="AA2" s="23"/>
    </row>
    <row r="3" spans="1:29" s="240" customFormat="1" ht="15.75">
      <c r="A3" s="244" t="str">
        <f>Assm!A3</f>
        <v>ENRON INTERNATIONAL</v>
      </c>
      <c r="B3" s="244"/>
      <c r="C3" s="134"/>
      <c r="D3" s="23"/>
      <c r="E3" s="245"/>
      <c r="G3" s="241"/>
      <c r="J3" s="242"/>
      <c r="S3" s="246"/>
      <c r="T3" s="246"/>
      <c r="AA3" s="23"/>
    </row>
    <row r="4" spans="1:29" s="240" customFormat="1" ht="15.75">
      <c r="A4" s="873" t="s">
        <v>899</v>
      </c>
      <c r="B4" s="873"/>
      <c r="C4" s="134"/>
      <c r="D4" s="23"/>
      <c r="E4" s="245"/>
      <c r="G4" s="241"/>
      <c r="J4" s="242"/>
      <c r="AA4" s="23"/>
    </row>
    <row r="5" spans="1:29" s="240" customFormat="1" ht="13.5" thickBot="1">
      <c r="A5" s="23"/>
      <c r="B5" s="23"/>
      <c r="C5" s="23"/>
      <c r="D5" s="23"/>
      <c r="E5" s="23"/>
      <c r="F5" s="23"/>
      <c r="G5" s="23"/>
      <c r="H5" s="23"/>
      <c r="AA5" s="23"/>
    </row>
    <row r="6" spans="1:29" s="8" customFormat="1">
      <c r="A6" s="411" t="s">
        <v>160</v>
      </c>
      <c r="B6" s="73"/>
      <c r="C6" s="73"/>
      <c r="D6" s="73"/>
      <c r="E6" s="876">
        <v>0</v>
      </c>
      <c r="F6" s="73">
        <f>IF(F$7&lt;YEAR(Startops1),0,E$6+1)</f>
        <v>0</v>
      </c>
      <c r="G6" s="73">
        <f t="shared" ref="G6:Z6" si="0">IF(G$7&lt;YEAR(Startops1),0,F$6+1)</f>
        <v>0</v>
      </c>
      <c r="H6" s="73">
        <f t="shared" si="0"/>
        <v>1</v>
      </c>
      <c r="I6" s="73">
        <f t="shared" si="0"/>
        <v>2</v>
      </c>
      <c r="J6" s="73">
        <f t="shared" si="0"/>
        <v>3</v>
      </c>
      <c r="K6" s="73">
        <f t="shared" si="0"/>
        <v>4</v>
      </c>
      <c r="L6" s="73">
        <f t="shared" si="0"/>
        <v>5</v>
      </c>
      <c r="M6" s="73">
        <f t="shared" si="0"/>
        <v>6</v>
      </c>
      <c r="N6" s="73">
        <f t="shared" si="0"/>
        <v>7</v>
      </c>
      <c r="O6" s="73">
        <f t="shared" si="0"/>
        <v>8</v>
      </c>
      <c r="P6" s="73">
        <f t="shared" si="0"/>
        <v>9</v>
      </c>
      <c r="Q6" s="73">
        <f t="shared" si="0"/>
        <v>10</v>
      </c>
      <c r="R6" s="73">
        <f t="shared" si="0"/>
        <v>11</v>
      </c>
      <c r="S6" s="73">
        <f t="shared" si="0"/>
        <v>12</v>
      </c>
      <c r="T6" s="73">
        <f t="shared" si="0"/>
        <v>13</v>
      </c>
      <c r="U6" s="73">
        <f t="shared" si="0"/>
        <v>14</v>
      </c>
      <c r="V6" s="73">
        <f t="shared" si="0"/>
        <v>15</v>
      </c>
      <c r="W6" s="73">
        <f t="shared" si="0"/>
        <v>16</v>
      </c>
      <c r="X6" s="73">
        <f t="shared" si="0"/>
        <v>17</v>
      </c>
      <c r="Y6" s="73">
        <f t="shared" si="0"/>
        <v>18</v>
      </c>
      <c r="Z6" s="73">
        <f t="shared" si="0"/>
        <v>19</v>
      </c>
      <c r="AA6" s="413"/>
      <c r="AB6" s="630" t="s">
        <v>126</v>
      </c>
    </row>
    <row r="7" spans="1:29" s="8" customFormat="1" ht="13.5" thickBot="1">
      <c r="A7" s="75" t="s">
        <v>151</v>
      </c>
      <c r="B7" s="76"/>
      <c r="C7" s="76"/>
      <c r="D7" s="79"/>
      <c r="E7" s="875">
        <v>1998</v>
      </c>
      <c r="F7" s="1240">
        <f>E7+1</f>
        <v>1999</v>
      </c>
      <c r="G7" s="1240">
        <f t="shared" ref="G7:X7" si="1">F7+1</f>
        <v>2000</v>
      </c>
      <c r="H7" s="1240">
        <f t="shared" si="1"/>
        <v>2001</v>
      </c>
      <c r="I7" s="1240">
        <f t="shared" si="1"/>
        <v>2002</v>
      </c>
      <c r="J7" s="1240">
        <f t="shared" si="1"/>
        <v>2003</v>
      </c>
      <c r="K7" s="1240">
        <f t="shared" si="1"/>
        <v>2004</v>
      </c>
      <c r="L7" s="1240">
        <f t="shared" si="1"/>
        <v>2005</v>
      </c>
      <c r="M7" s="1240">
        <f t="shared" si="1"/>
        <v>2006</v>
      </c>
      <c r="N7" s="1240">
        <f t="shared" si="1"/>
        <v>2007</v>
      </c>
      <c r="O7" s="1240">
        <f t="shared" si="1"/>
        <v>2008</v>
      </c>
      <c r="P7" s="1240">
        <f t="shared" si="1"/>
        <v>2009</v>
      </c>
      <c r="Q7" s="1240">
        <f t="shared" si="1"/>
        <v>2010</v>
      </c>
      <c r="R7" s="1240">
        <f t="shared" si="1"/>
        <v>2011</v>
      </c>
      <c r="S7" s="1240">
        <f t="shared" si="1"/>
        <v>2012</v>
      </c>
      <c r="T7" s="1240">
        <f t="shared" si="1"/>
        <v>2013</v>
      </c>
      <c r="U7" s="1240">
        <f t="shared" si="1"/>
        <v>2014</v>
      </c>
      <c r="V7" s="1240">
        <f t="shared" si="1"/>
        <v>2015</v>
      </c>
      <c r="W7" s="1240">
        <f t="shared" si="1"/>
        <v>2016</v>
      </c>
      <c r="X7" s="1240">
        <f t="shared" si="1"/>
        <v>2017</v>
      </c>
      <c r="Y7" s="1240">
        <f>X7+1</f>
        <v>2018</v>
      </c>
      <c r="Z7" s="1240">
        <f>Y7+1</f>
        <v>2019</v>
      </c>
      <c r="AA7" s="1239" t="s">
        <v>152</v>
      </c>
      <c r="AB7" s="1239" t="s">
        <v>532</v>
      </c>
    </row>
    <row r="8" spans="1:29">
      <c r="A8" s="447"/>
      <c r="B8" s="8"/>
      <c r="C8" s="8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458"/>
      <c r="AB8" s="416"/>
    </row>
    <row r="9" spans="1:29" s="8" customFormat="1">
      <c r="A9" s="450" t="s">
        <v>515</v>
      </c>
      <c r="AA9" s="416"/>
      <c r="AB9" s="416"/>
    </row>
    <row r="10" spans="1:29">
      <c r="A10" s="449"/>
      <c r="B10" s="8" t="s">
        <v>176</v>
      </c>
      <c r="C10" s="8"/>
      <c r="D10" s="27"/>
      <c r="E10" s="53">
        <f ca="1">IF(E$7&lt;YEAR(Startconst),0,-(HLOOKUP(DATE(E$7,12,31),Idc_Table,IDC!$AP$67)+SUM($D10:D10)))</f>
        <v>-10372.336370000001</v>
      </c>
      <c r="F10" s="53">
        <f ca="1">IF(F$7&lt;YEAR(Startconst),0,-(HLOOKUP(DATE(F$7,12,31),Idc_Table,IDC!$AP$67)+SUM($D10:E10)))</f>
        <v>-29627.663640000002</v>
      </c>
      <c r="G10" s="53">
        <f ca="1">IF(G$7&lt;YEAR(Startconst),0,-(HLOOKUP(DATE(G$7,12,31),Idc_Table,IDC!$AP$67)+SUM($D10:F10)))</f>
        <v>-20000</v>
      </c>
      <c r="H10" s="53">
        <f ca="1">IF(H$7&lt;YEAR(Startconst),0,-(HLOOKUP(DATE(H$7,12,31),Idc_Table,IDC!$AP$67)+SUM($D10:G10)))</f>
        <v>0</v>
      </c>
      <c r="I10" s="53">
        <f ca="1">IF(I$7&lt;YEAR(Startconst),0,-(HLOOKUP(DATE(I$7,12,31),Idc_Table,IDC!$AP$67)+SUM($D10:H10)))</f>
        <v>0</v>
      </c>
      <c r="J10" s="53">
        <f ca="1">IF(J$7&lt;YEAR(Startconst),0,-(HLOOKUP(DATE(J$7,12,31),Idc_Table,IDC!$AP$67)+SUM($D10:I10)))</f>
        <v>0</v>
      </c>
      <c r="K10" s="53">
        <f ca="1">IF(K$7&lt;YEAR(Startconst),0,-(HLOOKUP(DATE(K$7,12,31),Idc_Table,IDC!$AP$67)+SUM($D10:J10)))</f>
        <v>0</v>
      </c>
      <c r="L10" s="53">
        <f ca="1">IF(L$7&lt;YEAR(Startconst),0,-(HLOOKUP(DATE(L$7,12,31),Idc_Table,IDC!$AP$67)+SUM($D10:K10)))</f>
        <v>0</v>
      </c>
      <c r="M10" s="53">
        <f ca="1">IF(M$7&lt;YEAR(Startconst),0,-(HLOOKUP(DATE(M$7,12,31),Idc_Table,IDC!$AP$67)+SUM($D10:L10)))</f>
        <v>0</v>
      </c>
      <c r="N10" s="53">
        <f ca="1">IF(N$7&lt;YEAR(Startconst),0,-(HLOOKUP(DATE(N$7,12,31),Idc_Table,IDC!$AP$67)+SUM($D10:M10)))</f>
        <v>0</v>
      </c>
      <c r="O10" s="53">
        <f ca="1">IF(O$7&lt;YEAR(Startconst),0,-(HLOOKUP(DATE(O$7,12,31),Idc_Table,IDC!$AP$67)+SUM($D10:N10)))</f>
        <v>0</v>
      </c>
      <c r="P10" s="53">
        <f ca="1">IF(P$7&lt;YEAR(Startconst),0,-(HLOOKUP(DATE(P$7,12,31),Idc_Table,IDC!$AP$67)+SUM($D10:O10)))</f>
        <v>0</v>
      </c>
      <c r="Q10" s="53">
        <f ca="1">IF(Q$7&lt;YEAR(Startconst),0,-(HLOOKUP(DATE(Q$7,12,31),Idc_Table,IDC!$AP$67)+SUM($D10:P10)))</f>
        <v>0</v>
      </c>
      <c r="R10" s="53">
        <f ca="1">IF(R$7&lt;YEAR(Startconst),0,-(HLOOKUP(DATE(R$7,12,31),Idc_Table,IDC!$AP$67)+SUM($D10:Q10)))</f>
        <v>0</v>
      </c>
      <c r="S10" s="53">
        <f ca="1">IF(S$7&lt;YEAR(Startconst),0,-(HLOOKUP(DATE(S$7,12,31),Idc_Table,IDC!$AP$67)+SUM($D10:R10)))</f>
        <v>0</v>
      </c>
      <c r="T10" s="53">
        <f ca="1">IF(T$7&lt;YEAR(Startconst),0,-(HLOOKUP(DATE(T$7,12,31),Idc_Table,IDC!$AP$67)+SUM($D10:S10)))</f>
        <v>0</v>
      </c>
      <c r="U10" s="53">
        <f ca="1">IF(U$7&lt;YEAR(Startconst),0,-(HLOOKUP(DATE(U$7,12,31),Idc_Table,IDC!$AP$67)+SUM($D10:T10)))</f>
        <v>0</v>
      </c>
      <c r="V10" s="53">
        <f ca="1">IF(V$7&lt;YEAR(Startconst),0,-(HLOOKUP(DATE(V$7,12,31),Idc_Table,IDC!$AP$67)+SUM($D10:U10)))</f>
        <v>0</v>
      </c>
      <c r="W10" s="53">
        <f ca="1">IF(W$7&lt;YEAR(Startconst),0,-(HLOOKUP(DATE(W$7,12,31),Idc_Table,IDC!$AP$67)+SUM($D10:V10)))</f>
        <v>0</v>
      </c>
      <c r="X10" s="53">
        <f ca="1">IF(X$7&lt;YEAR(Startconst),0,-(HLOOKUP(DATE(X$7,12,31),Idc_Table,IDC!$AP$67)+SUM($D10:W10)))</f>
        <v>0</v>
      </c>
      <c r="Y10" s="53">
        <f ca="1">IF(Y$7&lt;YEAR(Startconst),0,-(HLOOKUP(DATE(Y$7,12,31),Idc_Table,IDC!$AP$67)+SUM($D10:X10)))</f>
        <v>0</v>
      </c>
      <c r="Z10" s="53">
        <f ca="1">IF(Z$7&lt;YEAR(Startconst),0,-(HLOOKUP(DATE(Z$7,12,31),Idc_Table,IDC!$AP$67)+SUM($D10:Y10)))</f>
        <v>0</v>
      </c>
      <c r="AA10" s="420">
        <f ca="1">SUM(D10:Z10)</f>
        <v>-60000.000010000003</v>
      </c>
      <c r="AB10" s="420">
        <f ca="1">$E10+NPV(Disc,$F10:Z10)</f>
        <v>-49392.829083508943</v>
      </c>
      <c r="AC10" s="158" t="str">
        <f ca="1">IF(ABS(AA10+Equity)&lt;0.5," ", "CHECK")</f>
        <v xml:space="preserve"> </v>
      </c>
    </row>
    <row r="11" spans="1:29">
      <c r="A11" s="449"/>
      <c r="B11" s="8" t="s">
        <v>655</v>
      </c>
      <c r="C11" s="8"/>
      <c r="D11" s="16"/>
      <c r="E11" s="276">
        <f ca="1">IF(E$7&lt;YEAR(Startops1),0,HLOOKUP(E$7,CF_Table,CF!$AB$76))</f>
        <v>0</v>
      </c>
      <c r="F11" s="276">
        <f ca="1">IF(F$7&lt;YEAR(Startops1),0,HLOOKUP(F$7,CF_Table,CF!$AB$76))</f>
        <v>0</v>
      </c>
      <c r="G11" s="276">
        <f ca="1">IF(G$7&lt;YEAR(Startops1),0,HLOOKUP(G$7,CF_Table,CF!$AB$76))</f>
        <v>0</v>
      </c>
      <c r="H11" s="276">
        <f ca="1">IF(H$7&lt;YEAR(Startops1),0,HLOOKUP(H$7,CF_Table,CF!$AB$76))</f>
        <v>0</v>
      </c>
      <c r="I11" s="276">
        <f ca="1">IF(I$7&lt;YEAR(Startops1),0,HLOOKUP(I$7,CF_Table,CF!$AB$76))</f>
        <v>9.0949470177292824E-13</v>
      </c>
      <c r="J11" s="276">
        <f ca="1">IF(J$7&lt;YEAR(Startops1),0,HLOOKUP(J$7,CF_Table,CF!$AB$76))</f>
        <v>-4.5474735088646412E-13</v>
      </c>
      <c r="K11" s="276">
        <f ca="1">IF(K$7&lt;YEAR(Startops1),0,HLOOKUP(K$7,CF_Table,CF!$AB$76))</f>
        <v>-9.0949470177292824E-13</v>
      </c>
      <c r="L11" s="276">
        <f ca="1">IF(L$7&lt;YEAR(Startops1),0,HLOOKUP(L$7,CF_Table,CF!$AB$76))</f>
        <v>-4.5474735088646412E-13</v>
      </c>
      <c r="M11" s="276">
        <f ca="1">IF(M$7&lt;YEAR(Startops1),0,HLOOKUP(M$7,CF_Table,CF!$AB$76))</f>
        <v>1922.3134119592878</v>
      </c>
      <c r="N11" s="276">
        <f ca="1">IF(N$7&lt;YEAR(Startops1),0,HLOOKUP(N$7,CF_Table,CF!$AB$76))</f>
        <v>7146.1529249629439</v>
      </c>
      <c r="O11" s="276">
        <f ca="1">IF(O$7&lt;YEAR(Startops1),0,HLOOKUP(O$7,CF_Table,CF!$AB$76))</f>
        <v>8076.6728637935885</v>
      </c>
      <c r="P11" s="276">
        <f ca="1">IF(P$7&lt;YEAR(Startops1),0,HLOOKUP(P$7,CF_Table,CF!$AB$76))</f>
        <v>9574.3164161303957</v>
      </c>
      <c r="Q11" s="276">
        <f ca="1">IF(Q$7&lt;YEAR(Startops1),0,HLOOKUP(Q$7,CF_Table,CF!$AB$76))</f>
        <v>10565.631803312826</v>
      </c>
      <c r="R11" s="276">
        <f ca="1">IF(R$7&lt;YEAR(Startops1),0,HLOOKUP(R$7,CF_Table,CF!$AB$76))</f>
        <v>11785.033620792883</v>
      </c>
      <c r="S11" s="276">
        <f ca="1">IF(S$7&lt;YEAR(Startops1),0,HLOOKUP(S$7,CF_Table,CF!$AB$76))</f>
        <v>13708.670603518618</v>
      </c>
      <c r="T11" s="276">
        <f ca="1">IF(T$7&lt;YEAR(Startops1),0,HLOOKUP(T$7,CF_Table,CF!$AB$76))</f>
        <v>13261.709473033836</v>
      </c>
      <c r="U11" s="276">
        <f ca="1">IF(U$7&lt;YEAR(Startops1),0,HLOOKUP(U$7,CF_Table,CF!$AB$76))</f>
        <v>15718.221579254499</v>
      </c>
      <c r="V11" s="276">
        <f ca="1">IF(V$7&lt;YEAR(Startops1),0,HLOOKUP(V$7,CF_Table,CF!$AB$76))</f>
        <v>16989.560183040943</v>
      </c>
      <c r="W11" s="276">
        <f ca="1">IF(W$7&lt;YEAR(Startops1),0,HLOOKUP(W$7,CF_Table,CF!$AB$76))</f>
        <v>17880.603261494023</v>
      </c>
      <c r="X11" s="276">
        <f ca="1">IF(X$7&lt;YEAR(Startops1),0,HLOOKUP(X$7,CF_Table,CF!$AB$76))</f>
        <v>18647.061407022833</v>
      </c>
      <c r="Y11" s="276">
        <f ca="1">IF(Y$7&lt;YEAR(Startops1),0,HLOOKUP(Y$7,CF_Table,CF!$AB$76))</f>
        <v>19477.758336207997</v>
      </c>
      <c r="Z11" s="276">
        <f ca="1">IF(Z$7&lt;YEAR(Startops1),0,HLOOKUP(Z$7,CF_Table,CF!$AB$76))</f>
        <v>65285.338152248063</v>
      </c>
      <c r="AA11" s="420">
        <f ca="1">SUM(D11:Z11)</f>
        <v>230039.04403677274</v>
      </c>
      <c r="AB11" s="420">
        <f ca="1">$E11+NPV(Disc,$F11:Z11)</f>
        <v>15129.20913949309</v>
      </c>
    </row>
    <row r="12" spans="1:29">
      <c r="A12" s="449"/>
      <c r="B12" s="8" t="s">
        <v>346</v>
      </c>
      <c r="C12" s="8"/>
      <c r="D12" s="16"/>
      <c r="E12" s="53">
        <f ca="1">IF(E$7&lt;YEAR(Startops1),0,-(HLOOKUP(E$7,CF_Table,CF!$AB$73)+HLOOKUP(E$7,CF_Table,CF!$AB$74)))</f>
        <v>0</v>
      </c>
      <c r="F12" s="53">
        <f ca="1">IF(F$7&lt;YEAR(Startops1),0,-(HLOOKUP(F$7,CF_Table,CF!$AB$73)+HLOOKUP(F$7,CF_Table,CF!$AB$74)))</f>
        <v>0</v>
      </c>
      <c r="G12" s="53">
        <f ca="1">IF(G$7&lt;YEAR(Startops1),0,-(HLOOKUP(G$7,CF_Table,CF!$AB$73)+HLOOKUP(G$7,CF_Table,CF!$AB$74)))</f>
        <v>0</v>
      </c>
      <c r="H12" s="53">
        <f ca="1">IF(H$7&lt;YEAR(Startops1),0,-(HLOOKUP(H$7,CF_Table,CF!$AB$73)+HLOOKUP(H$7,CF_Table,CF!$AB$74)))</f>
        <v>6028.0207486577092</v>
      </c>
      <c r="I12" s="53">
        <f ca="1">IF(I$7&lt;YEAR(Startops1),0,-(HLOOKUP(I$7,CF_Table,CF!$AB$73)+HLOOKUP(I$7,CF_Table,CF!$AB$74)))</f>
        <v>5234.8524434126139</v>
      </c>
      <c r="J12" s="53">
        <f ca="1">IF(J$7&lt;YEAR(Startops1),0,-(HLOOKUP(J$7,CF_Table,CF!$AB$73)+HLOOKUP(J$7,CF_Table,CF!$AB$74)))</f>
        <v>3879.7873896216333</v>
      </c>
      <c r="K12" s="53">
        <f ca="1">IF(K$7&lt;YEAR(Startops1),0,-(HLOOKUP(K$7,CF_Table,CF!$AB$73)+HLOOKUP(K$7,CF_Table,CF!$AB$74)))</f>
        <v>5587.9031984205249</v>
      </c>
      <c r="L12" s="53">
        <f ca="1">IF(L$7&lt;YEAR(Startops1),0,-(HLOOKUP(L$7,CF_Table,CF!$AB$73)+HLOOKUP(L$7,CF_Table,CF!$AB$74)))</f>
        <v>1731.721576576434</v>
      </c>
      <c r="M12" s="53">
        <f ca="1">IF(M$7&lt;YEAR(Startops1),0,-(HLOOKUP(M$7,CF_Table,CF!$AB$73)+HLOOKUP(M$7,CF_Table,CF!$AB$74)))</f>
        <v>3476.8937705100834</v>
      </c>
      <c r="N12" s="53">
        <f ca="1">IF(N$7&lt;YEAR(Startops1),0,-(HLOOKUP(N$7,CF_Table,CF!$AB$73)+HLOOKUP(N$7,CF_Table,CF!$AB$74)))</f>
        <v>-443.61093805346536</v>
      </c>
      <c r="O12" s="53">
        <f ca="1">IF(O$7&lt;YEAR(Startops1),0,-(HLOOKUP(O$7,CF_Table,CF!$AB$73)+HLOOKUP(O$7,CF_Table,CF!$AB$74)))</f>
        <v>2396.6431084535943</v>
      </c>
      <c r="P12" s="53">
        <f ca="1">IF(P$7&lt;YEAR(Startops1),0,-(HLOOKUP(P$7,CF_Table,CF!$AB$73)+HLOOKUP(P$7,CF_Table,CF!$AB$74)))</f>
        <v>5461.9893447206668</v>
      </c>
      <c r="Q12" s="53">
        <f ca="1">IF(Q$7&lt;YEAR(Startops1),0,-(HLOOKUP(Q$7,CF_Table,CF!$AB$73)+HLOOKUP(Q$7,CF_Table,CF!$AB$74)))</f>
        <v>5826.0794823062461</v>
      </c>
      <c r="R12" s="53">
        <f ca="1">IF(R$7&lt;YEAR(Startops1),0,-(HLOOKUP(R$7,CF_Table,CF!$AB$73)+HLOOKUP(R$7,CF_Table,CF!$AB$74)))</f>
        <v>3586.2438055961829</v>
      </c>
      <c r="S12" s="53">
        <f ca="1">IF(S$7&lt;YEAR(Startops1),0,-(HLOOKUP(S$7,CF_Table,CF!$AB$73)+HLOOKUP(S$7,CF_Table,CF!$AB$74)))</f>
        <v>-2107.6134166364282</v>
      </c>
      <c r="T12" s="53">
        <f ca="1">IF(T$7&lt;YEAR(Startops1),0,-(HLOOKUP(T$7,CF_Table,CF!$AB$73)+HLOOKUP(T$7,CF_Table,CF!$AB$74)))</f>
        <v>-1731.1015449846527</v>
      </c>
      <c r="U12" s="53">
        <f ca="1">IF(U$7&lt;YEAR(Startops1),0,-(HLOOKUP(U$7,CF_Table,CF!$AB$73)+HLOOKUP(U$7,CF_Table,CF!$AB$74)))</f>
        <v>-1882.942800658755</v>
      </c>
      <c r="V12" s="53">
        <f ca="1">IF(V$7&lt;YEAR(Startops1),0,-(HLOOKUP(V$7,CF_Table,CF!$AB$73)+HLOOKUP(V$7,CF_Table,CF!$AB$74)))</f>
        <v>435.87662734962942</v>
      </c>
      <c r="W12" s="53">
        <f ca="1">IF(W$7&lt;YEAR(Startops1),0,-(HLOOKUP(W$7,CF_Table,CF!$AB$73)+HLOOKUP(W$7,CF_Table,CF!$AB$74)))</f>
        <v>6348.958898306737</v>
      </c>
      <c r="X12" s="53">
        <f ca="1">IF(X$7&lt;YEAR(Startops1),0,-(HLOOKUP(X$7,CF_Table,CF!$AB$73)+HLOOKUP(X$7,CF_Table,CF!$AB$74)))</f>
        <v>6389.2988007029926</v>
      </c>
      <c r="Y12" s="53">
        <f ca="1">IF(Y$7&lt;YEAR(Startops1),0,-(HLOOKUP(Y$7,CF_Table,CF!$AB$73)+HLOOKUP(Y$7,CF_Table,CF!$AB$74)))</f>
        <v>6433.0196917127323</v>
      </c>
      <c r="Z12" s="53">
        <f ca="1">IF(Z$7&lt;YEAR(Startops1),0,-(HLOOKUP(Z$7,CF_Table,CF!$AB$73)+HLOOKUP(Z$7,CF_Table,CF!$AB$74)))</f>
        <v>-56638.744186076554</v>
      </c>
      <c r="AA12" s="420">
        <f ca="1">SUM(D12:Z12)</f>
        <v>13.275999937926827</v>
      </c>
      <c r="AB12" s="420">
        <f ca="1">$E12+NPV(Disc,$F12:Z12)</f>
        <v>12225.177793028508</v>
      </c>
    </row>
    <row r="13" spans="1:29">
      <c r="A13" s="449"/>
      <c r="B13" s="8" t="s">
        <v>946</v>
      </c>
      <c r="C13" s="8"/>
      <c r="D13" s="16"/>
      <c r="E13" s="226">
        <f>IF(E$7=YEAR(Endyr),Assm!$L$86*Assm!$L$81,0)</f>
        <v>0</v>
      </c>
      <c r="F13" s="226">
        <f>IF(F$7=YEAR(Endyr),Assm!$L$86*Assm!$L$81,0)</f>
        <v>0</v>
      </c>
      <c r="G13" s="226">
        <f>IF(G$7=YEAR(Endyr),Assm!$L$86*Assm!$L$81,0)</f>
        <v>0</v>
      </c>
      <c r="H13" s="226">
        <f>IF(H$7=YEAR(Endyr),Assm!$L$86*Assm!$L$81,0)</f>
        <v>0</v>
      </c>
      <c r="I13" s="226">
        <f>IF(I$7=YEAR(Endyr),Assm!$L$86*Assm!$L$81,0)</f>
        <v>0</v>
      </c>
      <c r="J13" s="226">
        <f>IF(J$7=YEAR(Endyr),Assm!$L$86*Assm!$L$81,0)</f>
        <v>0</v>
      </c>
      <c r="K13" s="226">
        <f>IF(K$7=YEAR(Endyr),Assm!$L$86*Assm!$L$81,0)</f>
        <v>0</v>
      </c>
      <c r="L13" s="226">
        <f>IF(L$7=YEAR(Endyr),Assm!$L$86*Assm!$L$81,0)</f>
        <v>0</v>
      </c>
      <c r="M13" s="226">
        <f>IF(M$7=YEAR(Endyr),Assm!$L$86*Assm!$L$81,0)</f>
        <v>0</v>
      </c>
      <c r="N13" s="226">
        <f>IF(N$7=YEAR(Endyr),Assm!$L$86*Assm!$L$81,0)</f>
        <v>0</v>
      </c>
      <c r="O13" s="226">
        <f>IF(O$7=YEAR(Endyr),Assm!$L$86*Assm!$L$81,0)</f>
        <v>0</v>
      </c>
      <c r="P13" s="226">
        <f>IF(P$7=YEAR(Endyr),Assm!$L$86*Assm!$L$81,0)</f>
        <v>0</v>
      </c>
      <c r="Q13" s="226">
        <f>IF(Q$7=YEAR(Endyr),Assm!$L$86*Assm!$L$81,0)</f>
        <v>0</v>
      </c>
      <c r="R13" s="226">
        <f>IF(R$7=YEAR(Endyr),Assm!$L$86*Assm!$L$81,0)</f>
        <v>0</v>
      </c>
      <c r="S13" s="226">
        <f>IF(S$7=YEAR(Endyr),Assm!$L$86*Assm!$L$81,0)</f>
        <v>0</v>
      </c>
      <c r="T13" s="226">
        <f>IF(T$7=YEAR(Endyr),Assm!$L$86*Assm!$L$81,0)</f>
        <v>0</v>
      </c>
      <c r="U13" s="226">
        <f>IF(U$7=YEAR(Endyr),Assm!$L$86*Assm!$L$81,0)</f>
        <v>0</v>
      </c>
      <c r="V13" s="226">
        <f>IF(V$7=YEAR(Endyr),Assm!$L$86*Assm!$L$81,0)</f>
        <v>0</v>
      </c>
      <c r="W13" s="226">
        <f>IF(W$7=YEAR(Endyr),Assm!$L$86*Assm!$L$81,0)</f>
        <v>0</v>
      </c>
      <c r="X13" s="226">
        <f>IF(X$7=YEAR(Endyr),Assm!$L$86*Assm!$L$81,0)</f>
        <v>0</v>
      </c>
      <c r="Y13" s="226">
        <f>IF(Y$7=YEAR(Endyr),Assm!$L$86*Assm!$L$81,0)</f>
        <v>0</v>
      </c>
      <c r="Z13" s="226">
        <f ca="1">IF(Z$7=YEAR(Endyr),Assm!$L$86*Assm!$L$81,0)</f>
        <v>345863.75864686031</v>
      </c>
      <c r="AA13" s="421">
        <f ca="1">SUM(D13:Z13)</f>
        <v>345863.75864686031</v>
      </c>
      <c r="AB13" s="421">
        <f ca="1">$E13+NPV(Disc,$F13:Z13)</f>
        <v>8962.2874197223591</v>
      </c>
    </row>
    <row r="14" spans="1:29" s="71" customFormat="1">
      <c r="A14" s="451"/>
      <c r="B14" s="8" t="s">
        <v>177</v>
      </c>
      <c r="C14" s="8"/>
      <c r="D14" s="28"/>
      <c r="E14" s="53">
        <f ca="1">SUM(E10:E13)</f>
        <v>-10372.336370000001</v>
      </c>
      <c r="F14" s="53">
        <f t="shared" ref="F14:Z14" ca="1" si="2">SUM(F10:F13)</f>
        <v>-29627.663640000002</v>
      </c>
      <c r="G14" s="53">
        <f t="shared" ca="1" si="2"/>
        <v>-20000</v>
      </c>
      <c r="H14" s="53">
        <f t="shared" ca="1" si="2"/>
        <v>6028.0207486577092</v>
      </c>
      <c r="I14" s="53">
        <f t="shared" ca="1" si="2"/>
        <v>5234.8524434126148</v>
      </c>
      <c r="J14" s="53">
        <f t="shared" ca="1" si="2"/>
        <v>3879.7873896216329</v>
      </c>
      <c r="K14" s="53">
        <f t="shared" ca="1" si="2"/>
        <v>5587.9031984205239</v>
      </c>
      <c r="L14" s="53">
        <f t="shared" ca="1" si="2"/>
        <v>1731.7215765764336</v>
      </c>
      <c r="M14" s="53">
        <f t="shared" ca="1" si="2"/>
        <v>5399.2071824693712</v>
      </c>
      <c r="N14" s="53">
        <f t="shared" ca="1" si="2"/>
        <v>6702.5419869094785</v>
      </c>
      <c r="O14" s="53">
        <f t="shared" ca="1" si="2"/>
        <v>10473.315972247183</v>
      </c>
      <c r="P14" s="53">
        <f t="shared" ca="1" si="2"/>
        <v>15036.305760851063</v>
      </c>
      <c r="Q14" s="53">
        <f t="shared" ca="1" si="2"/>
        <v>16391.711285619072</v>
      </c>
      <c r="R14" s="53">
        <f t="shared" ca="1" si="2"/>
        <v>15371.277426389066</v>
      </c>
      <c r="S14" s="53">
        <f t="shared" ca="1" si="2"/>
        <v>11601.05718688219</v>
      </c>
      <c r="T14" s="53">
        <f t="shared" ca="1" si="2"/>
        <v>11530.607928049183</v>
      </c>
      <c r="U14" s="53">
        <f t="shared" ca="1" si="2"/>
        <v>13835.278778595744</v>
      </c>
      <c r="V14" s="53">
        <f t="shared" ca="1" si="2"/>
        <v>17425.436810390573</v>
      </c>
      <c r="W14" s="53">
        <f t="shared" ca="1" si="2"/>
        <v>24229.56215980076</v>
      </c>
      <c r="X14" s="53">
        <f t="shared" ca="1" si="2"/>
        <v>25036.360207725826</v>
      </c>
      <c r="Y14" s="53">
        <f t="shared" ca="1" si="2"/>
        <v>25910.778027920729</v>
      </c>
      <c r="Z14" s="53">
        <f t="shared" ca="1" si="2"/>
        <v>354510.35261303181</v>
      </c>
      <c r="AA14" s="420">
        <f ca="1">SUM(D14:Z14)</f>
        <v>515916.078673571</v>
      </c>
      <c r="AB14" s="420">
        <f ca="1">SUM(AB10:AB13)</f>
        <v>-13076.154731264984</v>
      </c>
      <c r="AC14" s="5"/>
    </row>
    <row r="15" spans="1:29" s="71" customFormat="1">
      <c r="A15" s="451"/>
      <c r="B15" s="8"/>
      <c r="C15" s="8"/>
      <c r="D15" s="28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421"/>
      <c r="AB15" s="552"/>
      <c r="AC15" s="5"/>
    </row>
    <row r="16" spans="1:29">
      <c r="A16" s="449"/>
      <c r="B16" s="8" t="s">
        <v>178</v>
      </c>
      <c r="C16" s="8"/>
      <c r="D16" s="27"/>
      <c r="E16" s="53">
        <f ca="1">$E14</f>
        <v>-10372.336370000001</v>
      </c>
      <c r="F16" s="53">
        <f ca="1">$E14+NPV(Disc,$F14:F14)</f>
        <v>-35269.532706134458</v>
      </c>
      <c r="G16" s="53">
        <f ca="1">$E14+NPV(Disc,$F14:G14)</f>
        <v>-49392.829083508943</v>
      </c>
      <c r="H16" s="53">
        <f ca="1">$E14+NPV(Disc,$F14:H14)</f>
        <v>-45815.706243078035</v>
      </c>
      <c r="I16" s="53">
        <f ca="1">$E14+NPV(Disc,$F14:I14)</f>
        <v>-43205.248911316885</v>
      </c>
      <c r="J16" s="53">
        <f ca="1">$E14+NPV(Disc,$F14:J14)</f>
        <v>-41579.426446349884</v>
      </c>
      <c r="K16" s="53">
        <f ca="1">$E14+NPV(Disc,$F14:K14)</f>
        <v>-39611.689202550318</v>
      </c>
      <c r="L16" s="53">
        <f ca="1">$E14+NPV(Disc,$F14:L14)</f>
        <v>-39099.241750186789</v>
      </c>
      <c r="M16" s="53">
        <f ca="1">$E14+NPV(Disc,$F14:M14)</f>
        <v>-37756.618072931429</v>
      </c>
      <c r="N16" s="53">
        <f ca="1">$E14+NPV(Disc,$F14:N14)</f>
        <v>-36356.00914390487</v>
      </c>
      <c r="O16" s="53">
        <f ca="1">$E14+NPV(Disc,$F14:O14)</f>
        <v>-34516.869982144679</v>
      </c>
      <c r="P16" s="53">
        <f ca="1">$E14+NPV(Disc,$F14:P14)</f>
        <v>-32298.037203147371</v>
      </c>
      <c r="Q16" s="53">
        <f ca="1">$E14+NPV(Disc,$F14:Q14)</f>
        <v>-30265.395838398741</v>
      </c>
      <c r="R16" s="53">
        <f ca="1">$E14+NPV(Disc,$F14:R14)</f>
        <v>-28663.62839264081</v>
      </c>
      <c r="S16" s="53">
        <f ca="1">$E14+NPV(Disc,$F14:S14)</f>
        <v>-27647.75377771787</v>
      </c>
      <c r="T16" s="53">
        <f ca="1">$E14+NPV(Disc,$F14:T14)</f>
        <v>-26799.261714456032</v>
      </c>
      <c r="U16" s="53">
        <f ca="1">$E14+NPV(Disc,$F14:U14)</f>
        <v>-25943.729174935273</v>
      </c>
      <c r="V16" s="53">
        <f ca="1">$E14+NPV(Disc,$F14:V14)</f>
        <v>-25038.235690056081</v>
      </c>
      <c r="W16" s="53">
        <f ca="1">$E14+NPV(Disc,$F14:W14)</f>
        <v>-23980.200137656153</v>
      </c>
      <c r="X16" s="53">
        <f ca="1">$E14+NPV(Disc,$F14:X14)</f>
        <v>-23061.489119704354</v>
      </c>
      <c r="Y16" s="53">
        <f ca="1">$E14+NPV(Disc,$F14:Y14)</f>
        <v>-22262.49933648041</v>
      </c>
      <c r="Z16" s="53">
        <f ca="1">$E14+NPV(Disc,$F14:Z14)</f>
        <v>-13076.154731264991</v>
      </c>
      <c r="AA16" s="420"/>
      <c r="AB16" s="416"/>
    </row>
    <row r="17" spans="1:28">
      <c r="A17" s="449"/>
      <c r="B17" s="8" t="s">
        <v>179</v>
      </c>
      <c r="C17" s="8"/>
      <c r="D17" s="21"/>
      <c r="E17" s="21" t="e">
        <f ca="1">IRR($E14:E14,-0.9)</f>
        <v>#NUM!</v>
      </c>
      <c r="F17" s="21" t="e">
        <f ca="1">IRR($E14:F14,-0.9)</f>
        <v>#NUM!</v>
      </c>
      <c r="G17" s="21" t="e">
        <f ca="1">IRR($E14:G14,-0.9)</f>
        <v>#NUM!</v>
      </c>
      <c r="H17" s="21">
        <f ca="1">IRR($E14:H14,-0.9)</f>
        <v>-0.77758601313281439</v>
      </c>
      <c r="I17" s="21">
        <f ca="1">IRR($E14:I14,-0.9)</f>
        <v>-0.52815883772362615</v>
      </c>
      <c r="J17" s="21">
        <f ca="1">IRR($E14:J14,-0.9)</f>
        <v>-0.39466465168055948</v>
      </c>
      <c r="K17" s="21">
        <f ca="1">IRR($E14:K14,-0.9)</f>
        <v>-0.26750267420446078</v>
      </c>
      <c r="L17" s="21">
        <f ca="1">IRR($E14:L14,-0.9)</f>
        <v>-0.23631690108252004</v>
      </c>
      <c r="M17" s="21">
        <f ca="1">IRR($E14:M14,-0.9)</f>
        <v>-0.16116017536023763</v>
      </c>
      <c r="N17" s="21">
        <f ca="1">IRR($E14:N14,-0.9)</f>
        <v>-0.10298912645808196</v>
      </c>
      <c r="O17" s="21">
        <f ca="1">IRR($E14:O14,-0.9)</f>
        <v>-4.7318986795694094E-2</v>
      </c>
      <c r="P17" s="21">
        <f ca="1">IRR($E14:P14,-0.9)</f>
        <v>1.8067158772195767E-4</v>
      </c>
      <c r="Q17" s="21">
        <f ca="1">IRR($E14:Q14,-0.9)</f>
        <v>3.2776478352561103E-2</v>
      </c>
      <c r="R17" s="21">
        <f ca="1">IRR($E14:R14,-0.9)</f>
        <v>5.3956178278880794E-2</v>
      </c>
      <c r="S17" s="21">
        <f ca="1">IRR($E14:S14,-0.9)</f>
        <v>6.606787920330974E-2</v>
      </c>
      <c r="T17" s="21">
        <f ca="1">IRR($E14:T14,-0.9)</f>
        <v>7.5662480897699586E-2</v>
      </c>
      <c r="U17" s="21">
        <f ca="1">IRR($E14:U14,-0.9)</f>
        <v>8.4835183821680551E-2</v>
      </c>
      <c r="V17" s="21">
        <f ca="1">IRR($E14:V14,-0.9)</f>
        <v>9.3896898619931252E-2</v>
      </c>
      <c r="W17" s="21">
        <f ca="1">IRR($E14:W14,-0.9)</f>
        <v>0.10354738228587583</v>
      </c>
      <c r="X17" s="21">
        <f ca="1">IRR($E14:X14,-0.9)</f>
        <v>0.11116360107143169</v>
      </c>
      <c r="Y17" s="21">
        <f ca="1">IRR($E14:Y14,-0.9)</f>
        <v>0.11730548430828147</v>
      </c>
      <c r="Z17" s="21">
        <f ca="1">IRR($E14:Z14,-0.9)</f>
        <v>0.16005484620539395</v>
      </c>
      <c r="AA17" s="416"/>
      <c r="AB17" s="631">
        <f ca="1">IRR($E14:Z14)</f>
        <v>0.16005484620537791</v>
      </c>
    </row>
    <row r="18" spans="1:28">
      <c r="A18" s="449"/>
      <c r="B18" s="8"/>
      <c r="C18" s="8"/>
      <c r="D18" s="72"/>
      <c r="E18" s="275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416"/>
      <c r="AB18" s="416"/>
    </row>
    <row r="19" spans="1:28">
      <c r="A19" s="449"/>
      <c r="B19" s="266" t="str">
        <f ca="1">CONCATENATE("Project NPV @ ",TEXT(Disc,"0.0%")," (w/o TC)")</f>
        <v>Project NPV @ 19.0% (w/o TC)</v>
      </c>
      <c r="C19" s="441">
        <f ca="1">AB14</f>
        <v>-13076.154731264984</v>
      </c>
      <c r="D19" s="8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416"/>
      <c r="AB19" s="416"/>
    </row>
    <row r="20" spans="1:28">
      <c r="A20" s="449"/>
      <c r="B20" s="279" t="s">
        <v>514</v>
      </c>
      <c r="C20" s="442">
        <f ca="1">AB17</f>
        <v>0.16005484620537791</v>
      </c>
      <c r="D20" s="8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416"/>
      <c r="AB20" s="416"/>
    </row>
    <row r="21" spans="1:28" ht="13.5" thickBot="1">
      <c r="A21" s="455"/>
      <c r="B21" s="456" t="s">
        <v>180</v>
      </c>
      <c r="C21" s="667">
        <f ca="1">MAX(E21:Z21)</f>
        <v>0</v>
      </c>
      <c r="D21" s="668"/>
      <c r="E21" s="668">
        <f t="shared" ref="E21:X21" ca="1" si="3">IF(AND(E16&gt;0,D16&lt;0),E$6,0)</f>
        <v>0</v>
      </c>
      <c r="F21" s="668">
        <f t="shared" ca="1" si="3"/>
        <v>0</v>
      </c>
      <c r="G21" s="668">
        <f t="shared" ca="1" si="3"/>
        <v>0</v>
      </c>
      <c r="H21" s="668">
        <f t="shared" ca="1" si="3"/>
        <v>0</v>
      </c>
      <c r="I21" s="668">
        <f t="shared" ca="1" si="3"/>
        <v>0</v>
      </c>
      <c r="J21" s="668">
        <f t="shared" ca="1" si="3"/>
        <v>0</v>
      </c>
      <c r="K21" s="668">
        <f t="shared" ca="1" si="3"/>
        <v>0</v>
      </c>
      <c r="L21" s="668">
        <f t="shared" ca="1" si="3"/>
        <v>0</v>
      </c>
      <c r="M21" s="668">
        <f t="shared" ca="1" si="3"/>
        <v>0</v>
      </c>
      <c r="N21" s="668">
        <f t="shared" ca="1" si="3"/>
        <v>0</v>
      </c>
      <c r="O21" s="668">
        <f t="shared" ca="1" si="3"/>
        <v>0</v>
      </c>
      <c r="P21" s="668">
        <f t="shared" ca="1" si="3"/>
        <v>0</v>
      </c>
      <c r="Q21" s="668">
        <f t="shared" ca="1" si="3"/>
        <v>0</v>
      </c>
      <c r="R21" s="668">
        <f t="shared" ca="1" si="3"/>
        <v>0</v>
      </c>
      <c r="S21" s="668">
        <f t="shared" ca="1" si="3"/>
        <v>0</v>
      </c>
      <c r="T21" s="668">
        <f t="shared" ca="1" si="3"/>
        <v>0</v>
      </c>
      <c r="U21" s="668">
        <f t="shared" ca="1" si="3"/>
        <v>0</v>
      </c>
      <c r="V21" s="668">
        <f t="shared" ca="1" si="3"/>
        <v>0</v>
      </c>
      <c r="W21" s="668">
        <f t="shared" ca="1" si="3"/>
        <v>0</v>
      </c>
      <c r="X21" s="668">
        <f t="shared" ca="1" si="3"/>
        <v>0</v>
      </c>
      <c r="Y21" s="668">
        <f ca="1">IF(AND(Y16&gt;0,X16&lt;0),Y$6,0)</f>
        <v>0</v>
      </c>
      <c r="Z21" s="668">
        <f ca="1">IF(AND(Z16&gt;0,Y16&lt;0),Z$6,0)</f>
        <v>0</v>
      </c>
      <c r="AA21" s="429"/>
      <c r="AB21" s="429"/>
    </row>
    <row r="22" spans="1:28" s="8" customFormat="1" ht="13.5" thickBot="1">
      <c r="A22" s="152"/>
      <c r="B22" s="32"/>
      <c r="C22" s="32"/>
      <c r="D22" s="83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8" s="8" customFormat="1">
      <c r="A23" s="447" t="s">
        <v>449</v>
      </c>
      <c r="B23" s="73"/>
      <c r="C23" s="73"/>
      <c r="D23" s="73"/>
      <c r="E23" s="111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413"/>
      <c r="AB23" s="413"/>
    </row>
    <row r="24" spans="1:28" s="1323" customFormat="1">
      <c r="A24" s="1318">
        <f>IF(Assm!$L$66=1,Assm!$K$69,Assm!$K$61)</f>
        <v>0.29999999999999993</v>
      </c>
      <c r="B24" s="1319" t="s">
        <v>176</v>
      </c>
      <c r="C24" s="1319"/>
      <c r="D24" s="1320"/>
      <c r="E24" s="1321">
        <f t="shared" ref="E24:Z24" ca="1" si="4">E$10*$A24</f>
        <v>-3111.7009109999995</v>
      </c>
      <c r="F24" s="1321">
        <f t="shared" ca="1" si="4"/>
        <v>-8888.2990919999993</v>
      </c>
      <c r="G24" s="1321">
        <f t="shared" ca="1" si="4"/>
        <v>-5999.9999999999991</v>
      </c>
      <c r="H24" s="1321">
        <f t="shared" ca="1" si="4"/>
        <v>0</v>
      </c>
      <c r="I24" s="1321">
        <f t="shared" ca="1" si="4"/>
        <v>0</v>
      </c>
      <c r="J24" s="1321">
        <f t="shared" ca="1" si="4"/>
        <v>0</v>
      </c>
      <c r="K24" s="1321">
        <f t="shared" ca="1" si="4"/>
        <v>0</v>
      </c>
      <c r="L24" s="1321">
        <f t="shared" ca="1" si="4"/>
        <v>0</v>
      </c>
      <c r="M24" s="1321">
        <f t="shared" ca="1" si="4"/>
        <v>0</v>
      </c>
      <c r="N24" s="1321">
        <f t="shared" ca="1" si="4"/>
        <v>0</v>
      </c>
      <c r="O24" s="1321">
        <f t="shared" ca="1" si="4"/>
        <v>0</v>
      </c>
      <c r="P24" s="1321">
        <f t="shared" ca="1" si="4"/>
        <v>0</v>
      </c>
      <c r="Q24" s="1321">
        <f t="shared" ca="1" si="4"/>
        <v>0</v>
      </c>
      <c r="R24" s="1321">
        <f t="shared" ca="1" si="4"/>
        <v>0</v>
      </c>
      <c r="S24" s="1321">
        <f t="shared" ca="1" si="4"/>
        <v>0</v>
      </c>
      <c r="T24" s="1321">
        <f t="shared" ca="1" si="4"/>
        <v>0</v>
      </c>
      <c r="U24" s="1321">
        <f t="shared" ca="1" si="4"/>
        <v>0</v>
      </c>
      <c r="V24" s="1321">
        <f t="shared" ca="1" si="4"/>
        <v>0</v>
      </c>
      <c r="W24" s="1321">
        <f t="shared" ca="1" si="4"/>
        <v>0</v>
      </c>
      <c r="X24" s="1321">
        <f t="shared" ca="1" si="4"/>
        <v>0</v>
      </c>
      <c r="Y24" s="1321">
        <f t="shared" ca="1" si="4"/>
        <v>0</v>
      </c>
      <c r="Z24" s="1321">
        <f t="shared" ca="1" si="4"/>
        <v>0</v>
      </c>
      <c r="AA24" s="1322">
        <f t="shared" ref="AA24:AA38" ca="1" si="5">SUM(D24:Z24)</f>
        <v>-18000.000002999997</v>
      </c>
      <c r="AB24" s="1322">
        <f ca="1">$E24+NPV(Disc,$F24:Z24)</f>
        <v>-14817.84872505268</v>
      </c>
    </row>
    <row r="25" spans="1:28" s="1336" customFormat="1">
      <c r="A25" s="1343">
        <f>IF(Assm!L66=1,Assm!$L$69,Assm!$L$61)</f>
        <v>0.29999999999999993</v>
      </c>
      <c r="B25" s="1331" t="s">
        <v>655</v>
      </c>
      <c r="C25" s="1331"/>
      <c r="D25" s="1333"/>
      <c r="E25" s="1344">
        <f t="shared" ref="E25:Z25" ca="1" si="6">E$11*$A25</f>
        <v>0</v>
      </c>
      <c r="F25" s="1344">
        <f t="shared" ca="1" si="6"/>
        <v>0</v>
      </c>
      <c r="G25" s="1344">
        <f t="shared" ca="1" si="6"/>
        <v>0</v>
      </c>
      <c r="H25" s="1344">
        <f t="shared" ca="1" si="6"/>
        <v>0</v>
      </c>
      <c r="I25" s="1344">
        <f t="shared" ca="1" si="6"/>
        <v>2.7284841053187841E-13</v>
      </c>
      <c r="J25" s="1344">
        <f t="shared" ca="1" si="6"/>
        <v>-1.3642420526593921E-13</v>
      </c>
      <c r="K25" s="1344">
        <f t="shared" ca="1" si="6"/>
        <v>-2.7284841053187841E-13</v>
      </c>
      <c r="L25" s="1344">
        <f t="shared" ca="1" si="6"/>
        <v>-1.3642420526593921E-13</v>
      </c>
      <c r="M25" s="1344">
        <f t="shared" ca="1" si="6"/>
        <v>576.69402358778621</v>
      </c>
      <c r="N25" s="1344">
        <f t="shared" ca="1" si="6"/>
        <v>2143.8458774888827</v>
      </c>
      <c r="O25" s="1344">
        <f t="shared" ca="1" si="6"/>
        <v>2423.0018591380758</v>
      </c>
      <c r="P25" s="1344">
        <f t="shared" ca="1" si="6"/>
        <v>2872.2949248391183</v>
      </c>
      <c r="Q25" s="1344">
        <f t="shared" ca="1" si="6"/>
        <v>3169.689540993847</v>
      </c>
      <c r="R25" s="1344">
        <f t="shared" ca="1" si="6"/>
        <v>3535.510086237864</v>
      </c>
      <c r="S25" s="1344">
        <f t="shared" ca="1" si="6"/>
        <v>4112.6011810555847</v>
      </c>
      <c r="T25" s="1344">
        <f t="shared" ca="1" si="6"/>
        <v>3978.5128419101497</v>
      </c>
      <c r="U25" s="1344">
        <f t="shared" ca="1" si="6"/>
        <v>4715.4664737763487</v>
      </c>
      <c r="V25" s="1344">
        <f t="shared" ca="1" si="6"/>
        <v>5096.8680549122819</v>
      </c>
      <c r="W25" s="1344">
        <f t="shared" ca="1" si="6"/>
        <v>5364.1809784482057</v>
      </c>
      <c r="X25" s="1344">
        <f t="shared" ca="1" si="6"/>
        <v>5594.1184221068488</v>
      </c>
      <c r="Y25" s="1344">
        <f t="shared" ca="1" si="6"/>
        <v>5843.3275008623978</v>
      </c>
      <c r="Z25" s="1344">
        <f t="shared" ca="1" si="6"/>
        <v>19585.601445674416</v>
      </c>
      <c r="AA25" s="1335">
        <f t="shared" ca="1" si="5"/>
        <v>69011.713211031805</v>
      </c>
      <c r="AB25" s="1335">
        <f ca="1">$E25+NPV(Disc,$F25:Z25)</f>
        <v>4538.7627418479251</v>
      </c>
    </row>
    <row r="26" spans="1:28" s="1336" customFormat="1">
      <c r="A26" s="1330"/>
      <c r="B26" s="1331" t="s">
        <v>350</v>
      </c>
      <c r="C26" s="1345">
        <f>Wh_Div_NR</f>
        <v>0.125</v>
      </c>
      <c r="D26" s="1333"/>
      <c r="E26" s="1338">
        <f t="shared" ref="E26:X26" ca="1" si="7">-E25*$C26</f>
        <v>0</v>
      </c>
      <c r="F26" s="1338">
        <f t="shared" ca="1" si="7"/>
        <v>0</v>
      </c>
      <c r="G26" s="1338">
        <f t="shared" ca="1" si="7"/>
        <v>0</v>
      </c>
      <c r="H26" s="1338">
        <f t="shared" ca="1" si="7"/>
        <v>0</v>
      </c>
      <c r="I26" s="1338">
        <f t="shared" ca="1" si="7"/>
        <v>-3.4106051316484801E-14</v>
      </c>
      <c r="J26" s="1338">
        <f t="shared" ca="1" si="7"/>
        <v>1.7053025658242401E-14</v>
      </c>
      <c r="K26" s="1338">
        <f t="shared" ca="1" si="7"/>
        <v>3.4106051316484801E-14</v>
      </c>
      <c r="L26" s="1338">
        <f t="shared" ca="1" si="7"/>
        <v>1.7053025658242401E-14</v>
      </c>
      <c r="M26" s="1338">
        <f t="shared" ca="1" si="7"/>
        <v>-72.086752948473276</v>
      </c>
      <c r="N26" s="1338">
        <f t="shared" ca="1" si="7"/>
        <v>-267.98073468611034</v>
      </c>
      <c r="O26" s="1338">
        <f t="shared" ca="1" si="7"/>
        <v>-302.87523239225948</v>
      </c>
      <c r="P26" s="1338">
        <f t="shared" ca="1" si="7"/>
        <v>-359.03686560488978</v>
      </c>
      <c r="Q26" s="1338">
        <f t="shared" ca="1" si="7"/>
        <v>-396.21119262423088</v>
      </c>
      <c r="R26" s="1338">
        <f t="shared" ca="1" si="7"/>
        <v>-441.938760779733</v>
      </c>
      <c r="S26" s="1338">
        <f t="shared" ca="1" si="7"/>
        <v>-514.07514763194808</v>
      </c>
      <c r="T26" s="1338">
        <f t="shared" ca="1" si="7"/>
        <v>-497.31410523876872</v>
      </c>
      <c r="U26" s="1338">
        <f t="shared" ca="1" si="7"/>
        <v>-589.43330922204359</v>
      </c>
      <c r="V26" s="1338">
        <f t="shared" ca="1" si="7"/>
        <v>-637.10850686403523</v>
      </c>
      <c r="W26" s="1338">
        <f t="shared" ca="1" si="7"/>
        <v>-670.52262230602571</v>
      </c>
      <c r="X26" s="1338">
        <f t="shared" ca="1" si="7"/>
        <v>-699.2648027633561</v>
      </c>
      <c r="Y26" s="1338">
        <f ca="1">-Y25*$C26</f>
        <v>-730.41593760779972</v>
      </c>
      <c r="Z26" s="1338">
        <f ca="1">-Z25*$C26</f>
        <v>-2448.200180709302</v>
      </c>
      <c r="AA26" s="1335">
        <f t="shared" ca="1" si="5"/>
        <v>-8626.4641513789757</v>
      </c>
      <c r="AB26" s="1335">
        <f ca="1">$E26+NPV(Disc,$F26:Z26)</f>
        <v>-567.34534273099064</v>
      </c>
    </row>
    <row r="27" spans="1:28">
      <c r="A27" s="449"/>
      <c r="B27" s="8" t="s">
        <v>946</v>
      </c>
      <c r="C27" s="18"/>
      <c r="D27" s="16"/>
      <c r="E27" s="215">
        <f>E$13*$A25</f>
        <v>0</v>
      </c>
      <c r="F27" s="215">
        <f t="shared" ref="F27:Z27" si="8">F$13*$A25</f>
        <v>0</v>
      </c>
      <c r="G27" s="215">
        <f t="shared" si="8"/>
        <v>0</v>
      </c>
      <c r="H27" s="215">
        <f t="shared" si="8"/>
        <v>0</v>
      </c>
      <c r="I27" s="215">
        <f t="shared" si="8"/>
        <v>0</v>
      </c>
      <c r="J27" s="215">
        <f t="shared" si="8"/>
        <v>0</v>
      </c>
      <c r="K27" s="215">
        <f t="shared" si="8"/>
        <v>0</v>
      </c>
      <c r="L27" s="215">
        <f t="shared" si="8"/>
        <v>0</v>
      </c>
      <c r="M27" s="215">
        <f t="shared" si="8"/>
        <v>0</v>
      </c>
      <c r="N27" s="215">
        <f t="shared" si="8"/>
        <v>0</v>
      </c>
      <c r="O27" s="215">
        <f t="shared" si="8"/>
        <v>0</v>
      </c>
      <c r="P27" s="215">
        <f t="shared" si="8"/>
        <v>0</v>
      </c>
      <c r="Q27" s="215">
        <f t="shared" si="8"/>
        <v>0</v>
      </c>
      <c r="R27" s="215">
        <f t="shared" si="8"/>
        <v>0</v>
      </c>
      <c r="S27" s="215">
        <f t="shared" si="8"/>
        <v>0</v>
      </c>
      <c r="T27" s="215">
        <f t="shared" si="8"/>
        <v>0</v>
      </c>
      <c r="U27" s="215">
        <f t="shared" si="8"/>
        <v>0</v>
      </c>
      <c r="V27" s="215">
        <f t="shared" si="8"/>
        <v>0</v>
      </c>
      <c r="W27" s="215">
        <f t="shared" si="8"/>
        <v>0</v>
      </c>
      <c r="X27" s="215">
        <f t="shared" si="8"/>
        <v>0</v>
      </c>
      <c r="Y27" s="215">
        <f t="shared" si="8"/>
        <v>0</v>
      </c>
      <c r="Z27" s="215">
        <f t="shared" ca="1" si="8"/>
        <v>103759.12759405807</v>
      </c>
      <c r="AA27" s="420">
        <f ca="1">SUM(D27:Z27)</f>
        <v>103759.12759405807</v>
      </c>
      <c r="AB27" s="420">
        <f ca="1">$E27+NPV(Disc,$F27:Z27)</f>
        <v>2688.6862259167074</v>
      </c>
    </row>
    <row r="28" spans="1:28" s="1336" customFormat="1">
      <c r="A28" s="1330"/>
      <c r="B28" s="1331" t="s">
        <v>351</v>
      </c>
      <c r="C28" s="1332"/>
      <c r="D28" s="1333"/>
      <c r="E28" s="1334">
        <f t="shared" ref="E28:Z28" ca="1" si="9">E$12*$A25</f>
        <v>0</v>
      </c>
      <c r="F28" s="1334">
        <f t="shared" ca="1" si="9"/>
        <v>0</v>
      </c>
      <c r="G28" s="1334">
        <f t="shared" ca="1" si="9"/>
        <v>0</v>
      </c>
      <c r="H28" s="1334">
        <f t="shared" ca="1" si="9"/>
        <v>1808.4062245973123</v>
      </c>
      <c r="I28" s="1334">
        <f t="shared" ca="1" si="9"/>
        <v>1570.4557330237838</v>
      </c>
      <c r="J28" s="1334">
        <f t="shared" ca="1" si="9"/>
        <v>1163.9362168864898</v>
      </c>
      <c r="K28" s="1334">
        <f t="shared" ca="1" si="9"/>
        <v>1676.3709595261571</v>
      </c>
      <c r="L28" s="1334">
        <f t="shared" ca="1" si="9"/>
        <v>519.51647297293005</v>
      </c>
      <c r="M28" s="1334">
        <f t="shared" ca="1" si="9"/>
        <v>1043.0681311530248</v>
      </c>
      <c r="N28" s="1334">
        <f t="shared" ca="1" si="9"/>
        <v>-133.08328141603957</v>
      </c>
      <c r="O28" s="1334">
        <f t="shared" ca="1" si="9"/>
        <v>718.99293253607811</v>
      </c>
      <c r="P28" s="1334">
        <f t="shared" ca="1" si="9"/>
        <v>1638.5968034161997</v>
      </c>
      <c r="Q28" s="1334">
        <f t="shared" ca="1" si="9"/>
        <v>1747.8238446918733</v>
      </c>
      <c r="R28" s="1334">
        <f t="shared" ca="1" si="9"/>
        <v>1075.8731416788546</v>
      </c>
      <c r="S28" s="1334">
        <f t="shared" ca="1" si="9"/>
        <v>-632.28402499092829</v>
      </c>
      <c r="T28" s="1334">
        <f t="shared" ca="1" si="9"/>
        <v>-519.33046349539575</v>
      </c>
      <c r="U28" s="1334">
        <f t="shared" ca="1" si="9"/>
        <v>-564.88284019762636</v>
      </c>
      <c r="V28" s="1334">
        <f t="shared" ca="1" si="9"/>
        <v>130.76298820488879</v>
      </c>
      <c r="W28" s="1334">
        <f t="shared" ca="1" si="9"/>
        <v>1904.6876694920206</v>
      </c>
      <c r="X28" s="1334">
        <f t="shared" ca="1" si="9"/>
        <v>1916.7896402108975</v>
      </c>
      <c r="Y28" s="1334">
        <f t="shared" ca="1" si="9"/>
        <v>1929.9059075138193</v>
      </c>
      <c r="Z28" s="1334">
        <f t="shared" ca="1" si="9"/>
        <v>-16991.623255822964</v>
      </c>
      <c r="AA28" s="1335">
        <f ca="1">SUM(D28:Z28)</f>
        <v>3.9827999813751376</v>
      </c>
      <c r="AB28" s="1335">
        <f ca="1">$E28+NPV(Disc,$F28:Z28)</f>
        <v>3667.5533379085518</v>
      </c>
    </row>
    <row r="29" spans="1:28" s="1336" customFormat="1">
      <c r="A29" s="1330"/>
      <c r="B29" s="1331" t="s">
        <v>422</v>
      </c>
      <c r="C29" s="1337" t="s">
        <v>182</v>
      </c>
      <c r="D29" s="1333"/>
      <c r="E29" s="1334">
        <f ca="1">IF(E$7&lt;YEAR(Startops1),0,-HLOOKUP(E$7,CF_Table,CF!$AB$39)*$A25)</f>
        <v>0</v>
      </c>
      <c r="F29" s="1334">
        <f ca="1">IF(F$7&lt;YEAR(Startops1),0,-HLOOKUP(F$7,CF_Table,CF!$AB$39)*$A25)</f>
        <v>0</v>
      </c>
      <c r="G29" s="1334">
        <f ca="1">IF(G$7&lt;YEAR(Startops1),0,-HLOOKUP(G$7,CF_Table,CF!$AB$39)*$A25)</f>
        <v>0</v>
      </c>
      <c r="H29" s="1334">
        <f ca="1">IF(H$7&lt;YEAR(Startops1),0,-HLOOKUP(H$7,CF_Table,CF!$AB$39)*$A25)</f>
        <v>0</v>
      </c>
      <c r="I29" s="1334">
        <f ca="1">IF(I$7&lt;YEAR(Startops1),0,-HLOOKUP(I$7,CF_Table,CF!$AB$39)*$A25)</f>
        <v>-90.221171230796756</v>
      </c>
      <c r="J29" s="1334">
        <f ca="1">IF(J$7&lt;YEAR(Startops1),0,-HLOOKUP(J$7,CF_Table,CF!$AB$39)*$A25)</f>
        <v>-168.74395788198595</v>
      </c>
      <c r="K29" s="1334">
        <f ca="1">IF(K$7&lt;YEAR(Startops1),0,-HLOOKUP(K$7,CF_Table,CF!$AB$39)*$A25)</f>
        <v>-226.94076872631044</v>
      </c>
      <c r="L29" s="1334">
        <f ca="1">IF(L$7&lt;YEAR(Startops1),0,-HLOOKUP(L$7,CF_Table,CF!$AB$39)*$A25)</f>
        <v>-310.75931670261826</v>
      </c>
      <c r="M29" s="1334">
        <f ca="1">IF(M$7&lt;YEAR(Startops1),0,-HLOOKUP(M$7,CF_Table,CF!$AB$39)*$A25)</f>
        <v>-336.73514035126476</v>
      </c>
      <c r="N29" s="1334">
        <f ca="1">IF(N$7&lt;YEAR(Startops1),0,-HLOOKUP(N$7,CF_Table,CF!$AB$39)*$A25)</f>
        <v>-388.88854690891606</v>
      </c>
      <c r="O29" s="1334">
        <f ca="1">IF(O$7&lt;YEAR(Startops1),0,-HLOOKUP(O$7,CF_Table,CF!$AB$39)*$A25)</f>
        <v>-388.88854690891606</v>
      </c>
      <c r="P29" s="1334">
        <f ca="1">IF(P$7&lt;YEAR(Startops1),0,-HLOOKUP(P$7,CF_Table,CF!$AB$39)*$A25)</f>
        <v>-418.18402946491801</v>
      </c>
      <c r="Q29" s="1334">
        <f ca="1">IF(Q$7&lt;YEAR(Startops1),0,-HLOOKUP(Q$7,CF_Table,CF!$AB$39)*$A25)</f>
        <v>-500.11386963572795</v>
      </c>
      <c r="R29" s="1334">
        <f ca="1">IF(R$7&lt;YEAR(Startops1),0,-HLOOKUP(R$7,CF_Table,CF!$AB$39)*$A25)</f>
        <v>-587.5050618703217</v>
      </c>
      <c r="S29" s="1334">
        <f ca="1">IF(S$7&lt;YEAR(Startops1),0,-HLOOKUP(S$7,CF_Table,CF!$AB$39)*$A25)</f>
        <v>-641.29871895426436</v>
      </c>
      <c r="T29" s="1334">
        <f ca="1">IF(T$7&lt;YEAR(Startops1),0,-HLOOKUP(T$7,CF_Table,CF!$AB$39)*$A25)</f>
        <v>-641.29871895426436</v>
      </c>
      <c r="U29" s="1334">
        <f ca="1">IF(U$7&lt;YEAR(Startops1),0,-HLOOKUP(U$7,CF_Table,CF!$AB$39)*$A25)</f>
        <v>-609.68451770471802</v>
      </c>
      <c r="V29" s="1334">
        <f ca="1">IF(V$7&lt;YEAR(Startops1),0,-HLOOKUP(V$7,CF_Table,CF!$AB$39)*$A25)</f>
        <v>-583.71799452994821</v>
      </c>
      <c r="W29" s="1334">
        <f ca="1">IF(W$7&lt;YEAR(Startops1),0,-HLOOKUP(W$7,CF_Table,CF!$AB$39)*$A25)</f>
        <v>-562.01200193031138</v>
      </c>
      <c r="X29" s="1334">
        <f ca="1">IF(X$7&lt;YEAR(Startops1),0,-HLOOKUP(X$7,CF_Table,CF!$AB$39)*$A25)</f>
        <v>-657.2463854049123</v>
      </c>
      <c r="Y29" s="1334">
        <f ca="1">IF(Y$7&lt;YEAR(Startops1),0,-HLOOKUP(Y$7,CF_Table,CF!$AB$39)*$A25)</f>
        <v>-753.08586741545719</v>
      </c>
      <c r="Z29" s="1334">
        <f ca="1">IF(Z$7&lt;YEAR(Startops1),0,-HLOOKUP(Z$7,CF_Table,CF!$AB$39)*$A25)</f>
        <v>-283.19372093038271</v>
      </c>
      <c r="AA29" s="1335">
        <f ca="1">SUM(D29:Z29)</f>
        <v>-8148.5183355060335</v>
      </c>
      <c r="AB29" s="1335">
        <f ca="1">$E29+NPV(Disc,$F29:Z29)</f>
        <v>-956.41520631994581</v>
      </c>
    </row>
    <row r="30" spans="1:28" s="1336" customFormat="1">
      <c r="A30" s="1330"/>
      <c r="B30" s="1331" t="s">
        <v>421</v>
      </c>
      <c r="C30" s="1337" t="s">
        <v>182</v>
      </c>
      <c r="D30" s="1333"/>
      <c r="E30" s="1338">
        <f ca="1">-PLRisk!E32</f>
        <v>-20.744672739999995</v>
      </c>
      <c r="F30" s="1338">
        <f ca="1">-PLRisk!F32</f>
        <v>-90.372336390000001</v>
      </c>
      <c r="G30" s="1338">
        <f ca="1">-PLRisk!G32</f>
        <v>-160.00000003</v>
      </c>
      <c r="H30" s="1338">
        <f ca="1">-PLRisk!H32</f>
        <v>-178.16249104858287</v>
      </c>
      <c r="I30" s="1338">
        <f ca="1">-PLRisk!I32</f>
        <v>-170.90099248525109</v>
      </c>
      <c r="J30" s="1338">
        <f ca="1">-PLRisk!J32</f>
        <v>-159.68277678015039</v>
      </c>
      <c r="K30" s="1338">
        <f ca="1">-PLRisk!K32</f>
        <v>-155.36509858185593</v>
      </c>
      <c r="L30" s="1338">
        <f ca="1">-PLRisk!L32</f>
        <v>-163.17274725652751</v>
      </c>
      <c r="M30" s="1338">
        <f ca="1">-PLRisk!M32</f>
        <v>-176.60484877292501</v>
      </c>
      <c r="N30" s="1338">
        <f ca="1">-PLRisk!N32</f>
        <v>-182.59281783737578</v>
      </c>
      <c r="O30" s="1338">
        <f ca="1">-PLRisk!O32</f>
        <v>-183.81910724014156</v>
      </c>
      <c r="P30" s="1338">
        <f ca="1">-PLRisk!P32</f>
        <v>-185.25201806624966</v>
      </c>
      <c r="Q30" s="1338">
        <f ca="1">-PLRisk!Q32</f>
        <v>-186.86810122534209</v>
      </c>
      <c r="R30" s="1338">
        <f ca="1">-PLRisk!R32</f>
        <v>-188.66471696454727</v>
      </c>
      <c r="S30" s="1338">
        <f ca="1">-PLRisk!S32</f>
        <v>-190.72799985022255</v>
      </c>
      <c r="T30" s="1338">
        <f ca="1">-PLRisk!T32</f>
        <v>-192.84547824756919</v>
      </c>
      <c r="U30" s="1338">
        <f ca="1">-PLRisk!U32</f>
        <v>-195.19801259659778</v>
      </c>
      <c r="V30" s="1338">
        <f ca="1">-PLRisk!V32</f>
        <v>-197.81366217266813</v>
      </c>
      <c r="W30" s="1338">
        <f ca="1">-PLRisk!W32</f>
        <v>-200.5900183150907</v>
      </c>
      <c r="X30" s="1338">
        <f ca="1">-PLRisk!X32</f>
        <v>-203.49395126643492</v>
      </c>
      <c r="Y30" s="1338">
        <f ca="1">-PLRisk!Y32</f>
        <v>-206.5256659021949</v>
      </c>
      <c r="Z30" s="1338">
        <f ca="1">-PLRisk!Z32</f>
        <v>-149.10944205300063</v>
      </c>
      <c r="AA30" s="1335">
        <f t="shared" ca="1" si="5"/>
        <v>-3738.5069558227283</v>
      </c>
      <c r="AB30" s="1335">
        <f ca="1">$E30+NPV(Disc,$F30:Z30)</f>
        <v>-834.75392856803001</v>
      </c>
    </row>
    <row r="31" spans="1:28" s="1328" customFormat="1">
      <c r="A31" s="1324"/>
      <c r="B31" s="278" t="s">
        <v>181</v>
      </c>
      <c r="C31" s="1325" t="s">
        <v>182</v>
      </c>
      <c r="D31" s="1326"/>
      <c r="E31" s="1327">
        <f ca="1">IF(E$7&lt;YEAR(Startconst),0,HLOOKUP(DATE(E$7,12,31),Draw_Table,Drawdown!$AQ$57)*Turnkey!$D$18-SUM($D31:D31))</f>
        <v>1069.5889026797265</v>
      </c>
      <c r="F31" s="1327">
        <f ca="1">IF(F$7&lt;YEAR(Startconst),0,HLOOKUP(DATE(F$7,12,31),Draw_Table,Drawdown!$AQ$57)*Turnkey!$D$18-SUM($D31:E31))</f>
        <v>4521.5536376729906</v>
      </c>
      <c r="G31" s="1327">
        <f ca="1">IF(G$7&lt;YEAR(Startconst),0,HLOOKUP(DATE(G$7,12,31),Draw_Table,Drawdown!$AQ$57)*Turnkey!$D$18-SUM($D31:F31))</f>
        <v>639.51945964728293</v>
      </c>
      <c r="H31" s="1327">
        <f ca="1">IF(H$7&lt;YEAR(Startconst),0,HLOOKUP(DATE(H$7,12,31),Draw_Table,Drawdown!$AQ$57)*Turnkey!$D$18-SUM($D31:G31))</f>
        <v>0</v>
      </c>
      <c r="I31" s="1327">
        <f ca="1">IF(I$7&lt;YEAR(Startconst),0,HLOOKUP(DATE(I$7,12,31),Draw_Table,Drawdown!$AQ$57)*Turnkey!$D$18-SUM($D31:H31))</f>
        <v>0</v>
      </c>
      <c r="J31" s="1327">
        <f ca="1">IF(J$7&lt;YEAR(Startconst),0,HLOOKUP(DATE(J$7,12,31),Draw_Table,Drawdown!$AQ$57)*Turnkey!$D$18-SUM($D31:I31))</f>
        <v>0</v>
      </c>
      <c r="K31" s="1327">
        <f ca="1">IF(K$7&lt;YEAR(Startconst),0,HLOOKUP(DATE(K$7,12,31),Draw_Table,Drawdown!$AQ$57)*Turnkey!$D$18-SUM($D31:J31))</f>
        <v>0</v>
      </c>
      <c r="L31" s="1327">
        <f ca="1">IF(L$7&lt;YEAR(Startconst),0,HLOOKUP(DATE(L$7,12,31),Draw_Table,Drawdown!$AQ$57)*Turnkey!$D$18-SUM($D31:K31))</f>
        <v>0</v>
      </c>
      <c r="M31" s="1327">
        <f ca="1">IF(M$7&lt;YEAR(Startconst),0,HLOOKUP(DATE(M$7,12,31),Draw_Table,Drawdown!$AQ$57)*Turnkey!$D$18-SUM($D31:L31))</f>
        <v>0</v>
      </c>
      <c r="N31" s="1327">
        <f ca="1">IF(N$7&lt;YEAR(Startconst),0,HLOOKUP(DATE(N$7,12,31),Draw_Table,Drawdown!$AQ$57)*Turnkey!$D$18-SUM($D31:M31))</f>
        <v>0</v>
      </c>
      <c r="O31" s="1327">
        <f ca="1">IF(O$7&lt;YEAR(Startconst),0,HLOOKUP(DATE(O$7,12,31),Draw_Table,Drawdown!$AQ$57)*Turnkey!$D$18-SUM($D31:N31))</f>
        <v>0</v>
      </c>
      <c r="P31" s="1327">
        <f ca="1">IF(P$7&lt;YEAR(Startconst),0,HLOOKUP(DATE(P$7,12,31),Draw_Table,Drawdown!$AQ$57)*Turnkey!$D$18-SUM($D31:O31))</f>
        <v>0</v>
      </c>
      <c r="Q31" s="1327">
        <f ca="1">IF(Q$7&lt;YEAR(Startconst),0,HLOOKUP(DATE(Q$7,12,31),Draw_Table,Drawdown!$AQ$57)*Turnkey!$D$18-SUM($D31:P31))</f>
        <v>0</v>
      </c>
      <c r="R31" s="1327">
        <f ca="1">IF(R$7&lt;YEAR(Startconst),0,HLOOKUP(DATE(R$7,12,31),Draw_Table,Drawdown!$AQ$57)*Turnkey!$D$18-SUM($D31:Q31))</f>
        <v>0</v>
      </c>
      <c r="S31" s="1327">
        <f ca="1">IF(S$7&lt;YEAR(Startconst),0,HLOOKUP(DATE(S$7,12,31),Draw_Table,Drawdown!$AQ$57)*Turnkey!$D$18-SUM($D31:R31))</f>
        <v>0</v>
      </c>
      <c r="T31" s="1327">
        <f ca="1">IF(T$7&lt;YEAR(Startconst),0,HLOOKUP(DATE(T$7,12,31),Draw_Table,Drawdown!$AQ$57)*Turnkey!$D$18-SUM($D31:S31))</f>
        <v>0</v>
      </c>
      <c r="U31" s="1327">
        <f ca="1">IF(U$7&lt;YEAR(Startconst),0,HLOOKUP(DATE(U$7,12,31),Draw_Table,Drawdown!$AQ$57)*Turnkey!$D$18-SUM($D31:T31))</f>
        <v>0</v>
      </c>
      <c r="V31" s="1327">
        <f ca="1">IF(V$7&lt;YEAR(Startconst),0,HLOOKUP(DATE(V$7,12,31),Draw_Table,Drawdown!$AQ$57)*Turnkey!$D$18-SUM($D31:U31))</f>
        <v>0</v>
      </c>
      <c r="W31" s="1327">
        <f ca="1">IF(W$7&lt;YEAR(Startconst),0,HLOOKUP(DATE(W$7,12,31),Draw_Table,Drawdown!$AQ$57)*Turnkey!$D$18-SUM($D31:V31))</f>
        <v>0</v>
      </c>
      <c r="X31" s="1327">
        <f ca="1">IF(X$7&lt;YEAR(Startconst),0,HLOOKUP(DATE(X$7,12,31),Draw_Table,Drawdown!$AQ$57)*Turnkey!$D$18-SUM($D31:W31))</f>
        <v>0</v>
      </c>
      <c r="Y31" s="1327">
        <f ca="1">IF(Y$7&lt;YEAR(Startconst),0,HLOOKUP(DATE(Y$7,12,31),Draw_Table,Drawdown!$AQ$57)*Turnkey!$D$18-SUM($D31:X31))</f>
        <v>0</v>
      </c>
      <c r="Z31" s="1327">
        <f ca="1">IF(Z$7&lt;YEAR(Startconst),0,HLOOKUP(DATE(Z$7,12,31),Draw_Table,Drawdown!$AQ$57)*Turnkey!$D$18-SUM($D31:Y31))</f>
        <v>0</v>
      </c>
      <c r="AA31" s="503">
        <f t="shared" ca="1" si="5"/>
        <v>6230.6620000000003</v>
      </c>
      <c r="AB31" s="503">
        <f ca="1">$E31+NPV(Disc,$F31:Z31)</f>
        <v>5320.8199516721297</v>
      </c>
    </row>
    <row r="32" spans="1:28" s="1328" customFormat="1">
      <c r="A32" s="1324"/>
      <c r="B32" s="278" t="s">
        <v>285</v>
      </c>
      <c r="C32" s="1325" t="s">
        <v>182</v>
      </c>
      <c r="D32" s="1326"/>
      <c r="E32" s="1327">
        <f t="shared" ref="E32:X32" ca="1" si="10">-E31*Wh_Serv</f>
        <v>-133.69861283496581</v>
      </c>
      <c r="F32" s="1327">
        <f t="shared" ca="1" si="10"/>
        <v>-565.19420470912382</v>
      </c>
      <c r="G32" s="1327">
        <f t="shared" ca="1" si="10"/>
        <v>-79.939932455910366</v>
      </c>
      <c r="H32" s="1327">
        <f t="shared" ca="1" si="10"/>
        <v>0</v>
      </c>
      <c r="I32" s="1327">
        <f t="shared" ca="1" si="10"/>
        <v>0</v>
      </c>
      <c r="J32" s="1327">
        <f t="shared" ca="1" si="10"/>
        <v>0</v>
      </c>
      <c r="K32" s="1327">
        <f t="shared" ca="1" si="10"/>
        <v>0</v>
      </c>
      <c r="L32" s="1327">
        <f t="shared" ca="1" si="10"/>
        <v>0</v>
      </c>
      <c r="M32" s="1327">
        <f t="shared" ca="1" si="10"/>
        <v>0</v>
      </c>
      <c r="N32" s="1327">
        <f t="shared" ca="1" si="10"/>
        <v>0</v>
      </c>
      <c r="O32" s="1327">
        <f t="shared" ca="1" si="10"/>
        <v>0</v>
      </c>
      <c r="P32" s="1327">
        <f t="shared" ca="1" si="10"/>
        <v>0</v>
      </c>
      <c r="Q32" s="1327">
        <f t="shared" ca="1" si="10"/>
        <v>0</v>
      </c>
      <c r="R32" s="1327">
        <f t="shared" ca="1" si="10"/>
        <v>0</v>
      </c>
      <c r="S32" s="1327">
        <f t="shared" ca="1" si="10"/>
        <v>0</v>
      </c>
      <c r="T32" s="1327">
        <f t="shared" ca="1" si="10"/>
        <v>0</v>
      </c>
      <c r="U32" s="1327">
        <f t="shared" ca="1" si="10"/>
        <v>0</v>
      </c>
      <c r="V32" s="1327">
        <f t="shared" ca="1" si="10"/>
        <v>0</v>
      </c>
      <c r="W32" s="1327">
        <f t="shared" ca="1" si="10"/>
        <v>0</v>
      </c>
      <c r="X32" s="1327">
        <f t="shared" ca="1" si="10"/>
        <v>0</v>
      </c>
      <c r="Y32" s="1327">
        <f ca="1">-Y31*Wh_Serv</f>
        <v>0</v>
      </c>
      <c r="Z32" s="1327">
        <f ca="1">-Z31*Wh_Serv</f>
        <v>0</v>
      </c>
      <c r="AA32" s="503">
        <f t="shared" ca="1" si="5"/>
        <v>-778.83275000000003</v>
      </c>
      <c r="AB32" s="503">
        <f ca="1">$E32+NPV(Disc,$F32:Z32)</f>
        <v>-665.10249395901621</v>
      </c>
    </row>
    <row r="33" spans="1:28" s="1328" customFormat="1">
      <c r="A33" s="1324"/>
      <c r="B33" s="278" t="s">
        <v>999</v>
      </c>
      <c r="C33" s="1325" t="s">
        <v>182</v>
      </c>
      <c r="D33" s="1326"/>
      <c r="E33" s="1327">
        <f ca="1">-EINC!E30+IF(E$7=YEAR(Startops1),-Assm!$R80,0)</f>
        <v>0</v>
      </c>
      <c r="F33" s="1327">
        <f ca="1">-EINC!F30+IF(F$7=YEAR(Startops1),-Assm!$R80,0)</f>
        <v>0</v>
      </c>
      <c r="G33" s="1327">
        <f ca="1">-EINC!G30+IF(G$7=YEAR(Startops1),-Assm!$R80,0)</f>
        <v>0</v>
      </c>
      <c r="H33" s="1327">
        <f ca="1">-EINC!H30+IF(H$7=YEAR(Startops1),-Assm!$R80,0)</f>
        <v>-160.44455915539265</v>
      </c>
      <c r="I33" s="1327">
        <f ca="1">-EINC!I30+IF(I$7=YEAR(Startops1),-Assm!$R80,0)</f>
        <v>9.2564168743495756</v>
      </c>
      <c r="J33" s="1327">
        <f ca="1">-EINC!J30+IF(J$7=YEAR(Startops1),-Assm!$R80,0)</f>
        <v>9.2564168743495756</v>
      </c>
      <c r="K33" s="1327">
        <f ca="1">-EINC!K30+IF(K$7=YEAR(Startops1),-Assm!$R80,0)</f>
        <v>9.2564168743495756</v>
      </c>
      <c r="L33" s="1327">
        <f ca="1">-EINC!L30+IF(L$7=YEAR(Startops1),-Assm!$R80,0)</f>
        <v>9.2564168743495756</v>
      </c>
      <c r="M33" s="1327">
        <f ca="1">-EINC!M30+IF(M$7=YEAR(Startops1),-Assm!$R80,0)</f>
        <v>9.2564168743495756</v>
      </c>
      <c r="N33" s="1327">
        <f ca="1">-EINC!N30+IF(N$7=YEAR(Startops1),-Assm!$R80,0)</f>
        <v>9.2564168743495756</v>
      </c>
      <c r="O33" s="1327">
        <f ca="1">-EINC!O30+IF(O$7=YEAR(Startops1),-Assm!$R80,0)</f>
        <v>9.2564168743495756</v>
      </c>
      <c r="P33" s="1327">
        <f ca="1">-EINC!P30+IF(P$7=YEAR(Startops1),-Assm!$R80,0)</f>
        <v>9.2564168743495756</v>
      </c>
      <c r="Q33" s="1327">
        <f ca="1">-EINC!Q30+IF(Q$7=YEAR(Startops1),-Assm!$R80,0)</f>
        <v>9.2564168743495756</v>
      </c>
      <c r="R33" s="1327">
        <f ca="1">-EINC!R30+IF(R$7=YEAR(Startops1),-Assm!$R80,0)</f>
        <v>9.2564168743495756</v>
      </c>
      <c r="S33" s="1327">
        <f ca="1">-EINC!S30+IF(S$7=YEAR(Startops1),-Assm!$R80,0)</f>
        <v>9.2564168743495756</v>
      </c>
      <c r="T33" s="1327">
        <f ca="1">-EINC!T30+IF(T$7=YEAR(Startops1),-Assm!$R80,0)</f>
        <v>9.2564168743495756</v>
      </c>
      <c r="U33" s="1327">
        <f ca="1">-EINC!U30+IF(U$7=YEAR(Startops1),-Assm!$R80,0)</f>
        <v>9.2564168743495756</v>
      </c>
      <c r="V33" s="1327">
        <f ca="1">-EINC!V30+IF(V$7=YEAR(Startops1),-Assm!$R80,0)</f>
        <v>9.2564168743495756</v>
      </c>
      <c r="W33" s="1327">
        <f ca="1">-EINC!W30+IF(W$7=YEAR(Startops1),-Assm!$R80,0)</f>
        <v>9.2564168743495756</v>
      </c>
      <c r="X33" s="1327">
        <f ca="1">-EINC!X30+IF(X$7=YEAR(Startops1),-Assm!$R80,0)</f>
        <v>9.2564168743495756</v>
      </c>
      <c r="Y33" s="1327">
        <f ca="1">-EINC!Y30+IF(Y$7=YEAR(Startops1),-Assm!$R80,0)</f>
        <v>9.2564168743495756</v>
      </c>
      <c r="Z33" s="1327">
        <f ca="1">-EINC!Z30+IF(Z$7=YEAR(Startops1),-Assm!$R80,0)</f>
        <v>3.0854722914498587</v>
      </c>
      <c r="AA33" s="503">
        <f ca="1">SUM(D33:Z33)</f>
        <v>6.1728400169158704E-14</v>
      </c>
      <c r="AB33" s="503">
        <f ca="1">$E33+NPV(Disc,$F33:Z33)</f>
        <v>-67.722640901889875</v>
      </c>
    </row>
    <row r="34" spans="1:28" s="1328" customFormat="1">
      <c r="A34" s="1324"/>
      <c r="B34" s="278" t="s">
        <v>1000</v>
      </c>
      <c r="C34" s="1325" t="s">
        <v>182</v>
      </c>
      <c r="D34" s="1326"/>
      <c r="E34" s="1327">
        <f ca="1">-EINC!E31+IF(E$7=YEAR(Startops1),-Assm!$R81,0)</f>
        <v>0</v>
      </c>
      <c r="F34" s="1327">
        <f ca="1">-EINC!F31+IF(F$7=YEAR(Startops1),-Assm!$R81,0)</f>
        <v>0</v>
      </c>
      <c r="G34" s="1327">
        <f ca="1">-EINC!G31+IF(G$7=YEAR(Startops1),-Assm!$R81,0)</f>
        <v>0</v>
      </c>
      <c r="H34" s="1327">
        <f ca="1">-EINC!H31+IF(H$7=YEAR(Startops1),-Assm!$R81,0)</f>
        <v>-646.89908256880733</v>
      </c>
      <c r="I34" s="1327">
        <f ca="1">-EINC!I31+IF(I$7=YEAR(Startops1),-Assm!$R81,0)</f>
        <v>37.321100917431188</v>
      </c>
      <c r="J34" s="1327">
        <f ca="1">-EINC!J31+IF(J$7=YEAR(Startops1),-Assm!$R81,0)</f>
        <v>37.321100917431188</v>
      </c>
      <c r="K34" s="1327">
        <f ca="1">-EINC!K31+IF(K$7=YEAR(Startops1),-Assm!$R81,0)</f>
        <v>37.321100917431188</v>
      </c>
      <c r="L34" s="1327">
        <f ca="1">-EINC!L31+IF(L$7=YEAR(Startops1),-Assm!$R81,0)</f>
        <v>37.321100917431188</v>
      </c>
      <c r="M34" s="1327">
        <f ca="1">-EINC!M31+IF(M$7=YEAR(Startops1),-Assm!$R81,0)</f>
        <v>37.321100917431188</v>
      </c>
      <c r="N34" s="1327">
        <f ca="1">-EINC!N31+IF(N$7=YEAR(Startops1),-Assm!$R81,0)</f>
        <v>37.321100917431188</v>
      </c>
      <c r="O34" s="1327">
        <f ca="1">-EINC!O31+IF(O$7=YEAR(Startops1),-Assm!$R81,0)</f>
        <v>37.321100917431188</v>
      </c>
      <c r="P34" s="1327">
        <f ca="1">-EINC!P31+IF(P$7=YEAR(Startops1),-Assm!$R81,0)</f>
        <v>37.321100917431188</v>
      </c>
      <c r="Q34" s="1327">
        <f ca="1">-EINC!Q31+IF(Q$7=YEAR(Startops1),-Assm!$R81,0)</f>
        <v>37.321100917431188</v>
      </c>
      <c r="R34" s="1327">
        <f ca="1">-EINC!R31+IF(R$7=YEAR(Startops1),-Assm!$R81,0)</f>
        <v>37.321100917431188</v>
      </c>
      <c r="S34" s="1327">
        <f ca="1">-EINC!S31+IF(S$7=YEAR(Startops1),-Assm!$R81,0)</f>
        <v>37.321100917431188</v>
      </c>
      <c r="T34" s="1327">
        <f ca="1">-EINC!T31+IF(T$7=YEAR(Startops1),-Assm!$R81,0)</f>
        <v>37.321100917431188</v>
      </c>
      <c r="U34" s="1327">
        <f ca="1">-EINC!U31+IF(U$7=YEAR(Startops1),-Assm!$R81,0)</f>
        <v>37.321100917431188</v>
      </c>
      <c r="V34" s="1327">
        <f ca="1">-EINC!V31+IF(V$7=YEAR(Startops1),-Assm!$R81,0)</f>
        <v>37.321100917431188</v>
      </c>
      <c r="W34" s="1327">
        <f ca="1">-EINC!W31+IF(W$7=YEAR(Startops1),-Assm!$R81,0)</f>
        <v>37.321100917431188</v>
      </c>
      <c r="X34" s="1327">
        <f ca="1">-EINC!X31+IF(X$7=YEAR(Startops1),-Assm!$R81,0)</f>
        <v>37.321100917431188</v>
      </c>
      <c r="Y34" s="1327">
        <f ca="1">-EINC!Y31+IF(Y$7=YEAR(Startops1),-Assm!$R81,0)</f>
        <v>37.321100917431188</v>
      </c>
      <c r="Z34" s="1327">
        <f ca="1">-EINC!Z31+IF(Z$7=YEAR(Startops1),-Assm!$R81,0)</f>
        <v>12.440366972477063</v>
      </c>
      <c r="AA34" s="503">
        <f ca="1">SUM(D34:Z34)</f>
        <v>-1.723066134218243E-13</v>
      </c>
      <c r="AB34" s="503">
        <f ca="1">$E34+NPV(Disc,$F34:Z34)</f>
        <v>-273.05204052534481</v>
      </c>
    </row>
    <row r="35" spans="1:28" s="1328" customFormat="1">
      <c r="A35" s="1329">
        <f>Assm!$I$75</f>
        <v>0.3</v>
      </c>
      <c r="B35" s="278" t="s">
        <v>183</v>
      </c>
      <c r="C35" s="1325" t="s">
        <v>182</v>
      </c>
      <c r="D35" s="1326"/>
      <c r="E35" s="1327">
        <f>IF(E$7=YEAR(Startops1),Assm!$O$35*$A35,0)</f>
        <v>0</v>
      </c>
      <c r="F35" s="1327">
        <f>IF(F$7=YEAR(Startops1),Assm!$O$35*$A35,0)</f>
        <v>0</v>
      </c>
      <c r="G35" s="1327">
        <f>IF(G$7=YEAR(Startops1),Assm!$O$35*$A35,0)</f>
        <v>0</v>
      </c>
      <c r="H35" s="1327">
        <f>IF(H$7=YEAR(Startops1),Assm!$O$35*$A35,0)</f>
        <v>0</v>
      </c>
      <c r="I35" s="1327">
        <f>IF(I$7=YEAR(Startops1),Assm!$O$35*$A35,0)</f>
        <v>0</v>
      </c>
      <c r="J35" s="1327">
        <f>IF(J$7=YEAR(Startops1),Assm!$O$35*$A35,0)</f>
        <v>0</v>
      </c>
      <c r="K35" s="1327">
        <f>IF(K$7=YEAR(Startops1),Assm!$O$35*$A35,0)</f>
        <v>0</v>
      </c>
      <c r="L35" s="1327">
        <f>IF(L$7=YEAR(Startops1),Assm!$O$35*$A35,0)</f>
        <v>0</v>
      </c>
      <c r="M35" s="1327">
        <f>IF(M$7=YEAR(Startops1),Assm!$O$35*$A35,0)</f>
        <v>0</v>
      </c>
      <c r="N35" s="1327">
        <f>IF(N$7=YEAR(Startops1),Assm!$O$35*$A35,0)</f>
        <v>0</v>
      </c>
      <c r="O35" s="1327">
        <f>IF(O$7=YEAR(Startops1),Assm!$O$35*$A35,0)</f>
        <v>0</v>
      </c>
      <c r="P35" s="1327">
        <f>IF(P$7=YEAR(Startops1),Assm!$O$35*$A35,0)</f>
        <v>0</v>
      </c>
      <c r="Q35" s="1327">
        <f>IF(Q$7=YEAR(Startops1),Assm!$O$35*$A35,0)</f>
        <v>0</v>
      </c>
      <c r="R35" s="1327">
        <f>IF(R$7=YEAR(Startops1),Assm!$O$35*$A35,0)</f>
        <v>0</v>
      </c>
      <c r="S35" s="1327">
        <f>IF(S$7=YEAR(Startops1),Assm!$O$35*$A35,0)</f>
        <v>0</v>
      </c>
      <c r="T35" s="1327">
        <f>IF(T$7=YEAR(Startops1),Assm!$O$35*$A35,0)</f>
        <v>0</v>
      </c>
      <c r="U35" s="1327">
        <f>IF(U$7=YEAR(Startops1),Assm!$O$35*$A35,0)</f>
        <v>0</v>
      </c>
      <c r="V35" s="1327">
        <f>IF(V$7=YEAR(Startops1),Assm!$O$35*$A35,0)</f>
        <v>0</v>
      </c>
      <c r="W35" s="1327">
        <f>IF(W$7=YEAR(Startops1),Assm!$O$35*$A35,0)</f>
        <v>0</v>
      </c>
      <c r="X35" s="1327">
        <f>IF(X$7=YEAR(Startops1),Assm!$O$35*$A35,0)</f>
        <v>0</v>
      </c>
      <c r="Y35" s="1327">
        <f>IF(Y$7=YEAR(Startops1),Assm!$O$35*$A35,0)</f>
        <v>0</v>
      </c>
      <c r="Z35" s="1327">
        <f>IF(Z$7=YEAR(Startops1),Assm!$O$35*$A35,0)</f>
        <v>0</v>
      </c>
      <c r="AA35" s="503">
        <f t="shared" si="5"/>
        <v>0</v>
      </c>
      <c r="AB35" s="503">
        <f ca="1">$E35+NPV(Disc,$F35:Z35)</f>
        <v>0</v>
      </c>
    </row>
    <row r="36" spans="1:28" s="1328" customFormat="1">
      <c r="A36" s="1329">
        <f>Assm!$I$76</f>
        <v>0</v>
      </c>
      <c r="B36" s="278" t="s">
        <v>587</v>
      </c>
      <c r="C36" s="1325" t="s">
        <v>182</v>
      </c>
      <c r="D36" s="278"/>
      <c r="E36" s="1327">
        <f ca="1">IF(E$7&lt;YEAR(Startops1),0,HLOOKUP(E$7,CF_Table,CF!$AB$28)*$A36)</f>
        <v>0</v>
      </c>
      <c r="F36" s="1327">
        <f ca="1">IF(F$7&lt;YEAR(Startops1),0,HLOOKUP(F$7,CF_Table,CF!$AB$28)*$A36)</f>
        <v>0</v>
      </c>
      <c r="G36" s="1327">
        <f ca="1">IF(G$7&lt;YEAR(Startops1),0,HLOOKUP(G$7,CF_Table,CF!$AB$28)*$A36)</f>
        <v>0</v>
      </c>
      <c r="H36" s="1327">
        <f ca="1">IF(H$7&lt;YEAR(Startops1),0,HLOOKUP(H$7,CF_Table,CF!$AB$28)*$A36)</f>
        <v>0</v>
      </c>
      <c r="I36" s="1327">
        <f ca="1">IF(I$7&lt;YEAR(Startops1),0,HLOOKUP(I$7,CF_Table,CF!$AB$28)*$A36)</f>
        <v>0</v>
      </c>
      <c r="J36" s="1327">
        <f ca="1">IF(J$7&lt;YEAR(Startops1),0,HLOOKUP(J$7,CF_Table,CF!$AB$28)*$A36)</f>
        <v>0</v>
      </c>
      <c r="K36" s="1327">
        <f ca="1">IF(K$7&lt;YEAR(Startops1),0,HLOOKUP(K$7,CF_Table,CF!$AB$28)*$A36)</f>
        <v>0</v>
      </c>
      <c r="L36" s="1327">
        <f ca="1">IF(L$7&lt;YEAR(Startops1),0,HLOOKUP(L$7,CF_Table,CF!$AB$28)*$A36)</f>
        <v>0</v>
      </c>
      <c r="M36" s="1327">
        <f ca="1">IF(M$7&lt;YEAR(Startops1),0,HLOOKUP(M$7,CF_Table,CF!$AB$28)*$A36)</f>
        <v>0</v>
      </c>
      <c r="N36" s="1327">
        <f ca="1">IF(N$7&lt;YEAR(Startops1),0,HLOOKUP(N$7,CF_Table,CF!$AB$28)*$A36)</f>
        <v>0</v>
      </c>
      <c r="O36" s="1327">
        <f ca="1">IF(O$7&lt;YEAR(Startops1),0,HLOOKUP(O$7,CF_Table,CF!$AB$28)*$A36)</f>
        <v>0</v>
      </c>
      <c r="P36" s="1327">
        <f ca="1">IF(P$7&lt;YEAR(Startops1),0,HLOOKUP(P$7,CF_Table,CF!$AB$28)*$A36)</f>
        <v>0</v>
      </c>
      <c r="Q36" s="1327">
        <f ca="1">IF(Q$7&lt;YEAR(Startops1),0,HLOOKUP(Q$7,CF_Table,CF!$AB$28)*$A36)</f>
        <v>0</v>
      </c>
      <c r="R36" s="1327">
        <f ca="1">IF(R$7&lt;YEAR(Startops1),0,HLOOKUP(R$7,CF_Table,CF!$AB$28)*$A36)</f>
        <v>0</v>
      </c>
      <c r="S36" s="1327">
        <f ca="1">IF(S$7&lt;YEAR(Startops1),0,HLOOKUP(S$7,CF_Table,CF!$AB$28)*$A36)</f>
        <v>0</v>
      </c>
      <c r="T36" s="1327">
        <f ca="1">IF(T$7&lt;YEAR(Startops1),0,HLOOKUP(T$7,CF_Table,CF!$AB$28)*$A36)</f>
        <v>0</v>
      </c>
      <c r="U36" s="1327">
        <f ca="1">IF(U$7&lt;YEAR(Startops1),0,HLOOKUP(U$7,CF_Table,CF!$AB$28)*$A36)</f>
        <v>0</v>
      </c>
      <c r="V36" s="1327">
        <f ca="1">IF(V$7&lt;YEAR(Startops1),0,HLOOKUP(V$7,CF_Table,CF!$AB$28)*$A36)</f>
        <v>0</v>
      </c>
      <c r="W36" s="1327">
        <f ca="1">IF(W$7&lt;YEAR(Startops1),0,HLOOKUP(W$7,CF_Table,CF!$AB$28)*$A36)</f>
        <v>0</v>
      </c>
      <c r="X36" s="1327">
        <f ca="1">IF(X$7&lt;YEAR(Startops1),0,HLOOKUP(X$7,CF_Table,CF!$AB$28)*$A36)</f>
        <v>0</v>
      </c>
      <c r="Y36" s="1327">
        <f ca="1">IF(Y$7&lt;YEAR(Startops1),0,HLOOKUP(Y$7,CF_Table,CF!$AB$28)*$A36)</f>
        <v>0</v>
      </c>
      <c r="Z36" s="1327">
        <f ca="1">IF(Z$7&lt;YEAR(Startops1),0,HLOOKUP(Z$7,CF_Table,CF!$AB$28)*$A36)</f>
        <v>0</v>
      </c>
      <c r="AA36" s="503">
        <f ca="1">SUM(D36:Z36)</f>
        <v>0</v>
      </c>
      <c r="AB36" s="503">
        <f ca="1">$E36+NPV(Disc,$F36:Z36)</f>
        <v>0</v>
      </c>
    </row>
    <row r="37" spans="1:28" s="1342" customFormat="1">
      <c r="A37" s="1339"/>
      <c r="B37" s="1331" t="s">
        <v>453</v>
      </c>
      <c r="C37" s="1332"/>
      <c r="D37" s="1333"/>
      <c r="E37" s="1340">
        <f t="shared" ref="E37:Z37" ca="1" si="11">-SUM(E29:E36)*USTax</f>
        <v>-338.60387832876148</v>
      </c>
      <c r="F37" s="1340">
        <f t="shared" ca="1" si="11"/>
        <v>-1430.4152257323308</v>
      </c>
      <c r="G37" s="1340">
        <f t="shared" ca="1" si="11"/>
        <v>-147.84442504970784</v>
      </c>
      <c r="H37" s="1340">
        <f t="shared" ca="1" si="11"/>
        <v>364.63726912592966</v>
      </c>
      <c r="I37" s="1340">
        <f t="shared" ca="1" si="11"/>
        <v>79.381518991978822</v>
      </c>
      <c r="J37" s="1340">
        <f t="shared" ca="1" si="11"/>
        <v>104.28421024203158</v>
      </c>
      <c r="K37" s="1340">
        <f t="shared" ca="1" si="11"/>
        <v>124.2194893210627</v>
      </c>
      <c r="L37" s="1340">
        <f t="shared" ca="1" si="11"/>
        <v>158.12118208192507</v>
      </c>
      <c r="M37" s="1340">
        <f t="shared" ca="1" si="11"/>
        <v>172.70211439299132</v>
      </c>
      <c r="N37" s="1340">
        <f t="shared" ca="1" si="11"/>
        <v>194.21442337316907</v>
      </c>
      <c r="O37" s="1340">
        <f t="shared" ca="1" si="11"/>
        <v>194.66815045219241</v>
      </c>
      <c r="P37" s="1340">
        <f t="shared" ca="1" si="11"/>
        <v>206.03765600357315</v>
      </c>
      <c r="Q37" s="1340">
        <f t="shared" ca="1" si="11"/>
        <v>236.94964763563704</v>
      </c>
      <c r="R37" s="1340">
        <f t="shared" ca="1" si="11"/>
        <v>269.94913658594265</v>
      </c>
      <c r="S37" s="1340">
        <f t="shared" ca="1" si="11"/>
        <v>290.61620437470128</v>
      </c>
      <c r="T37" s="1340">
        <f t="shared" ca="1" si="11"/>
        <v>291.39967138171954</v>
      </c>
      <c r="U37" s="1340">
        <f t="shared" ca="1" si="11"/>
        <v>280.57285462852792</v>
      </c>
      <c r="V37" s="1340">
        <f t="shared" ca="1" si="11"/>
        <v>271.93303139700919</v>
      </c>
      <c r="W37" s="1340">
        <f t="shared" ca="1" si="11"/>
        <v>264.92906590783986</v>
      </c>
      <c r="X37" s="1340">
        <f t="shared" ca="1" si="11"/>
        <v>301.24024298543958</v>
      </c>
      <c r="Y37" s="1340">
        <f t="shared" ca="1" si="11"/>
        <v>337.82258574457239</v>
      </c>
      <c r="Z37" s="1340">
        <f t="shared" ca="1" si="11"/>
        <v>154.20760977619886</v>
      </c>
      <c r="AA37" s="1341">
        <f t="shared" ca="1" si="5"/>
        <v>2381.0225352916418</v>
      </c>
      <c r="AB37" s="1341">
        <f ca="1">$E37+NPV(Disc,$F37:Z37)</f>
        <v>-933.79624731722424</v>
      </c>
    </row>
    <row r="38" spans="1:28" s="77" customFormat="1">
      <c r="A38" s="454"/>
      <c r="B38" s="8" t="s">
        <v>177</v>
      </c>
      <c r="C38" s="8"/>
      <c r="D38" s="16"/>
      <c r="E38" s="53">
        <f t="shared" ref="E38:Z38" ca="1" si="12">SUM(E24:E37)</f>
        <v>-2535.1591722240005</v>
      </c>
      <c r="F38" s="53">
        <f t="shared" ca="1" si="12"/>
        <v>-6452.7272211584641</v>
      </c>
      <c r="G38" s="53">
        <f t="shared" ca="1" si="12"/>
        <v>-5748.2648978883344</v>
      </c>
      <c r="H38" s="53">
        <f t="shared" ca="1" si="12"/>
        <v>1187.5373609504591</v>
      </c>
      <c r="I38" s="53">
        <f t="shared" ca="1" si="12"/>
        <v>1435.2926060914956</v>
      </c>
      <c r="J38" s="53">
        <f t="shared" ca="1" si="12"/>
        <v>986.37121025816555</v>
      </c>
      <c r="K38" s="53">
        <f t="shared" ca="1" si="12"/>
        <v>1464.8620993308341</v>
      </c>
      <c r="L38" s="53">
        <f t="shared" ca="1" si="12"/>
        <v>250.28310888748999</v>
      </c>
      <c r="M38" s="53">
        <f t="shared" ca="1" si="12"/>
        <v>1253.6150448529199</v>
      </c>
      <c r="N38" s="53">
        <f t="shared" ca="1" si="12"/>
        <v>1412.0924378053905</v>
      </c>
      <c r="O38" s="53">
        <f t="shared" ca="1" si="12"/>
        <v>2507.6575733768104</v>
      </c>
      <c r="P38" s="53">
        <f t="shared" ca="1" si="12"/>
        <v>3801.0339889146144</v>
      </c>
      <c r="Q38" s="53">
        <f t="shared" ca="1" si="12"/>
        <v>4117.8473876278376</v>
      </c>
      <c r="R38" s="53">
        <f t="shared" ca="1" si="12"/>
        <v>3709.8013426798402</v>
      </c>
      <c r="S38" s="53">
        <f t="shared" ca="1" si="12"/>
        <v>2471.4090117947035</v>
      </c>
      <c r="T38" s="53">
        <f t="shared" ca="1" si="12"/>
        <v>2465.7012651476521</v>
      </c>
      <c r="U38" s="53">
        <f t="shared" ca="1" si="12"/>
        <v>3083.4181664756716</v>
      </c>
      <c r="V38" s="53">
        <f t="shared" ca="1" si="12"/>
        <v>4127.5014287393096</v>
      </c>
      <c r="W38" s="53">
        <f t="shared" ca="1" si="12"/>
        <v>6147.2505890884186</v>
      </c>
      <c r="X38" s="53">
        <f t="shared" ca="1" si="12"/>
        <v>6298.7206836602627</v>
      </c>
      <c r="Y38" s="53">
        <f t="shared" ca="1" si="12"/>
        <v>6467.6060409871179</v>
      </c>
      <c r="Z38" s="53">
        <f t="shared" ca="1" si="12"/>
        <v>103642.33588925695</v>
      </c>
      <c r="AA38" s="420">
        <f t="shared" ca="1" si="5"/>
        <v>142094.18594465515</v>
      </c>
      <c r="AB38" s="420">
        <f ca="1">SUM(AB24:AB37)</f>
        <v>-2900.2143680298068</v>
      </c>
    </row>
    <row r="39" spans="1:28" s="77" customFormat="1">
      <c r="A39" s="454"/>
      <c r="B39" s="8"/>
      <c r="C39" s="8"/>
      <c r="D39" s="1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421"/>
      <c r="AB39" s="632"/>
    </row>
    <row r="40" spans="1:28">
      <c r="A40" s="449"/>
      <c r="B40" s="8" t="s">
        <v>178</v>
      </c>
      <c r="C40" s="8"/>
      <c r="D40" s="27"/>
      <c r="E40" s="53">
        <f ca="1">$E38</f>
        <v>-2535.1591722240005</v>
      </c>
      <c r="F40" s="53">
        <f ca="1">$E38+NPV(Disc,$F38:F38)</f>
        <v>-7957.6190219369964</v>
      </c>
      <c r="G40" s="53">
        <f ca="1">$E38+NPV(Disc,$F38:G38)</f>
        <v>-12016.841462363756</v>
      </c>
      <c r="H40" s="53">
        <f ca="1">$E38+NPV(Disc,$F38:H38)</f>
        <v>-11312.138012451636</v>
      </c>
      <c r="I40" s="53">
        <f ca="1">$E38+NPV(Disc,$F38:I38)</f>
        <v>-10596.402440667001</v>
      </c>
      <c r="J40" s="53">
        <f ca="1">$E38+NPV(Disc,$F38:J38)</f>
        <v>-10183.064205503862</v>
      </c>
      <c r="K40" s="53">
        <f ca="1">$E38+NPV(Disc,$F38:K38)</f>
        <v>-9667.2242548943996</v>
      </c>
      <c r="L40" s="53">
        <f ca="1">$E38+NPV(Disc,$F38:L38)</f>
        <v>-9593.1609971202597</v>
      </c>
      <c r="M40" s="53">
        <f ca="1">$E38+NPV(Disc,$F38:M38)</f>
        <v>-9281.4238874853454</v>
      </c>
      <c r="N40" s="53">
        <f ca="1">$E38+NPV(Disc,$F38:N38)</f>
        <v>-8986.3434119189296</v>
      </c>
      <c r="O40" s="53">
        <f ca="1">$E38+NPV(Disc,$F38:O38)</f>
        <v>-8545.9927856509184</v>
      </c>
      <c r="P40" s="53">
        <f ca="1">$E38+NPV(Disc,$F38:P38)</f>
        <v>-7985.093124336152</v>
      </c>
      <c r="Q40" s="53">
        <f ca="1">$E38+NPV(Disc,$F38:Q38)</f>
        <v>-7474.4626728861076</v>
      </c>
      <c r="R40" s="53">
        <f ca="1">$E38+NPV(Disc,$F38:R38)</f>
        <v>-7087.8819837150095</v>
      </c>
      <c r="S40" s="53">
        <f ca="1">$E38+NPV(Disc,$F38:S38)</f>
        <v>-6871.4670796480841</v>
      </c>
      <c r="T40" s="53">
        <f ca="1">$E38+NPV(Disc,$F38:T38)</f>
        <v>-6690.0258263414671</v>
      </c>
      <c r="U40" s="53">
        <f ca="1">$E38+NPV(Disc,$F38:U38)</f>
        <v>-6499.3564067667412</v>
      </c>
      <c r="V40" s="53">
        <f ca="1">$E38+NPV(Disc,$F38:V38)</f>
        <v>-6284.8753757762061</v>
      </c>
      <c r="W40" s="53">
        <f ca="1">$E38+NPV(Disc,$F38:W38)</f>
        <v>-6016.4425568143452</v>
      </c>
      <c r="X40" s="53">
        <f ca="1">$E38+NPV(Disc,$F38:X38)</f>
        <v>-5785.3105534772994</v>
      </c>
      <c r="Y40" s="53">
        <f ca="1">$E38+NPV(Disc,$F38:Y38)</f>
        <v>-5585.8741975678868</v>
      </c>
      <c r="Z40" s="53">
        <f ca="1">$E38+NPV(Disc,$F38:Z38)</f>
        <v>-2900.2143680298059</v>
      </c>
      <c r="AA40" s="460"/>
      <c r="AB40" s="416"/>
    </row>
    <row r="41" spans="1:28">
      <c r="A41" s="449"/>
      <c r="B41" s="8" t="s">
        <v>179</v>
      </c>
      <c r="C41" s="8"/>
      <c r="D41" s="21"/>
      <c r="E41" s="21" t="e">
        <f ca="1">IRR($E38:E38,-0.9)</f>
        <v>#NUM!</v>
      </c>
      <c r="F41" s="21" t="e">
        <f ca="1">IRR($E38:F38,-0.9)</f>
        <v>#NUM!</v>
      </c>
      <c r="G41" s="21" t="e">
        <f ca="1">IRR($E38:G38,-0.9)</f>
        <v>#NUM!</v>
      </c>
      <c r="H41" s="21">
        <f ca="1">IRR($E38:H38,-0.9)</f>
        <v>-0.82860595095028866</v>
      </c>
      <c r="I41" s="21">
        <f ca="1">IRR($E38:I38,-0.9)</f>
        <v>-0.53743945846424501</v>
      </c>
      <c r="J41" s="21">
        <f ca="1">IRR($E38:J38,-0.9)</f>
        <v>-0.39999738961474435</v>
      </c>
      <c r="K41" s="21">
        <f ca="1">IRR($E38:K38,-0.9)</f>
        <v>-0.266476225891906</v>
      </c>
      <c r="L41" s="21">
        <f ca="1">IRR($E38:L38,-0.9)</f>
        <v>-0.24760194384685666</v>
      </c>
      <c r="M41" s="21">
        <f ca="1">IRR($E38:M38,-0.9)</f>
        <v>-0.17078049531045891</v>
      </c>
      <c r="N41" s="21">
        <f ca="1">IRR($E38:N38,-0.9)</f>
        <v>-0.11586146021755477</v>
      </c>
      <c r="O41" s="21">
        <f ca="1">IRR($E38:O38,-0.9)</f>
        <v>-5.6194568499168665E-2</v>
      </c>
      <c r="P41" s="21">
        <f ca="1">IRR($E38:P38,-0.9)</f>
        <v>-4.4218745543275926E-3</v>
      </c>
      <c r="Q41" s="21">
        <f ca="1">IRR($E38:Q38,-0.9)</f>
        <v>2.9969215440616835E-2</v>
      </c>
      <c r="R41" s="21">
        <f ca="1">IRR($E38:R38,-0.9)</f>
        <v>5.1308303230417039E-2</v>
      </c>
      <c r="S41" s="21">
        <f ca="1">IRR($E38:S38,-0.9)</f>
        <v>6.2207049721335186E-2</v>
      </c>
      <c r="T41" s="21">
        <f ca="1">IRR($E38:T38,-0.9)</f>
        <v>7.1035359907294884E-2</v>
      </c>
      <c r="U41" s="21">
        <f ca="1">IRR($E38:U38,-0.9)</f>
        <v>7.9940493409536628E-2</v>
      </c>
      <c r="V41" s="21">
        <f ca="1">IRR($E38:V38,-0.9)</f>
        <v>8.9321530293676538E-2</v>
      </c>
      <c r="W41" s="21">
        <f ca="1">IRR($E38:W38,-0.9)</f>
        <v>9.9931980727127251E-2</v>
      </c>
      <c r="X41" s="21">
        <f ca="1">IRR($E38:X38,-0.9)</f>
        <v>0.10813996915401498</v>
      </c>
      <c r="Y41" s="21">
        <f ca="1">IRR($E38:Y38,-0.9)</f>
        <v>0.11466256955392708</v>
      </c>
      <c r="Z41" s="21">
        <f ca="1">IRR($E38:Z38,-0.9)</f>
        <v>0.16393737305207323</v>
      </c>
      <c r="AA41" s="416"/>
      <c r="AB41" s="631">
        <f ca="1">IRR($E38:Z38)</f>
        <v>0.16393737305194819</v>
      </c>
    </row>
    <row r="42" spans="1:28">
      <c r="A42" s="449"/>
      <c r="B42" s="8"/>
      <c r="C42" s="8"/>
      <c r="D42" s="72"/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416"/>
      <c r="AB42" s="416"/>
    </row>
    <row r="43" spans="1:28">
      <c r="A43" s="449"/>
      <c r="B43" s="266" t="str">
        <f ca="1">CONCATENATE("Enron NPV @ ",TEXT(Disc,"0.0%"))</f>
        <v>Enron NPV @ 19.0%</v>
      </c>
      <c r="C43" s="441">
        <f ca="1">AB38</f>
        <v>-2900.2143680298068</v>
      </c>
      <c r="D43" s="8"/>
      <c r="E43" s="1223"/>
      <c r="F43" s="1222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416"/>
      <c r="AB43" s="416"/>
    </row>
    <row r="44" spans="1:28">
      <c r="A44" s="449"/>
      <c r="B44" s="279" t="s">
        <v>89</v>
      </c>
      <c r="C44" s="442">
        <f ca="1">AB41</f>
        <v>0.16393737305194819</v>
      </c>
      <c r="D44" s="8"/>
      <c r="E44" s="72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416"/>
      <c r="AB44" s="416"/>
    </row>
    <row r="45" spans="1:28">
      <c r="A45" s="452"/>
      <c r="B45" s="435" t="s">
        <v>184</v>
      </c>
      <c r="C45" s="443">
        <f ca="1">MAX(E45:Z45)</f>
        <v>0</v>
      </c>
      <c r="D45" s="131"/>
      <c r="E45" s="131">
        <f t="shared" ref="E45:X45" ca="1" si="13">IF(AND(D40&lt;0,E40&gt;0),E$6,0)</f>
        <v>0</v>
      </c>
      <c r="F45" s="131">
        <f t="shared" ca="1" si="13"/>
        <v>0</v>
      </c>
      <c r="G45" s="131">
        <f t="shared" ca="1" si="13"/>
        <v>0</v>
      </c>
      <c r="H45" s="131">
        <f t="shared" ca="1" si="13"/>
        <v>0</v>
      </c>
      <c r="I45" s="131">
        <f t="shared" ca="1" si="13"/>
        <v>0</v>
      </c>
      <c r="J45" s="131">
        <f t="shared" ca="1" si="13"/>
        <v>0</v>
      </c>
      <c r="K45" s="131">
        <f t="shared" ca="1" si="13"/>
        <v>0</v>
      </c>
      <c r="L45" s="131">
        <f t="shared" ca="1" si="13"/>
        <v>0</v>
      </c>
      <c r="M45" s="131">
        <f t="shared" ca="1" si="13"/>
        <v>0</v>
      </c>
      <c r="N45" s="131">
        <f t="shared" ca="1" si="13"/>
        <v>0</v>
      </c>
      <c r="O45" s="131">
        <f t="shared" ca="1" si="13"/>
        <v>0</v>
      </c>
      <c r="P45" s="131">
        <f t="shared" ca="1" si="13"/>
        <v>0</v>
      </c>
      <c r="Q45" s="131">
        <f t="shared" ca="1" si="13"/>
        <v>0</v>
      </c>
      <c r="R45" s="131">
        <f t="shared" ca="1" si="13"/>
        <v>0</v>
      </c>
      <c r="S45" s="131">
        <f t="shared" ca="1" si="13"/>
        <v>0</v>
      </c>
      <c r="T45" s="131">
        <f t="shared" ca="1" si="13"/>
        <v>0</v>
      </c>
      <c r="U45" s="131">
        <f t="shared" ca="1" si="13"/>
        <v>0</v>
      </c>
      <c r="V45" s="131">
        <f t="shared" ca="1" si="13"/>
        <v>0</v>
      </c>
      <c r="W45" s="131">
        <f t="shared" ca="1" si="13"/>
        <v>0</v>
      </c>
      <c r="X45" s="131">
        <f t="shared" ca="1" si="13"/>
        <v>0</v>
      </c>
      <c r="Y45" s="131">
        <f ca="1">IF(AND(X40&lt;0,Y40&gt;0),Y$6,0)</f>
        <v>0</v>
      </c>
      <c r="Z45" s="131">
        <f ca="1">IF(AND(Y40&lt;0,Z40&gt;0),Z$6,0)</f>
        <v>0</v>
      </c>
      <c r="AA45" s="459"/>
      <c r="AB45" s="459"/>
    </row>
    <row r="46" spans="1:28">
      <c r="A46" s="449"/>
      <c r="B46" s="32"/>
      <c r="C46" s="32"/>
      <c r="D46" s="133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416"/>
      <c r="AB46" s="416"/>
    </row>
    <row r="47" spans="1:28" s="77" customFormat="1">
      <c r="A47" s="454"/>
      <c r="B47" s="8" t="s">
        <v>653</v>
      </c>
      <c r="C47" s="8"/>
      <c r="D47" s="16"/>
      <c r="E47" s="53">
        <f ca="1">E38</f>
        <v>-2535.1591722240005</v>
      </c>
      <c r="F47" s="53">
        <f t="shared" ref="F47:Z47" ca="1" si="14">F38</f>
        <v>-6452.7272211584641</v>
      </c>
      <c r="G47" s="53">
        <f t="shared" ca="1" si="14"/>
        <v>-5748.2648978883344</v>
      </c>
      <c r="H47" s="53">
        <f t="shared" ca="1" si="14"/>
        <v>1187.5373609504591</v>
      </c>
      <c r="I47" s="53">
        <f t="shared" ca="1" si="14"/>
        <v>1435.2926060914956</v>
      </c>
      <c r="J47" s="53">
        <f t="shared" ca="1" si="14"/>
        <v>986.37121025816555</v>
      </c>
      <c r="K47" s="53">
        <f t="shared" ca="1" si="14"/>
        <v>1464.8620993308341</v>
      </c>
      <c r="L47" s="53">
        <f t="shared" ca="1" si="14"/>
        <v>250.28310888748999</v>
      </c>
      <c r="M47" s="53">
        <f t="shared" ca="1" si="14"/>
        <v>1253.6150448529199</v>
      </c>
      <c r="N47" s="53">
        <f t="shared" ca="1" si="14"/>
        <v>1412.0924378053905</v>
      </c>
      <c r="O47" s="53">
        <f t="shared" ca="1" si="14"/>
        <v>2507.6575733768104</v>
      </c>
      <c r="P47" s="53">
        <f t="shared" ca="1" si="14"/>
        <v>3801.0339889146144</v>
      </c>
      <c r="Q47" s="53">
        <f t="shared" ca="1" si="14"/>
        <v>4117.8473876278376</v>
      </c>
      <c r="R47" s="53">
        <f t="shared" ca="1" si="14"/>
        <v>3709.8013426798402</v>
      </c>
      <c r="S47" s="53">
        <f t="shared" ca="1" si="14"/>
        <v>2471.4090117947035</v>
      </c>
      <c r="T47" s="53">
        <f t="shared" ca="1" si="14"/>
        <v>2465.7012651476521</v>
      </c>
      <c r="U47" s="53">
        <f t="shared" ca="1" si="14"/>
        <v>3083.4181664756716</v>
      </c>
      <c r="V47" s="53">
        <f t="shared" ca="1" si="14"/>
        <v>4127.5014287393096</v>
      </c>
      <c r="W47" s="53">
        <f t="shared" ca="1" si="14"/>
        <v>6147.2505890884186</v>
      </c>
      <c r="X47" s="53">
        <f t="shared" ca="1" si="14"/>
        <v>6298.7206836602627</v>
      </c>
      <c r="Y47" s="53">
        <f t="shared" ca="1" si="14"/>
        <v>6467.6060409871179</v>
      </c>
      <c r="Z47" s="53">
        <f t="shared" ca="1" si="14"/>
        <v>103642.33588925695</v>
      </c>
      <c r="AA47" s="420">
        <f ca="1">SUM(D47:Z47)</f>
        <v>142094.18594465515</v>
      </c>
      <c r="AB47" s="420">
        <f ca="1">$E47+NPV(Disc,$F47:Z47)</f>
        <v>-2900.2143680298059</v>
      </c>
    </row>
    <row r="48" spans="1:28" s="1323" customFormat="1">
      <c r="A48" s="1318">
        <f>A$24</f>
        <v>0.29999999999999993</v>
      </c>
      <c r="B48" s="1319" t="s">
        <v>347</v>
      </c>
      <c r="C48" s="1319"/>
      <c r="D48" s="1346"/>
      <c r="E48" s="1321">
        <f ca="1">IF(E$7&lt;YEAR(Startconst),0,-HLOOKUP(DATE(E$7,12,31),Idc_Table,IDC!$AP$75)*$A48-SUM($D48:D48))</f>
        <v>0</v>
      </c>
      <c r="F48" s="1321">
        <f ca="1">-HLOOKUP(DATE(F$7,12,31),Idc_Table,IDC!$AP$75)*$A48-SUM($D48:E48)</f>
        <v>-13407.432599872272</v>
      </c>
      <c r="G48" s="1321">
        <f ca="1">-HLOOKUP(DATE(G$7,12,31),Idc_Table,IDC!$AP$75)*$A48-SUM($D48:F48)</f>
        <v>-7631.3885320842728</v>
      </c>
      <c r="H48" s="1321">
        <f ca="1">-HLOOKUP(DATE(H$7,12,31),Idc_Table,IDC!$AP$75)*$A48-SUM($D48:G48)</f>
        <v>0</v>
      </c>
      <c r="I48" s="1321">
        <f ca="1">-HLOOKUP(DATE(I$7,12,31),Idc_Table,IDC!$AP$75)*$A48-SUM($D48:H48)</f>
        <v>0</v>
      </c>
      <c r="J48" s="1321">
        <f ca="1">-HLOOKUP(DATE(J$7,12,31),Idc_Table,IDC!$AP$75)*$A48-SUM($D48:I48)</f>
        <v>0</v>
      </c>
      <c r="K48" s="1321">
        <f ca="1">-HLOOKUP(DATE(K$7,12,31),Idc_Table,IDC!$AP$75)*$A48-SUM($D48:J48)</f>
        <v>0</v>
      </c>
      <c r="L48" s="1321">
        <f ca="1">-HLOOKUP(DATE(L$7,12,31),Idc_Table,IDC!$AP$75)*$A48-SUM($D48:K48)</f>
        <v>0</v>
      </c>
      <c r="M48" s="1321">
        <f ca="1">-HLOOKUP(DATE(M$7,12,31),Idc_Table,IDC!$AP$75)*$A48-SUM($D48:L48)</f>
        <v>0</v>
      </c>
      <c r="N48" s="1321">
        <f ca="1">-HLOOKUP(DATE(N$7,12,31),Idc_Table,IDC!$AP$75)*$A48-SUM($D48:M48)</f>
        <v>0</v>
      </c>
      <c r="O48" s="1321">
        <f ca="1">-HLOOKUP(DATE(O$7,12,31),Idc_Table,IDC!$AP$75)*$A48-SUM($D48:N48)</f>
        <v>0</v>
      </c>
      <c r="P48" s="1321">
        <f ca="1">-HLOOKUP(DATE(P$7,12,31),Idc_Table,IDC!$AP$75)*$A48-SUM($D48:O48)</f>
        <v>0</v>
      </c>
      <c r="Q48" s="1321">
        <f ca="1">-HLOOKUP(DATE(Q$7,12,31),Idc_Table,IDC!$AP$75)*$A48-SUM($D48:P48)</f>
        <v>0</v>
      </c>
      <c r="R48" s="1321">
        <f ca="1">-HLOOKUP(DATE(R$7,12,31),Idc_Table,IDC!$AP$75)*$A48-SUM($D48:Q48)</f>
        <v>0</v>
      </c>
      <c r="S48" s="1321">
        <f ca="1">-HLOOKUP(DATE(S$7,12,31),Idc_Table,IDC!$AP$75)*$A48-SUM($D48:R48)</f>
        <v>0</v>
      </c>
      <c r="T48" s="1321">
        <f ca="1">-HLOOKUP(DATE(T$7,12,31),Idc_Table,IDC!$AP$75)*$A48-SUM($D48:S48)</f>
        <v>0</v>
      </c>
      <c r="U48" s="1321">
        <f ca="1">-HLOOKUP(DATE(U$7,12,31),Idc_Table,IDC!$AP$75)*$A48-SUM($D48:T48)</f>
        <v>0</v>
      </c>
      <c r="V48" s="1321">
        <f ca="1">-HLOOKUP(DATE(V$7,12,31),Idc_Table,IDC!$AP$75)*$A48-SUM($D48:U48)</f>
        <v>0</v>
      </c>
      <c r="W48" s="1321">
        <f ca="1">-HLOOKUP(DATE(W$7,12,31),Idc_Table,IDC!$AP$75)*$A48-SUM($D48:V48)</f>
        <v>0</v>
      </c>
      <c r="X48" s="1321">
        <f ca="1">-HLOOKUP(DATE(X$7,12,31),Idc_Table,IDC!$AP$75)*$A48-SUM($D48:W48)</f>
        <v>0</v>
      </c>
      <c r="Y48" s="1321">
        <f ca="1">-HLOOKUP(DATE(Y$7,12,31),Idc_Table,IDC!$AP$75)*$A48-SUM($D48:X48)</f>
        <v>0</v>
      </c>
      <c r="Z48" s="1321">
        <f ca="1">-HLOOKUP(DATE(Z$7,12,31),Idc_Table,IDC!$AP$75)*$A48-SUM($D48:Y48)</f>
        <v>0</v>
      </c>
      <c r="AA48" s="1322">
        <f t="shared" ref="AA48:AA54" ca="1" si="15">SUM(D48:Z48)</f>
        <v>-21038.821131956545</v>
      </c>
      <c r="AB48" s="1322">
        <f ca="1">$E48+NPV(Disc,$F48:Z48)</f>
        <v>-16655.76818440243</v>
      </c>
    </row>
    <row r="49" spans="1:28" s="1336" customFormat="1">
      <c r="A49" s="1330"/>
      <c r="B49" s="1331" t="s">
        <v>348</v>
      </c>
      <c r="C49" s="1331"/>
      <c r="D49" s="1347"/>
      <c r="E49" s="1338">
        <f ca="1">IF(E$7=YEAR(Fin_Close),-SUM($D48:E48),0)</f>
        <v>0</v>
      </c>
      <c r="F49" s="1338">
        <f ca="1">IF(F$7=YEAR(Fin_Close),-SUM($D48:F48),0)</f>
        <v>0</v>
      </c>
      <c r="G49" s="1338">
        <f ca="1">IF(G$7=YEAR(Fin_Close),-SUM($D48:G48),0)</f>
        <v>21038.821131956545</v>
      </c>
      <c r="H49" s="1338">
        <f ca="1">IF(H$7=YEAR(Fin_Close),-SUM($D48:H48),0)</f>
        <v>0</v>
      </c>
      <c r="I49" s="1338">
        <f ca="1">IF(I$7=YEAR(Fin_Close),-SUM($D48:I48),0)</f>
        <v>0</v>
      </c>
      <c r="J49" s="1338">
        <f ca="1">IF(J$7=YEAR(Fin_Close),-SUM($D48:J48),0)</f>
        <v>0</v>
      </c>
      <c r="K49" s="1338">
        <f ca="1">IF(K$7=YEAR(Fin_Close),-SUM($D48:K48),0)</f>
        <v>0</v>
      </c>
      <c r="L49" s="1338">
        <f ca="1">IF(L$7=YEAR(Fin_Close),-SUM($D48:L48),0)</f>
        <v>0</v>
      </c>
      <c r="M49" s="1338">
        <f ca="1">IF(M$7=YEAR(Fin_Close),-SUM($D48:M48),0)</f>
        <v>0</v>
      </c>
      <c r="N49" s="1338">
        <f ca="1">IF(N$7=YEAR(Fin_Close),-SUM($D48:N48),0)</f>
        <v>0</v>
      </c>
      <c r="O49" s="1338">
        <f ca="1">IF(O$7=YEAR(Fin_Close),-SUM($D48:O48),0)</f>
        <v>0</v>
      </c>
      <c r="P49" s="1338">
        <f ca="1">IF(P$7=YEAR(Fin_Close),-SUM($D48:P48),0)</f>
        <v>0</v>
      </c>
      <c r="Q49" s="1338">
        <f ca="1">IF(Q$7=YEAR(Fin_Close),-SUM($D48:Q48),0)</f>
        <v>0</v>
      </c>
      <c r="R49" s="1338">
        <f ca="1">IF(R$7=YEAR(Fin_Close),-SUM($D48:R48),0)</f>
        <v>0</v>
      </c>
      <c r="S49" s="1338">
        <f ca="1">IF(S$7=YEAR(Fin_Close),-SUM($D48:S48),0)</f>
        <v>0</v>
      </c>
      <c r="T49" s="1338">
        <f ca="1">IF(T$7=YEAR(Fin_Close),-SUM($D48:T48),0)</f>
        <v>0</v>
      </c>
      <c r="U49" s="1338">
        <f ca="1">IF(U$7=YEAR(Fin_Close),-SUM($D48:U48),0)</f>
        <v>0</v>
      </c>
      <c r="V49" s="1338">
        <f ca="1">IF(V$7=YEAR(Fin_Close),-SUM($D48:V48),0)</f>
        <v>0</v>
      </c>
      <c r="W49" s="1338">
        <f ca="1">IF(W$7=YEAR(Fin_Close),-SUM($D48:W48),0)</f>
        <v>0</v>
      </c>
      <c r="X49" s="1338">
        <f ca="1">IF(X$7=YEAR(Fin_Close),-SUM($D48:X48),0)</f>
        <v>0</v>
      </c>
      <c r="Y49" s="1338">
        <f ca="1">IF(Y$7=YEAR(Fin_Close),-SUM($D48:Y48),0)</f>
        <v>0</v>
      </c>
      <c r="Z49" s="1338">
        <f ca="1">IF(Z$7=YEAR(Fin_Close),-SUM($D48:Z48),0)</f>
        <v>0</v>
      </c>
      <c r="AA49" s="1335">
        <f t="shared" ca="1" si="15"/>
        <v>21038.821131956545</v>
      </c>
      <c r="AB49" s="1335">
        <f ca="1">$E49+NPV(Disc,$F49:Z49)</f>
        <v>14856.875313859577</v>
      </c>
    </row>
    <row r="50" spans="1:28" s="1336" customFormat="1">
      <c r="A50" s="1330"/>
      <c r="B50" s="1331" t="s">
        <v>519</v>
      </c>
      <c r="C50" s="1337" t="s">
        <v>354</v>
      </c>
      <c r="D50" s="1347"/>
      <c r="E50" s="1338">
        <f ca="1">IF(E$7&lt;YEAR(Startconst),0,(HLOOKUP(DATE(E$7,12,31),Idc_Table,IDC!$AP$73))*$A$48-SUM($D50:D50))</f>
        <v>0</v>
      </c>
      <c r="F50" s="1338">
        <f ca="1">(HLOOKUP(DATE(F$7,12,31),Idc_Table,IDC!$AP$73))*$A$48-SUM($D50:E50)</f>
        <v>246.0009798955337</v>
      </c>
      <c r="G50" s="1338">
        <f ca="1">(HLOOKUP(DATE(G$7,12,31),Idc_Table,IDC!$AP$73))*$A$48-SUM($D50:F50)</f>
        <v>709.89911847209873</v>
      </c>
      <c r="H50" s="1338">
        <f ca="1">(HLOOKUP(DATE(H$7,12,31),Idc_Table,IDC!$AP$73))*$A$48-SUM($D50:G50)</f>
        <v>0</v>
      </c>
      <c r="I50" s="1338">
        <f ca="1">(HLOOKUP(DATE(I$7,12,31),Idc_Table,IDC!$AP$73))*$A$48-SUM($D50:H50)</f>
        <v>0</v>
      </c>
      <c r="J50" s="1338">
        <f ca="1">(HLOOKUP(DATE(J$7,12,31),Idc_Table,IDC!$AP$73))*$A$48-SUM($D50:I50)</f>
        <v>0</v>
      </c>
      <c r="K50" s="1338">
        <f ca="1">(HLOOKUP(DATE(K$7,12,31),Idc_Table,IDC!$AP$73))*$A$48-SUM($D50:J50)</f>
        <v>0</v>
      </c>
      <c r="L50" s="1338">
        <f ca="1">(HLOOKUP(DATE(L$7,12,31),Idc_Table,IDC!$AP$73))*$A$48-SUM($D50:K50)</f>
        <v>0</v>
      </c>
      <c r="M50" s="1338">
        <f ca="1">(HLOOKUP(DATE(M$7,12,31),Idc_Table,IDC!$AP$73))*$A$48-SUM($D50:L50)</f>
        <v>0</v>
      </c>
      <c r="N50" s="1338">
        <f ca="1">(HLOOKUP(DATE(N$7,12,31),Idc_Table,IDC!$AP$73))*$A$48-SUM($D50:M50)</f>
        <v>0</v>
      </c>
      <c r="O50" s="1338">
        <f ca="1">(HLOOKUP(DATE(O$7,12,31),Idc_Table,IDC!$AP$73))*$A$48-SUM($D50:N50)</f>
        <v>0</v>
      </c>
      <c r="P50" s="1338">
        <f ca="1">(HLOOKUP(DATE(P$7,12,31),Idc_Table,IDC!$AP$73))*$A$48-SUM($D50:O50)</f>
        <v>0</v>
      </c>
      <c r="Q50" s="1338">
        <f ca="1">(HLOOKUP(DATE(Q$7,12,31),Idc_Table,IDC!$AP$73))*$A$48-SUM($D50:P50)</f>
        <v>0</v>
      </c>
      <c r="R50" s="1338">
        <f ca="1">(HLOOKUP(DATE(R$7,12,31),Idc_Table,IDC!$AP$73))*$A$48-SUM($D50:Q50)</f>
        <v>0</v>
      </c>
      <c r="S50" s="1338">
        <f ca="1">(HLOOKUP(DATE(S$7,12,31),Idc_Table,IDC!$AP$73))*$A$48-SUM($D50:R50)</f>
        <v>0</v>
      </c>
      <c r="T50" s="1338">
        <f ca="1">(HLOOKUP(DATE(T$7,12,31),Idc_Table,IDC!$AP$73))*$A$48-SUM($D50:S50)</f>
        <v>0</v>
      </c>
      <c r="U50" s="1338">
        <f ca="1">(HLOOKUP(DATE(U$7,12,31),Idc_Table,IDC!$AP$73))*$A$48-SUM($D50:T50)</f>
        <v>0</v>
      </c>
      <c r="V50" s="1338">
        <f ca="1">(HLOOKUP(DATE(V$7,12,31),Idc_Table,IDC!$AP$73))*$A$48-SUM($D50:U50)</f>
        <v>0</v>
      </c>
      <c r="W50" s="1338">
        <f ca="1">(HLOOKUP(DATE(W$7,12,31),Idc_Table,IDC!$AP$73))*$A$48-SUM($D50:V50)</f>
        <v>0</v>
      </c>
      <c r="X50" s="1338">
        <f ca="1">(HLOOKUP(DATE(X$7,12,31),Idc_Table,IDC!$AP$73))*$A$48-SUM($D50:W50)</f>
        <v>0</v>
      </c>
      <c r="Y50" s="1338">
        <f ca="1">(HLOOKUP(DATE(Y$7,12,31),Idc_Table,IDC!$AP$73))*$A$48-SUM($D50:X50)</f>
        <v>0</v>
      </c>
      <c r="Z50" s="1338">
        <f ca="1">(HLOOKUP(DATE(Z$7,12,31),Idc_Table,IDC!$AP$73))*$A$48-SUM($D50:Y50)</f>
        <v>0</v>
      </c>
      <c r="AA50" s="1335">
        <f t="shared" ca="1" si="15"/>
        <v>955.90009836763238</v>
      </c>
      <c r="AB50" s="1335">
        <f ca="1">$E50+NPV(Disc,$F50:Z50)</f>
        <v>708.02929492817168</v>
      </c>
    </row>
    <row r="51" spans="1:28" s="1336" customFormat="1">
      <c r="A51" s="1330"/>
      <c r="B51" s="1331" t="s">
        <v>1162</v>
      </c>
      <c r="C51" s="1337" t="s">
        <v>354</v>
      </c>
      <c r="D51" s="1347"/>
      <c r="E51" s="1338">
        <f ca="1">Wh_Int*-E50</f>
        <v>0</v>
      </c>
      <c r="F51" s="1338">
        <f t="shared" ref="F51:Z51" ca="1" si="16">Wh_Int*-F50</f>
        <v>-30.750122486941713</v>
      </c>
      <c r="G51" s="1338">
        <f t="shared" ca="1" si="16"/>
        <v>-88.737389809012342</v>
      </c>
      <c r="H51" s="1338">
        <f t="shared" ca="1" si="16"/>
        <v>0</v>
      </c>
      <c r="I51" s="1338">
        <f t="shared" ca="1" si="16"/>
        <v>0</v>
      </c>
      <c r="J51" s="1338">
        <f t="shared" ca="1" si="16"/>
        <v>0</v>
      </c>
      <c r="K51" s="1338">
        <f t="shared" ca="1" si="16"/>
        <v>0</v>
      </c>
      <c r="L51" s="1338">
        <f t="shared" ca="1" si="16"/>
        <v>0</v>
      </c>
      <c r="M51" s="1338">
        <f t="shared" ca="1" si="16"/>
        <v>0</v>
      </c>
      <c r="N51" s="1338">
        <f t="shared" ca="1" si="16"/>
        <v>0</v>
      </c>
      <c r="O51" s="1338">
        <f t="shared" ca="1" si="16"/>
        <v>0</v>
      </c>
      <c r="P51" s="1338">
        <f t="shared" ca="1" si="16"/>
        <v>0</v>
      </c>
      <c r="Q51" s="1338">
        <f t="shared" ca="1" si="16"/>
        <v>0</v>
      </c>
      <c r="R51" s="1338">
        <f t="shared" ca="1" si="16"/>
        <v>0</v>
      </c>
      <c r="S51" s="1338">
        <f t="shared" ca="1" si="16"/>
        <v>0</v>
      </c>
      <c r="T51" s="1338">
        <f t="shared" ca="1" si="16"/>
        <v>0</v>
      </c>
      <c r="U51" s="1338">
        <f t="shared" ca="1" si="16"/>
        <v>0</v>
      </c>
      <c r="V51" s="1338">
        <f t="shared" ca="1" si="16"/>
        <v>0</v>
      </c>
      <c r="W51" s="1338">
        <f t="shared" ca="1" si="16"/>
        <v>0</v>
      </c>
      <c r="X51" s="1338">
        <f t="shared" ca="1" si="16"/>
        <v>0</v>
      </c>
      <c r="Y51" s="1338">
        <f t="shared" ca="1" si="16"/>
        <v>0</v>
      </c>
      <c r="Z51" s="1338">
        <f t="shared" ca="1" si="16"/>
        <v>0</v>
      </c>
      <c r="AA51" s="1335">
        <f t="shared" ca="1" si="15"/>
        <v>-119.48751229595405</v>
      </c>
      <c r="AB51" s="1335">
        <f ca="1">$E51+NPV(Disc,$F51:Z51)</f>
        <v>-88.50366186602146</v>
      </c>
    </row>
    <row r="52" spans="1:28" s="1336" customFormat="1">
      <c r="A52" s="1330"/>
      <c r="B52" s="1331" t="s">
        <v>185</v>
      </c>
      <c r="C52" s="1337" t="s">
        <v>354</v>
      </c>
      <c r="D52" s="1347"/>
      <c r="E52" s="1338">
        <f ca="1">-PLRisk!E43</f>
        <v>0</v>
      </c>
      <c r="F52" s="1338">
        <f ca="1">-PLRisk!F43</f>
        <v>-89.38288399914849</v>
      </c>
      <c r="G52" s="1338">
        <f ca="1">-PLRisk!G43</f>
        <v>-89.38288399914849</v>
      </c>
      <c r="H52" s="1338">
        <f ca="1">-PLRisk!H43</f>
        <v>0</v>
      </c>
      <c r="I52" s="1338">
        <f ca="1">-PLRisk!I43</f>
        <v>0</v>
      </c>
      <c r="J52" s="1338">
        <f ca="1">-PLRisk!J43</f>
        <v>0</v>
      </c>
      <c r="K52" s="1338">
        <f ca="1">-PLRisk!K43</f>
        <v>0</v>
      </c>
      <c r="L52" s="1338">
        <f ca="1">-PLRisk!L43</f>
        <v>0</v>
      </c>
      <c r="M52" s="1338">
        <f ca="1">-PLRisk!M43</f>
        <v>0</v>
      </c>
      <c r="N52" s="1338">
        <f ca="1">-PLRisk!N43</f>
        <v>0</v>
      </c>
      <c r="O52" s="1338">
        <f ca="1">-PLRisk!O43</f>
        <v>0</v>
      </c>
      <c r="P52" s="1338">
        <f ca="1">-PLRisk!P43</f>
        <v>0</v>
      </c>
      <c r="Q52" s="1338">
        <f ca="1">-PLRisk!Q43</f>
        <v>0</v>
      </c>
      <c r="R52" s="1338">
        <f ca="1">-PLRisk!R43</f>
        <v>0</v>
      </c>
      <c r="S52" s="1338">
        <f ca="1">-PLRisk!S43</f>
        <v>0</v>
      </c>
      <c r="T52" s="1338">
        <f ca="1">-PLRisk!T43</f>
        <v>0</v>
      </c>
      <c r="U52" s="1338">
        <f ca="1">-PLRisk!U43</f>
        <v>0</v>
      </c>
      <c r="V52" s="1338">
        <f ca="1">-PLRisk!V43</f>
        <v>0</v>
      </c>
      <c r="W52" s="1338">
        <f ca="1">-PLRisk!W43</f>
        <v>0</v>
      </c>
      <c r="X52" s="1338">
        <f ca="1">-PLRisk!X43</f>
        <v>0</v>
      </c>
      <c r="Y52" s="1338">
        <f ca="1">-PLRisk!Y43</f>
        <v>0</v>
      </c>
      <c r="Z52" s="1338">
        <f ca="1">-PLRisk!Z43</f>
        <v>0</v>
      </c>
      <c r="AA52" s="1335">
        <f t="shared" ca="1" si="15"/>
        <v>-178.76576799829698</v>
      </c>
      <c r="AB52" s="1335">
        <f ca="1">$E52+NPV(Disc,$F52:Z52)</f>
        <v>-138.23071531539804</v>
      </c>
    </row>
    <row r="53" spans="1:28" s="1336" customFormat="1">
      <c r="A53" s="1330"/>
      <c r="B53" s="1331" t="s">
        <v>349</v>
      </c>
      <c r="C53" s="1331"/>
      <c r="D53" s="1347"/>
      <c r="E53" s="1340">
        <f t="shared" ref="E53:Z53" ca="1" si="17">-USTax*SUM(E50:E52)</f>
        <v>0</v>
      </c>
      <c r="F53" s="1340">
        <f t="shared" ca="1" si="17"/>
        <v>-46.571150161494096</v>
      </c>
      <c r="G53" s="1340">
        <f t="shared" ca="1" si="17"/>
        <v>-196.75817252565702</v>
      </c>
      <c r="H53" s="1340">
        <f t="shared" ca="1" si="17"/>
        <v>0</v>
      </c>
      <c r="I53" s="1340">
        <f t="shared" ca="1" si="17"/>
        <v>0</v>
      </c>
      <c r="J53" s="1340">
        <f t="shared" ca="1" si="17"/>
        <v>0</v>
      </c>
      <c r="K53" s="1340">
        <f t="shared" ca="1" si="17"/>
        <v>0</v>
      </c>
      <c r="L53" s="1340">
        <f t="shared" ca="1" si="17"/>
        <v>0</v>
      </c>
      <c r="M53" s="1340">
        <f t="shared" ca="1" si="17"/>
        <v>0</v>
      </c>
      <c r="N53" s="1340">
        <f t="shared" ca="1" si="17"/>
        <v>0</v>
      </c>
      <c r="O53" s="1340">
        <f t="shared" ca="1" si="17"/>
        <v>0</v>
      </c>
      <c r="P53" s="1340">
        <f t="shared" ca="1" si="17"/>
        <v>0</v>
      </c>
      <c r="Q53" s="1340">
        <f t="shared" ca="1" si="17"/>
        <v>0</v>
      </c>
      <c r="R53" s="1340">
        <f t="shared" ca="1" si="17"/>
        <v>0</v>
      </c>
      <c r="S53" s="1340">
        <f t="shared" ca="1" si="17"/>
        <v>0</v>
      </c>
      <c r="T53" s="1340">
        <f t="shared" ca="1" si="17"/>
        <v>0</v>
      </c>
      <c r="U53" s="1340">
        <f t="shared" ca="1" si="17"/>
        <v>0</v>
      </c>
      <c r="V53" s="1340">
        <f t="shared" ca="1" si="17"/>
        <v>0</v>
      </c>
      <c r="W53" s="1340">
        <f t="shared" ca="1" si="17"/>
        <v>0</v>
      </c>
      <c r="X53" s="1340">
        <f t="shared" ca="1" si="17"/>
        <v>0</v>
      </c>
      <c r="Y53" s="1340">
        <f t="shared" ca="1" si="17"/>
        <v>0</v>
      </c>
      <c r="Z53" s="1340">
        <f t="shared" ca="1" si="17"/>
        <v>0</v>
      </c>
      <c r="AA53" s="1341">
        <f t="shared" ca="1" si="15"/>
        <v>-243.32932268715112</v>
      </c>
      <c r="AB53" s="1341">
        <f ca="1">$E53+NPV(Disc,$F53:Z53)</f>
        <v>-178.07911956629829</v>
      </c>
    </row>
    <row r="54" spans="1:28">
      <c r="A54" s="449"/>
      <c r="B54" s="8" t="s">
        <v>651</v>
      </c>
      <c r="C54" s="8"/>
      <c r="D54" s="128"/>
      <c r="E54" s="53">
        <f ca="1">SUM(E47:E53)</f>
        <v>-2535.1591722240005</v>
      </c>
      <c r="F54" s="53">
        <f t="shared" ref="F54:Z54" ca="1" si="18">SUM(F47:F53)</f>
        <v>-19780.862997782784</v>
      </c>
      <c r="G54" s="53">
        <f t="shared" ca="1" si="18"/>
        <v>7994.1883741222182</v>
      </c>
      <c r="H54" s="53">
        <f t="shared" ca="1" si="18"/>
        <v>1187.5373609504591</v>
      </c>
      <c r="I54" s="53">
        <f t="shared" ca="1" si="18"/>
        <v>1435.2926060914956</v>
      </c>
      <c r="J54" s="53">
        <f t="shared" ca="1" si="18"/>
        <v>986.37121025816555</v>
      </c>
      <c r="K54" s="53">
        <f t="shared" ca="1" si="18"/>
        <v>1464.8620993308341</v>
      </c>
      <c r="L54" s="53">
        <f t="shared" ca="1" si="18"/>
        <v>250.28310888748999</v>
      </c>
      <c r="M54" s="53">
        <f t="shared" ca="1" si="18"/>
        <v>1253.6150448529199</v>
      </c>
      <c r="N54" s="53">
        <f t="shared" ca="1" si="18"/>
        <v>1412.0924378053905</v>
      </c>
      <c r="O54" s="53">
        <f t="shared" ca="1" si="18"/>
        <v>2507.6575733768104</v>
      </c>
      <c r="P54" s="53">
        <f t="shared" ca="1" si="18"/>
        <v>3801.0339889146144</v>
      </c>
      <c r="Q54" s="53">
        <f t="shared" ca="1" si="18"/>
        <v>4117.8473876278376</v>
      </c>
      <c r="R54" s="53">
        <f t="shared" ca="1" si="18"/>
        <v>3709.8013426798402</v>
      </c>
      <c r="S54" s="53">
        <f t="shared" ca="1" si="18"/>
        <v>2471.4090117947035</v>
      </c>
      <c r="T54" s="53">
        <f t="shared" ca="1" si="18"/>
        <v>2465.7012651476521</v>
      </c>
      <c r="U54" s="53">
        <f t="shared" ca="1" si="18"/>
        <v>3083.4181664756716</v>
      </c>
      <c r="V54" s="53">
        <f t="shared" ca="1" si="18"/>
        <v>4127.5014287393096</v>
      </c>
      <c r="W54" s="53">
        <f t="shared" ca="1" si="18"/>
        <v>6147.2505890884186</v>
      </c>
      <c r="X54" s="53">
        <f t="shared" ca="1" si="18"/>
        <v>6298.7206836602627</v>
      </c>
      <c r="Y54" s="53">
        <f t="shared" ca="1" si="18"/>
        <v>6467.6060409871179</v>
      </c>
      <c r="Z54" s="53">
        <f t="shared" ca="1" si="18"/>
        <v>103642.33588925695</v>
      </c>
      <c r="AA54" s="420">
        <f t="shared" ca="1" si="15"/>
        <v>142508.50344004139</v>
      </c>
      <c r="AB54" s="420">
        <f ca="1">SUM(AB47:AB53)</f>
        <v>-4395.8914403922072</v>
      </c>
    </row>
    <row r="55" spans="1:28">
      <c r="A55" s="449"/>
      <c r="B55" s="8"/>
      <c r="C55" s="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416"/>
      <c r="AB55" s="416"/>
    </row>
    <row r="56" spans="1:28">
      <c r="A56" s="449"/>
      <c r="B56" s="8" t="s">
        <v>178</v>
      </c>
      <c r="C56" s="8"/>
      <c r="D56" s="128"/>
      <c r="E56" s="53">
        <f ca="1">$E54</f>
        <v>-2535.1591722240005</v>
      </c>
      <c r="F56" s="53">
        <f ca="1">$E54+NPV(Disc,$F54:F54)</f>
        <v>-19157.733119940625</v>
      </c>
      <c r="G56" s="53">
        <f ca="1">$E54+NPV(Disc,$F54:G54)</f>
        <v>-13512.51853472615</v>
      </c>
      <c r="H56" s="53">
        <f ca="1">$E54+NPV(Disc,$F54:H54)</f>
        <v>-12807.81508481403</v>
      </c>
      <c r="I56" s="53">
        <f ca="1">$E54+NPV(Disc,$F54:I54)</f>
        <v>-12092.079513029395</v>
      </c>
      <c r="J56" s="53">
        <f ca="1">$E54+NPV(Disc,$F54:J54)</f>
        <v>-11678.741277866256</v>
      </c>
      <c r="K56" s="53">
        <f ca="1">$E54+NPV(Disc,$F54:K54)</f>
        <v>-11162.901327256795</v>
      </c>
      <c r="L56" s="53">
        <f ca="1">$E54+NPV(Disc,$F54:L54)</f>
        <v>-11088.838069482654</v>
      </c>
      <c r="M56" s="53">
        <f ca="1">$E54+NPV(Disc,$F54:M54)</f>
        <v>-10777.100959847741</v>
      </c>
      <c r="N56" s="53">
        <f ca="1">$E54+NPV(Disc,$F54:N54)</f>
        <v>-10482.020484281325</v>
      </c>
      <c r="O56" s="53">
        <f ca="1">$E54+NPV(Disc,$F54:O54)</f>
        <v>-10041.669858013312</v>
      </c>
      <c r="P56" s="53">
        <f ca="1">$E54+NPV(Disc,$F54:P54)</f>
        <v>-9480.770196698546</v>
      </c>
      <c r="Q56" s="53">
        <f ca="1">$E54+NPV(Disc,$F54:Q54)</f>
        <v>-8970.1397452485016</v>
      </c>
      <c r="R56" s="53">
        <f ca="1">$E54+NPV(Disc,$F54:R54)</f>
        <v>-8583.5590560774053</v>
      </c>
      <c r="S56" s="53">
        <f ca="1">$E54+NPV(Disc,$F54:S54)</f>
        <v>-8367.1441520104781</v>
      </c>
      <c r="T56" s="53">
        <f ca="1">$E54+NPV(Disc,$F54:T54)</f>
        <v>-8185.7028987038611</v>
      </c>
      <c r="U56" s="53">
        <f ca="1">$E54+NPV(Disc,$F54:U54)</f>
        <v>-7995.0334791291352</v>
      </c>
      <c r="V56" s="53">
        <f ca="1">$E54+NPV(Disc,$F54:V54)</f>
        <v>-7780.5524481386001</v>
      </c>
      <c r="W56" s="53">
        <f ca="1">$E54+NPV(Disc,$F54:W54)</f>
        <v>-7512.1196291767392</v>
      </c>
      <c r="X56" s="53">
        <f ca="1">$E54+NPV(Disc,$F54:X54)</f>
        <v>-7280.9876258396944</v>
      </c>
      <c r="Y56" s="53">
        <f ca="1">$E54+NPV(Disc,$F54:Y54)</f>
        <v>-7081.5512699302817</v>
      </c>
      <c r="Z56" s="53">
        <f ca="1">$E54+NPV(Disc,$F54:Z54)</f>
        <v>-4395.8914403922008</v>
      </c>
      <c r="AA56" s="416"/>
      <c r="AB56" s="416"/>
    </row>
    <row r="57" spans="1:28">
      <c r="A57" s="449"/>
      <c r="B57" s="8" t="s">
        <v>179</v>
      </c>
      <c r="C57" s="8"/>
      <c r="D57" s="128"/>
      <c r="E57" s="21" t="e">
        <f ca="1">IRR($E54:E54,-0.9)</f>
        <v>#NUM!</v>
      </c>
      <c r="F57" s="21" t="e">
        <f ca="1">IRR($E54:F54,-0.9)</f>
        <v>#NUM!</v>
      </c>
      <c r="G57" s="21">
        <f ca="1">IRR($E54:G54,-0.9)</f>
        <v>-0.61487198645483432</v>
      </c>
      <c r="H57" s="21">
        <f ca="1">IRR($E54:H54,-0.9)</f>
        <v>-0.50571661883114039</v>
      </c>
      <c r="I57" s="21">
        <f ca="1">IRR($E54:I54,-0.9)</f>
        <v>-0.36927116045517533</v>
      </c>
      <c r="J57" s="21">
        <f ca="1">IRR($E54:J54,-0.9)</f>
        <v>-0.29115398847503277</v>
      </c>
      <c r="K57" s="21">
        <f ca="1">IRR($E54:K54,-0.9)</f>
        <v>-0.20393213531368659</v>
      </c>
      <c r="L57" s="21">
        <f ca="1">IRR($E54:L54,-0.9)</f>
        <v>-0.19103065809761771</v>
      </c>
      <c r="M57" s="21">
        <f ca="1">IRR($E54:M54,-0.9)</f>
        <v>-0.13600503036426287</v>
      </c>
      <c r="N57" s="21">
        <f ca="1">IRR($E54:N54,-0.9)</f>
        <v>-9.3437867374142294E-2</v>
      </c>
      <c r="O57" s="21">
        <f ca="1">IRR($E54:O54,-0.9)</f>
        <v>-4.455226288785117E-2</v>
      </c>
      <c r="P57" s="21">
        <f ca="1">IRR($E54:P54,-0.9)</f>
        <v>-2.0851020463115351E-4</v>
      </c>
      <c r="Q57" s="21">
        <f ca="1">IRR($E54:Q54,-0.9)</f>
        <v>3.0091260267421847E-2</v>
      </c>
      <c r="R57" s="21">
        <f ca="1">IRR($E54:R54,-0.9)</f>
        <v>4.9221217692035274E-2</v>
      </c>
      <c r="S57" s="21">
        <f ca="1">IRR($E54:S54,-0.9)</f>
        <v>5.9102840046243429E-2</v>
      </c>
      <c r="T57" s="21">
        <f ca="1">IRR($E54:T54,-0.9)</f>
        <v>6.7176848716265003E-2</v>
      </c>
      <c r="U57" s="21">
        <f ca="1">IRR($E54:U54,-0.9)</f>
        <v>7.5391865598900432E-2</v>
      </c>
      <c r="V57" s="21">
        <f ca="1">IRR($E54:V54,-0.9)</f>
        <v>8.4123857114367706E-2</v>
      </c>
      <c r="W57" s="21">
        <f ca="1">IRR($E54:W54,-0.9)</f>
        <v>9.4090865404102289E-2</v>
      </c>
      <c r="X57" s="21">
        <f ca="1">IRR($E54:X54,-0.9)</f>
        <v>0.10186699541623881</v>
      </c>
      <c r="Y57" s="21">
        <f ca="1">IRR($E54:Y54,-0.9)</f>
        <v>0.10809262549111116</v>
      </c>
      <c r="Z57" s="21">
        <f ca="1">IRR($E54:Z54,-0.9)</f>
        <v>0.15550470415492548</v>
      </c>
      <c r="AA57" s="416"/>
      <c r="AB57" s="631">
        <f ca="1">IRR($E54:Z54)</f>
        <v>0.15550470415492412</v>
      </c>
    </row>
    <row r="58" spans="1:28">
      <c r="A58" s="449"/>
      <c r="B58" s="8"/>
      <c r="C58" s="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416"/>
      <c r="AB58" s="416"/>
    </row>
    <row r="59" spans="1:28">
      <c r="A59" s="449"/>
      <c r="B59" s="266" t="str">
        <f ca="1">CONCATENATE("Enron NPV w/ Bridge Loan @ ",TEXT(Disc,"0.0%"))</f>
        <v>Enron NPV w/ Bridge Loan @ 19.0%</v>
      </c>
      <c r="C59" s="441">
        <f ca="1">AB54</f>
        <v>-4395.8914403922072</v>
      </c>
      <c r="D59" s="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416"/>
      <c r="AB59" s="416"/>
    </row>
    <row r="60" spans="1:28" s="8" customFormat="1">
      <c r="A60" s="449"/>
      <c r="B60" s="279" t="s">
        <v>650</v>
      </c>
      <c r="C60" s="672">
        <f ca="1">AB57</f>
        <v>0.15550470415492412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416"/>
      <c r="AB60" s="416"/>
    </row>
    <row r="61" spans="1:28">
      <c r="A61" s="452"/>
      <c r="B61" s="435" t="s">
        <v>652</v>
      </c>
      <c r="C61" s="443">
        <f ca="1">MAX(E61:Z61)</f>
        <v>0</v>
      </c>
      <c r="D61" s="131"/>
      <c r="E61" s="131">
        <f t="shared" ref="E61:Z61" ca="1" si="19">IF(AND(D56&lt;0,E56&gt;0),E$6,0)</f>
        <v>0</v>
      </c>
      <c r="F61" s="131">
        <f t="shared" ca="1" si="19"/>
        <v>0</v>
      </c>
      <c r="G61" s="131">
        <f t="shared" ca="1" si="19"/>
        <v>0</v>
      </c>
      <c r="H61" s="131">
        <f t="shared" ca="1" si="19"/>
        <v>0</v>
      </c>
      <c r="I61" s="131">
        <f t="shared" ca="1" si="19"/>
        <v>0</v>
      </c>
      <c r="J61" s="131">
        <f t="shared" ca="1" si="19"/>
        <v>0</v>
      </c>
      <c r="K61" s="131">
        <f t="shared" ca="1" si="19"/>
        <v>0</v>
      </c>
      <c r="L61" s="131">
        <f t="shared" ca="1" si="19"/>
        <v>0</v>
      </c>
      <c r="M61" s="131">
        <f t="shared" ca="1" si="19"/>
        <v>0</v>
      </c>
      <c r="N61" s="131">
        <f t="shared" ca="1" si="19"/>
        <v>0</v>
      </c>
      <c r="O61" s="131">
        <f t="shared" ca="1" si="19"/>
        <v>0</v>
      </c>
      <c r="P61" s="131">
        <f t="shared" ca="1" si="19"/>
        <v>0</v>
      </c>
      <c r="Q61" s="131">
        <f t="shared" ca="1" si="19"/>
        <v>0</v>
      </c>
      <c r="R61" s="131">
        <f t="shared" ca="1" si="19"/>
        <v>0</v>
      </c>
      <c r="S61" s="131">
        <f t="shared" ca="1" si="19"/>
        <v>0</v>
      </c>
      <c r="T61" s="131">
        <f t="shared" ca="1" si="19"/>
        <v>0</v>
      </c>
      <c r="U61" s="131">
        <f t="shared" ca="1" si="19"/>
        <v>0</v>
      </c>
      <c r="V61" s="131">
        <f t="shared" ca="1" si="19"/>
        <v>0</v>
      </c>
      <c r="W61" s="131">
        <f t="shared" ca="1" si="19"/>
        <v>0</v>
      </c>
      <c r="X61" s="131">
        <f t="shared" ca="1" si="19"/>
        <v>0</v>
      </c>
      <c r="Y61" s="131">
        <f t="shared" ca="1" si="19"/>
        <v>0</v>
      </c>
      <c r="Z61" s="131">
        <f t="shared" ca="1" si="19"/>
        <v>0</v>
      </c>
      <c r="AA61" s="459"/>
      <c r="AB61" s="459"/>
    </row>
    <row r="62" spans="1:28">
      <c r="A62" s="152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417"/>
      <c r="AB62" s="1191"/>
    </row>
    <row r="63" spans="1:28">
      <c r="A63" s="454"/>
      <c r="B63" s="8" t="s">
        <v>1129</v>
      </c>
      <c r="C63" s="8"/>
      <c r="D63" s="128"/>
      <c r="E63" s="53">
        <f ca="1">E54</f>
        <v>-2535.1591722240005</v>
      </c>
      <c r="F63" s="53">
        <f t="shared" ref="F63:Z63" ca="1" si="20">F54</f>
        <v>-19780.862997782784</v>
      </c>
      <c r="G63" s="53">
        <f t="shared" ca="1" si="20"/>
        <v>7994.1883741222182</v>
      </c>
      <c r="H63" s="53">
        <f t="shared" ca="1" si="20"/>
        <v>1187.5373609504591</v>
      </c>
      <c r="I63" s="53">
        <f t="shared" ca="1" si="20"/>
        <v>1435.2926060914956</v>
      </c>
      <c r="J63" s="53">
        <f t="shared" ca="1" si="20"/>
        <v>986.37121025816555</v>
      </c>
      <c r="K63" s="53">
        <f t="shared" ca="1" si="20"/>
        <v>1464.8620993308341</v>
      </c>
      <c r="L63" s="53">
        <f t="shared" ca="1" si="20"/>
        <v>250.28310888748999</v>
      </c>
      <c r="M63" s="53">
        <f t="shared" ca="1" si="20"/>
        <v>1253.6150448529199</v>
      </c>
      <c r="N63" s="53">
        <f t="shared" ca="1" si="20"/>
        <v>1412.0924378053905</v>
      </c>
      <c r="O63" s="53">
        <f t="shared" ca="1" si="20"/>
        <v>2507.6575733768104</v>
      </c>
      <c r="P63" s="53">
        <f t="shared" ca="1" si="20"/>
        <v>3801.0339889146144</v>
      </c>
      <c r="Q63" s="53">
        <f t="shared" ca="1" si="20"/>
        <v>4117.8473876278376</v>
      </c>
      <c r="R63" s="53">
        <f t="shared" ca="1" si="20"/>
        <v>3709.8013426798402</v>
      </c>
      <c r="S63" s="53">
        <f t="shared" ca="1" si="20"/>
        <v>2471.4090117947035</v>
      </c>
      <c r="T63" s="53">
        <f t="shared" ca="1" si="20"/>
        <v>2465.7012651476521</v>
      </c>
      <c r="U63" s="53">
        <f t="shared" ca="1" si="20"/>
        <v>3083.4181664756716</v>
      </c>
      <c r="V63" s="53">
        <f t="shared" ca="1" si="20"/>
        <v>4127.5014287393096</v>
      </c>
      <c r="W63" s="53">
        <f t="shared" ca="1" si="20"/>
        <v>6147.2505890884186</v>
      </c>
      <c r="X63" s="53">
        <f t="shared" ca="1" si="20"/>
        <v>6298.7206836602627</v>
      </c>
      <c r="Y63" s="53">
        <f t="shared" ca="1" si="20"/>
        <v>6467.6060409871179</v>
      </c>
      <c r="Z63" s="53">
        <f t="shared" ca="1" si="20"/>
        <v>103642.33588925695</v>
      </c>
      <c r="AA63" s="420">
        <f ca="1">SUM(D63:Z63)</f>
        <v>142508.50344004139</v>
      </c>
      <c r="AB63" s="420">
        <f ca="1">$E63+NPV(Disc,$F63:Z63)</f>
        <v>-4395.8914403922008</v>
      </c>
    </row>
    <row r="64" spans="1:28" s="1323" customFormat="1">
      <c r="A64" s="1318">
        <f>A48</f>
        <v>0.29999999999999993</v>
      </c>
      <c r="B64" s="1319" t="s">
        <v>1130</v>
      </c>
      <c r="C64" s="1319"/>
      <c r="D64" s="1346"/>
      <c r="E64" s="1321">
        <f ca="1">IF(E$7&lt;YEAR(Startconst),0,-HLOOKUP(DATE(E$7,12,31),Idc_Table,IDC!$AP$46)*$A64-SUM($D64:D64))</f>
        <v>0</v>
      </c>
      <c r="F64" s="1321">
        <f ca="1">IF(F$7&lt;YEAR(Startconst),0,-HLOOKUP(DATE(F$7,12,31),Idc_Table,IDC!$AP$46)*$A64-SUM($D64:E64))</f>
        <v>0</v>
      </c>
      <c r="G64" s="1321">
        <f ca="1">IF(G$7&lt;YEAR(Startconst),0,-HLOOKUP(DATE(G$7,12,31),Idc_Table,IDC!$AP$46)*$A64-SUM($D64:F64))</f>
        <v>-728.53413947890635</v>
      </c>
      <c r="H64" s="1321">
        <f ca="1">IF(H$7&lt;YEAR(Startconst),0,-HLOOKUP(DATE(H$7,12,31),Idc_Table,IDC!$AP$46)*$A64-SUM($D64:G64))</f>
        <v>-13.556959376798432</v>
      </c>
      <c r="I64" s="1321">
        <f ca="1">IF(I$7&lt;YEAR(Startconst),0,-HLOOKUP(DATE(I$7,12,31),Idc_Table,IDC!$AP$46)*$A64-SUM($D64:H64))</f>
        <v>0</v>
      </c>
      <c r="J64" s="1321">
        <f ca="1">IF(J$7&lt;YEAR(Startconst),0,-HLOOKUP(DATE(J$7,12,31),Idc_Table,IDC!$AP$46)*$A64-SUM($D64:I64))</f>
        <v>0</v>
      </c>
      <c r="K64" s="1321">
        <f ca="1">IF(K$7&lt;YEAR(Startconst),0,-HLOOKUP(DATE(K$7,12,31),Idc_Table,IDC!$AP$46)*$A64-SUM($D64:J64))</f>
        <v>0</v>
      </c>
      <c r="L64" s="1321">
        <f ca="1">IF(L$7&lt;YEAR(Startconst),0,-HLOOKUP(DATE(L$7,12,31),Idc_Table,IDC!$AP$46)*$A64-SUM($D64:K64))</f>
        <v>0</v>
      </c>
      <c r="M64" s="1321">
        <f ca="1">IF(M$7&lt;YEAR(Startconst),0,-HLOOKUP(DATE(M$7,12,31),Idc_Table,IDC!$AP$46)*$A64-SUM($D64:L64))</f>
        <v>0</v>
      </c>
      <c r="N64" s="1321">
        <f ca="1">IF(N$7&lt;YEAR(Startconst),0,-HLOOKUP(DATE(N$7,12,31),Idc_Table,IDC!$AP$46)*$A64-SUM($D64:M64))</f>
        <v>0</v>
      </c>
      <c r="O64" s="1321">
        <f ca="1">IF(O$7&lt;YEAR(Startconst),0,-HLOOKUP(DATE(O$7,12,31),Idc_Table,IDC!$AP$46)*$A64-SUM($D64:N64))</f>
        <v>0</v>
      </c>
      <c r="P64" s="1321">
        <f ca="1">IF(P$7&lt;YEAR(Startconst),0,-HLOOKUP(DATE(P$7,12,31),Idc_Table,IDC!$AP$46)*$A64-SUM($D64:O64))</f>
        <v>0</v>
      </c>
      <c r="Q64" s="1321">
        <f ca="1">IF(Q$7&lt;YEAR(Startconst),0,-HLOOKUP(DATE(Q$7,12,31),Idc_Table,IDC!$AP$46)*$A64-SUM($D64:P64))</f>
        <v>0</v>
      </c>
      <c r="R64" s="1321">
        <f ca="1">IF(R$7&lt;YEAR(Startconst),0,-HLOOKUP(DATE(R$7,12,31),Idc_Table,IDC!$AP$46)*$A64-SUM($D64:Q64))</f>
        <v>0</v>
      </c>
      <c r="S64" s="1321">
        <f ca="1">IF(S$7&lt;YEAR(Startconst),0,-HLOOKUP(DATE(S$7,12,31),Idc_Table,IDC!$AP$46)*$A64-SUM($D64:R64))</f>
        <v>0</v>
      </c>
      <c r="T64" s="1321">
        <f ca="1">IF(T$7&lt;YEAR(Startconst),0,-HLOOKUP(DATE(T$7,12,31),Idc_Table,IDC!$AP$46)*$A64-SUM($D64:S64))</f>
        <v>0</v>
      </c>
      <c r="U64" s="1321">
        <f ca="1">IF(U$7&lt;YEAR(Startconst),0,-HLOOKUP(DATE(U$7,12,31),Idc_Table,IDC!$AP$46)*$A64-SUM($D64:T64))</f>
        <v>0</v>
      </c>
      <c r="V64" s="1321">
        <f ca="1">IF(V$7&lt;YEAR(Startconst),0,-HLOOKUP(DATE(V$7,12,31),Idc_Table,IDC!$AP$46)*$A64-SUM($D64:U64))</f>
        <v>0</v>
      </c>
      <c r="W64" s="1321">
        <f ca="1">IF(W$7&lt;YEAR(Startconst),0,-HLOOKUP(DATE(W$7,12,31),Idc_Table,IDC!$AP$46)*$A64-SUM($D64:V64))</f>
        <v>0</v>
      </c>
      <c r="X64" s="1321">
        <f ca="1">IF(X$7&lt;YEAR(Startconst),0,-HLOOKUP(DATE(X$7,12,31),Idc_Table,IDC!$AP$46)*$A64-SUM($D64:W64))</f>
        <v>0</v>
      </c>
      <c r="Y64" s="1321">
        <f ca="1">IF(Y$7&lt;YEAR(Startconst),0,-HLOOKUP(DATE(Y$7,12,31),Idc_Table,IDC!$AP$46)*$A64-SUM($D64:X64))</f>
        <v>0</v>
      </c>
      <c r="Z64" s="1321">
        <f ca="1">IF(Z$7&lt;YEAR(Startconst),0,-HLOOKUP(DATE(Z$7,12,31),Idc_Table,IDC!$AP$46)*$A64-SUM($D64:Y64))</f>
        <v>0</v>
      </c>
      <c r="AA64" s="1322">
        <f t="shared" ref="AA64:AA70" ca="1" si="21">SUM(D64:Z64)</f>
        <v>-742.09109885570479</v>
      </c>
      <c r="AB64" s="1322">
        <f ca="1">$E64+NPV(Disc,$F64:Z64)</f>
        <v>-522.51009273112925</v>
      </c>
    </row>
    <row r="65" spans="1:28" s="1336" customFormat="1">
      <c r="A65" s="1330"/>
      <c r="B65" s="1331" t="s">
        <v>1131</v>
      </c>
      <c r="C65" s="1331"/>
      <c r="D65" s="1347"/>
      <c r="E65" s="1348">
        <f ca="1">IF(E$7&lt;YEAR(Startops1),0,-HLOOKUP(E$7,CF_Table,CF!$AB$69)*$A$64)</f>
        <v>0</v>
      </c>
      <c r="F65" s="1338">
        <f ca="1">IF(F$7&lt;YEAR(Startops1),0,-HLOOKUP(F$7,CF_Table,CF!$AB$69)*$A$64)</f>
        <v>0</v>
      </c>
      <c r="G65" s="1338">
        <f ca="1">IF(G$7&lt;YEAR(Startops1),0,-HLOOKUP(G$7,CF_Table,CF!$AB$69)*$A$64)</f>
        <v>0</v>
      </c>
      <c r="H65" s="1338">
        <f ca="1">IF(H$7&lt;YEAR(Startops1),0,-HLOOKUP(H$7,CF_Table,CF!$AB$69)*$A$64)</f>
        <v>0</v>
      </c>
      <c r="I65" s="1338">
        <f ca="1">IF(I$7&lt;YEAR(Startops1),0,-HLOOKUP(I$7,CF_Table,CF!$AB$69)*$A$64)</f>
        <v>33.239994525481791</v>
      </c>
      <c r="J65" s="1338">
        <f ca="1">IF(J$7&lt;YEAR(Startops1),0,-HLOOKUP(J$7,CF_Table,CF!$AB$69)*$A$64)</f>
        <v>37.701632790664561</v>
      </c>
      <c r="K65" s="1338">
        <f ca="1">IF(K$7&lt;YEAR(Startops1),0,-HLOOKUP(K$7,CF_Table,CF!$AB$69)*$A$64)</f>
        <v>42.762134451991528</v>
      </c>
      <c r="L65" s="1338">
        <f ca="1">IF(L$7&lt;YEAR(Startops1),0,-HLOOKUP(L$7,CF_Table,CF!$AB$69)*$A$64)</f>
        <v>48.501881948810073</v>
      </c>
      <c r="M65" s="1338">
        <f ca="1">IF(M$7&lt;YEAR(Startops1),0,-HLOOKUP(M$7,CF_Table,CF!$AB$69)*$A$64)</f>
        <v>55.012047053389075</v>
      </c>
      <c r="N65" s="1338">
        <f ca="1">IF(N$7&lt;YEAR(Startops1),0,-HLOOKUP(N$7,CF_Table,CF!$AB$69)*$A$64)</f>
        <v>62.396039069130211</v>
      </c>
      <c r="O65" s="1338">
        <f ca="1">IF(O$7&lt;YEAR(Startops1),0,-HLOOKUP(O$7,CF_Table,CF!$AB$69)*$A$64)</f>
        <v>70.771147413184181</v>
      </c>
      <c r="P65" s="1338">
        <f ca="1">IF(P$7&lt;YEAR(Startops1),0,-HLOOKUP(P$7,CF_Table,CF!$AB$69)*$A$64)</f>
        <v>80.270404674718804</v>
      </c>
      <c r="Q65" s="1338">
        <f ca="1">IF(Q$7&lt;YEAR(Startops1),0,-HLOOKUP(Q$7,CF_Table,CF!$AB$69)*$A$64)</f>
        <v>91.044699742182871</v>
      </c>
      <c r="R65" s="1338">
        <f ca="1">IF(R$7&lt;YEAR(Startops1),0,-HLOOKUP(R$7,CF_Table,CF!$AB$69)*$A$64)</f>
        <v>103.26517456507732</v>
      </c>
      <c r="S65" s="1338">
        <f ca="1">IF(S$7&lt;YEAR(Startops1),0,-HLOOKUP(S$7,CF_Table,CF!$AB$69)*$A$64)</f>
        <v>117.12594262107454</v>
      </c>
      <c r="T65" s="1338">
        <f ca="1">IF(T$7&lt;YEAR(Startops1),0,-HLOOKUP(T$7,CF_Table,CF!$AB$69)*$A$64)</f>
        <v>0</v>
      </c>
      <c r="U65" s="1338">
        <f ca="1">IF(U$7&lt;YEAR(Startops1),0,-HLOOKUP(U$7,CF_Table,CF!$AB$69)*$A$64)</f>
        <v>0</v>
      </c>
      <c r="V65" s="1338">
        <f ca="1">IF(V$7&lt;YEAR(Startops1),0,-HLOOKUP(V$7,CF_Table,CF!$AB$69)*$A$64)</f>
        <v>0</v>
      </c>
      <c r="W65" s="1338">
        <f ca="1">IF(W$7&lt;YEAR(Startops1),0,-HLOOKUP(W$7,CF_Table,CF!$AB$69)*$A$64)</f>
        <v>0</v>
      </c>
      <c r="X65" s="1338">
        <f ca="1">IF(X$7&lt;YEAR(Startops1),0,-HLOOKUP(X$7,CF_Table,CF!$AB$69)*$A$64)</f>
        <v>0</v>
      </c>
      <c r="Y65" s="1338">
        <f ca="1">IF(Y$7&lt;YEAR(Startops1),0,-HLOOKUP(Y$7,CF_Table,CF!$AB$69)*$A$64)</f>
        <v>0</v>
      </c>
      <c r="Z65" s="1338">
        <f ca="1">IF(Z$7&lt;YEAR(Startops1),0,-HLOOKUP(Z$7,CF_Table,CF!$AB$69)*$A$64)</f>
        <v>0</v>
      </c>
      <c r="AA65" s="1335">
        <f t="shared" ca="1" si="21"/>
        <v>742.0910988557049</v>
      </c>
      <c r="AB65" s="1335">
        <f ca="1">$E65+NPV(Disc,$F65:Z65)</f>
        <v>145.08390234666595</v>
      </c>
    </row>
    <row r="66" spans="1:28" s="1336" customFormat="1">
      <c r="A66" s="1330"/>
      <c r="B66" s="1331" t="s">
        <v>1132</v>
      </c>
      <c r="C66" s="1337" t="s">
        <v>354</v>
      </c>
      <c r="D66" s="1347"/>
      <c r="E66" s="1348">
        <f ca="1">IF(E$7&lt;YEAR(Startops1),0,-HLOOKUP(E$7,CF_Table,CF!$AB$51)*$A$64)</f>
        <v>0</v>
      </c>
      <c r="F66" s="1338">
        <f ca="1">IF(F$7&lt;YEAR(Startops1),0,-HLOOKUP(F$7,CF_Table,CF!$AB$51)*$A$64)</f>
        <v>0</v>
      </c>
      <c r="G66" s="1338">
        <f ca="1">IF(G$7&lt;YEAR(Startops1),0,-HLOOKUP(G$7,CF_Table,CF!$AB$51)*$A$64)</f>
        <v>0</v>
      </c>
      <c r="H66" s="1338">
        <f ca="1">IF(H$7&lt;YEAR(Startops1),0,-HLOOKUP(H$7,CF_Table,CF!$AB$51)*$A$64)</f>
        <v>40.196601188017354</v>
      </c>
      <c r="I66" s="1338">
        <f ca="1">IF(I$7&lt;YEAR(Startops1),0,-HLOOKUP(I$7,CF_Table,CF!$AB$51)*$A$64)</f>
        <v>95.425547624047297</v>
      </c>
      <c r="J66" s="1338">
        <f ca="1">IF(J$7&lt;YEAR(Startops1),0,-HLOOKUP(J$7,CF_Table,CF!$AB$51)*$A$64)</f>
        <v>90.963909358864512</v>
      </c>
      <c r="K66" s="1338">
        <f ca="1">IF(K$7&lt;YEAR(Startops1),0,-HLOOKUP(K$7,CF_Table,CF!$AB$51)*$A$64)</f>
        <v>85.90340769753756</v>
      </c>
      <c r="L66" s="1338">
        <f ca="1">IF(L$7&lt;YEAR(Startops1),0,-HLOOKUP(L$7,CF_Table,CF!$AB$51)*$A$64)</f>
        <v>80.163660200718994</v>
      </c>
      <c r="M66" s="1338">
        <f ca="1">IF(M$7&lt;YEAR(Startops1),0,-HLOOKUP(M$7,CF_Table,CF!$AB$51)*$A$64)</f>
        <v>73.653495096139977</v>
      </c>
      <c r="N66" s="1338">
        <f ca="1">IF(N$7&lt;YEAR(Startops1),0,-HLOOKUP(N$7,CF_Table,CF!$AB$51)*$A$64)</f>
        <v>66.26950308039882</v>
      </c>
      <c r="O66" s="1338">
        <f ca="1">IF(O$7&lt;YEAR(Startops1),0,-HLOOKUP(O$7,CF_Table,CF!$AB$51)*$A$64)</f>
        <v>57.894394736344815</v>
      </c>
      <c r="P66" s="1338">
        <f ca="1">IF(P$7&lt;YEAR(Startops1),0,-HLOOKUP(P$7,CF_Table,CF!$AB$51)*$A$64)</f>
        <v>48.39513747481017</v>
      </c>
      <c r="Q66" s="1338">
        <f ca="1">IF(Q$7&lt;YEAR(Startops1),0,-HLOOKUP(Q$7,CF_Table,CF!$AB$51)*$A$64)</f>
        <v>37.620842407346039</v>
      </c>
      <c r="R66" s="1338">
        <f ca="1">IF(R$7&lt;YEAR(Startops1),0,-HLOOKUP(R$7,CF_Table,CF!$AB$51)*$A$64)</f>
        <v>25.400367584451548</v>
      </c>
      <c r="S66" s="1338">
        <f ca="1">IF(S$7&lt;YEAR(Startops1),0,-HLOOKUP(S$7,CF_Table,CF!$AB$51)*$A$64)</f>
        <v>11.539599528454046</v>
      </c>
      <c r="T66" s="1338">
        <f ca="1">IF(T$7&lt;YEAR(Startops1),0,-HLOOKUP(T$7,CF_Table,CF!$AB$51)*$A$64)</f>
        <v>0</v>
      </c>
      <c r="U66" s="1338">
        <f ca="1">IF(U$7&lt;YEAR(Startops1),0,-HLOOKUP(U$7,CF_Table,CF!$AB$51)*$A$64)</f>
        <v>0</v>
      </c>
      <c r="V66" s="1338">
        <f ca="1">IF(V$7&lt;YEAR(Startops1),0,-HLOOKUP(V$7,CF_Table,CF!$AB$51)*$A$64)</f>
        <v>0</v>
      </c>
      <c r="W66" s="1338">
        <f ca="1">IF(W$7&lt;YEAR(Startops1),0,-HLOOKUP(W$7,CF_Table,CF!$AB$51)*$A$64)</f>
        <v>0</v>
      </c>
      <c r="X66" s="1338">
        <f ca="1">IF(X$7&lt;YEAR(Startops1),0,-HLOOKUP(X$7,CF_Table,CF!$AB$51)*$A$64)</f>
        <v>0</v>
      </c>
      <c r="Y66" s="1338">
        <f ca="1">IF(Y$7&lt;YEAR(Startops1),0,-HLOOKUP(Y$7,CF_Table,CF!$AB$51)*$A$64)</f>
        <v>0</v>
      </c>
      <c r="Z66" s="1338">
        <f ca="1">IF(Z$7&lt;YEAR(Startops1),0,-HLOOKUP(Z$7,CF_Table,CF!$AB$51)*$A$64)</f>
        <v>0</v>
      </c>
      <c r="AA66" s="1335">
        <f t="shared" ca="1" si="21"/>
        <v>713.4264659771311</v>
      </c>
      <c r="AB66" s="1335">
        <f ca="1">$E66+NPV(Disc,$F66:Z66)</f>
        <v>221.32338720716666</v>
      </c>
    </row>
    <row r="67" spans="1:28" s="1336" customFormat="1">
      <c r="A67" s="1330"/>
      <c r="B67" s="1331" t="s">
        <v>1163</v>
      </c>
      <c r="C67" s="1337" t="s">
        <v>354</v>
      </c>
      <c r="D67" s="1347"/>
      <c r="E67" s="1348">
        <f ca="1">Wh_Int*-E66</f>
        <v>0</v>
      </c>
      <c r="F67" s="1348">
        <f t="shared" ref="F67:Z67" ca="1" si="22">Wh_Int*-F66</f>
        <v>0</v>
      </c>
      <c r="G67" s="1348">
        <f t="shared" ca="1" si="22"/>
        <v>0</v>
      </c>
      <c r="H67" s="1348">
        <f t="shared" ca="1" si="22"/>
        <v>-5.0245751485021692</v>
      </c>
      <c r="I67" s="1348">
        <f t="shared" ca="1" si="22"/>
        <v>-11.928193453005912</v>
      </c>
      <c r="J67" s="1348">
        <f t="shared" ca="1" si="22"/>
        <v>-11.370488669858064</v>
      </c>
      <c r="K67" s="1348">
        <f t="shared" ca="1" si="22"/>
        <v>-10.737925962192195</v>
      </c>
      <c r="L67" s="1348">
        <f t="shared" ca="1" si="22"/>
        <v>-10.020457525089874</v>
      </c>
      <c r="M67" s="1348">
        <f t="shared" ca="1" si="22"/>
        <v>-9.2066868870174972</v>
      </c>
      <c r="N67" s="1348">
        <f t="shared" ca="1" si="22"/>
        <v>-8.2836878850498525</v>
      </c>
      <c r="O67" s="1348">
        <f t="shared" ca="1" si="22"/>
        <v>-7.2367993420431018</v>
      </c>
      <c r="P67" s="1348">
        <f t="shared" ca="1" si="22"/>
        <v>-6.0493921843512712</v>
      </c>
      <c r="Q67" s="1348">
        <f t="shared" ca="1" si="22"/>
        <v>-4.7026053009182549</v>
      </c>
      <c r="R67" s="1348">
        <f t="shared" ca="1" si="22"/>
        <v>-3.1750459480564435</v>
      </c>
      <c r="S67" s="1348">
        <f t="shared" ca="1" si="22"/>
        <v>-1.4424499410567557</v>
      </c>
      <c r="T67" s="1348">
        <f t="shared" ca="1" si="22"/>
        <v>0</v>
      </c>
      <c r="U67" s="1348">
        <f t="shared" ca="1" si="22"/>
        <v>0</v>
      </c>
      <c r="V67" s="1348">
        <f t="shared" ca="1" si="22"/>
        <v>0</v>
      </c>
      <c r="W67" s="1348">
        <f t="shared" ca="1" si="22"/>
        <v>0</v>
      </c>
      <c r="X67" s="1348">
        <f t="shared" ca="1" si="22"/>
        <v>0</v>
      </c>
      <c r="Y67" s="1348">
        <f t="shared" ca="1" si="22"/>
        <v>0</v>
      </c>
      <c r="Z67" s="1348">
        <f t="shared" ca="1" si="22"/>
        <v>0</v>
      </c>
      <c r="AA67" s="1335">
        <f t="shared" ca="1" si="21"/>
        <v>-89.178308247141388</v>
      </c>
      <c r="AB67" s="1335">
        <f ca="1">$E67+NPV(Disc,$F67:Z67)</f>
        <v>-27.665423400895833</v>
      </c>
    </row>
    <row r="68" spans="1:28" s="1336" customFormat="1">
      <c r="A68" s="1330"/>
      <c r="B68" s="1331" t="s">
        <v>1133</v>
      </c>
      <c r="C68" s="1337" t="s">
        <v>354</v>
      </c>
      <c r="D68" s="1347"/>
      <c r="E68" s="1338">
        <f ca="1">-PLRisk!E54</f>
        <v>0</v>
      </c>
      <c r="F68" s="1338">
        <f ca="1">-PLRisk!F54</f>
        <v>0</v>
      </c>
      <c r="G68" s="1338">
        <f ca="1">-PLRisk!G54</f>
        <v>-4.856894263192709</v>
      </c>
      <c r="H68" s="1338">
        <f ca="1">-PLRisk!H54</f>
        <v>-7.3757211239677201</v>
      </c>
      <c r="I68" s="1338">
        <f ca="1">-PLRisk!I54</f>
        <v>-7.3101110068054425</v>
      </c>
      <c r="J68" s="1338">
        <f ca="1">-PLRisk!J54</f>
        <v>-6.9628389340000147</v>
      </c>
      <c r="K68" s="1338">
        <f ca="1">-PLRisk!K54</f>
        <v>-6.5689542672222796</v>
      </c>
      <c r="L68" s="1338">
        <f ca="1">-PLRisk!L54</f>
        <v>-6.1222004310463021</v>
      </c>
      <c r="M68" s="1338">
        <f ca="1">-PLRisk!M54</f>
        <v>-5.6154810612096062</v>
      </c>
      <c r="N68" s="1338">
        <f ca="1">-PLRisk!N54</f>
        <v>-5.0407472839565779</v>
      </c>
      <c r="O68" s="1338">
        <f ca="1">-PLRisk!O54</f>
        <v>-4.3888698654517633</v>
      </c>
      <c r="P68" s="1338">
        <f ca="1">-PLRisk!P54</f>
        <v>-3.6494942004481388</v>
      </c>
      <c r="Q68" s="1338">
        <f ca="1">-PLRisk!Q54</f>
        <v>-2.8108758368094033</v>
      </c>
      <c r="R68" s="1338">
        <f ca="1">-PLRisk!R54</f>
        <v>-1.8596939233112599</v>
      </c>
      <c r="S68" s="1338">
        <f ca="1">-PLRisk!S54</f>
        <v>-0.78083961747382968</v>
      </c>
      <c r="T68" s="1338">
        <f ca="1">-PLRisk!T54</f>
        <v>0</v>
      </c>
      <c r="U68" s="1338">
        <f ca="1">-PLRisk!U54</f>
        <v>0</v>
      </c>
      <c r="V68" s="1338">
        <f ca="1">-PLRisk!V54</f>
        <v>0</v>
      </c>
      <c r="W68" s="1338">
        <f ca="1">-PLRisk!W54</f>
        <v>0</v>
      </c>
      <c r="X68" s="1338">
        <f ca="1">-PLRisk!X54</f>
        <v>0</v>
      </c>
      <c r="Y68" s="1338">
        <f ca="1">-PLRisk!Y54</f>
        <v>0</v>
      </c>
      <c r="Z68" s="1338">
        <f ca="1">-PLRisk!Z54</f>
        <v>0</v>
      </c>
      <c r="AA68" s="1335">
        <f t="shared" ca="1" si="21"/>
        <v>-63.342721814895043</v>
      </c>
      <c r="AB68" s="1335">
        <f ca="1">$E68+NPV(Disc,$F68:Z68)</f>
        <v>-22.864323946409709</v>
      </c>
    </row>
    <row r="69" spans="1:28" s="1336" customFormat="1">
      <c r="A69" s="1330"/>
      <c r="B69" s="1331" t="s">
        <v>349</v>
      </c>
      <c r="C69" s="1331"/>
      <c r="D69" s="1347"/>
      <c r="E69" s="1340">
        <f t="shared" ref="E69:Z69" ca="1" si="23">-USTax*SUM(E66:E68)</f>
        <v>0</v>
      </c>
      <c r="F69" s="1340">
        <f t="shared" ca="1" si="23"/>
        <v>0</v>
      </c>
      <c r="G69" s="1340">
        <f t="shared" ca="1" si="23"/>
        <v>1.7970508773813023</v>
      </c>
      <c r="H69" s="1340">
        <f t="shared" ca="1" si="23"/>
        <v>-10.284632818752563</v>
      </c>
      <c r="I69" s="1340">
        <f t="shared" ca="1" si="23"/>
        <v>-28.189279970767295</v>
      </c>
      <c r="J69" s="1340">
        <f t="shared" ca="1" si="23"/>
        <v>-26.87331524935238</v>
      </c>
      <c r="K69" s="1340">
        <f t="shared" ca="1" si="23"/>
        <v>-25.38071516320554</v>
      </c>
      <c r="L69" s="1340">
        <f t="shared" ca="1" si="23"/>
        <v>-23.687770830495637</v>
      </c>
      <c r="M69" s="1340">
        <f t="shared" ca="1" si="23"/>
        <v>-21.767591044727762</v>
      </c>
      <c r="N69" s="1340">
        <f t="shared" ca="1" si="23"/>
        <v>-19.589675127215184</v>
      </c>
      <c r="O69" s="1340">
        <f t="shared" ca="1" si="23"/>
        <v>-17.119428445674483</v>
      </c>
      <c r="P69" s="1340">
        <f t="shared" ca="1" si="23"/>
        <v>-14.317612903303981</v>
      </c>
      <c r="Q69" s="1340">
        <f t="shared" ca="1" si="23"/>
        <v>-11.139723669758801</v>
      </c>
      <c r="R69" s="1340">
        <f t="shared" ca="1" si="23"/>
        <v>-7.5352822538410233</v>
      </c>
      <c r="S69" s="1340">
        <f t="shared" ca="1" si="23"/>
        <v>-3.4470346888716801</v>
      </c>
      <c r="T69" s="1340">
        <f t="shared" ca="1" si="23"/>
        <v>0</v>
      </c>
      <c r="U69" s="1340">
        <f t="shared" ca="1" si="23"/>
        <v>0</v>
      </c>
      <c r="V69" s="1340">
        <f t="shared" ca="1" si="23"/>
        <v>0</v>
      </c>
      <c r="W69" s="1340">
        <f t="shared" ca="1" si="23"/>
        <v>0</v>
      </c>
      <c r="X69" s="1340">
        <f t="shared" ca="1" si="23"/>
        <v>0</v>
      </c>
      <c r="Y69" s="1340">
        <f t="shared" ca="1" si="23"/>
        <v>0</v>
      </c>
      <c r="Z69" s="1340">
        <f t="shared" ca="1" si="23"/>
        <v>0</v>
      </c>
      <c r="AA69" s="1341">
        <f t="shared" ca="1" si="21"/>
        <v>-207.535011288585</v>
      </c>
      <c r="AB69" s="1341">
        <f ca="1">$E69+NPV(Disc,$F69:Z69)</f>
        <v>-63.193646748148623</v>
      </c>
    </row>
    <row r="70" spans="1:28" s="973" customFormat="1">
      <c r="A70" s="1349"/>
      <c r="B70" s="882" t="s">
        <v>1141</v>
      </c>
      <c r="C70" s="882"/>
      <c r="D70" s="1350"/>
      <c r="E70" s="1351">
        <f ca="1">SUM(E63:E69)</f>
        <v>-2535.1591722240005</v>
      </c>
      <c r="F70" s="1351">
        <f t="shared" ref="F70:Z70" ca="1" si="24">SUM(F63:F69)</f>
        <v>-19780.862997782784</v>
      </c>
      <c r="G70" s="1351">
        <f t="shared" ca="1" si="24"/>
        <v>7262.5943912575003</v>
      </c>
      <c r="H70" s="1351">
        <f t="shared" ca="1" si="24"/>
        <v>1191.4920736704557</v>
      </c>
      <c r="I70" s="1351">
        <f t="shared" ca="1" si="24"/>
        <v>1516.530563810446</v>
      </c>
      <c r="J70" s="1351">
        <f t="shared" ca="1" si="24"/>
        <v>1069.8301095544841</v>
      </c>
      <c r="K70" s="1351">
        <f t="shared" ca="1" si="24"/>
        <v>1550.8400460877433</v>
      </c>
      <c r="L70" s="1351">
        <f t="shared" ca="1" si="24"/>
        <v>339.11822225038725</v>
      </c>
      <c r="M70" s="1351">
        <f t="shared" ca="1" si="24"/>
        <v>1345.6908280094942</v>
      </c>
      <c r="N70" s="1351">
        <f t="shared" ca="1" si="24"/>
        <v>1507.8438696586979</v>
      </c>
      <c r="O70" s="1351">
        <f t="shared" ca="1" si="24"/>
        <v>2607.5780178731702</v>
      </c>
      <c r="P70" s="1351">
        <f t="shared" ca="1" si="24"/>
        <v>3905.68303177604</v>
      </c>
      <c r="Q70" s="1351">
        <f t="shared" ca="1" si="24"/>
        <v>4227.8597249698796</v>
      </c>
      <c r="R70" s="1351">
        <f t="shared" ca="1" si="24"/>
        <v>3825.8968627041604</v>
      </c>
      <c r="S70" s="1351">
        <f t="shared" ca="1" si="24"/>
        <v>2594.40422969683</v>
      </c>
      <c r="T70" s="1351">
        <f t="shared" ca="1" si="24"/>
        <v>2465.7012651476521</v>
      </c>
      <c r="U70" s="1351">
        <f t="shared" ca="1" si="24"/>
        <v>3083.4181664756716</v>
      </c>
      <c r="V70" s="1351">
        <f t="shared" ca="1" si="24"/>
        <v>4127.5014287393096</v>
      </c>
      <c r="W70" s="1351">
        <f t="shared" ca="1" si="24"/>
        <v>6147.2505890884186</v>
      </c>
      <c r="X70" s="1351">
        <f t="shared" ca="1" si="24"/>
        <v>6298.7206836602627</v>
      </c>
      <c r="Y70" s="1351">
        <f t="shared" ca="1" si="24"/>
        <v>6467.6060409871179</v>
      </c>
      <c r="Z70" s="1351">
        <f t="shared" ca="1" si="24"/>
        <v>103642.33588925695</v>
      </c>
      <c r="AA70" s="1352">
        <f t="shared" ca="1" si="21"/>
        <v>142861.8738646679</v>
      </c>
      <c r="AB70" s="1352">
        <f ca="1">SUM(AB63:AB69)</f>
        <v>-4665.7176376649513</v>
      </c>
    </row>
    <row r="71" spans="1:28">
      <c r="A71" s="449"/>
      <c r="B71" s="8"/>
      <c r="C71" s="8"/>
      <c r="D71" s="128"/>
      <c r="E71" s="128">
        <f ca="1">E70-[4]RAROC!C35</f>
        <v>0</v>
      </c>
      <c r="F71" s="128">
        <f ca="1">F70-[4]RAROC!D35</f>
        <v>0</v>
      </c>
      <c r="G71" s="128">
        <f ca="1">G70-[4]RAROC!E35</f>
        <v>0</v>
      </c>
      <c r="H71" s="128">
        <f ca="1">H70-[4]RAROC!F35</f>
        <v>0</v>
      </c>
      <c r="I71" s="128">
        <f ca="1">I70-[4]RAROC!G35</f>
        <v>0</v>
      </c>
      <c r="J71" s="128">
        <f ca="1">J70-[4]RAROC!H35</f>
        <v>0</v>
      </c>
      <c r="K71" s="128">
        <f ca="1">K70-[4]RAROC!I35</f>
        <v>0</v>
      </c>
      <c r="L71" s="128">
        <f ca="1">L70-[4]RAROC!J35</f>
        <v>0</v>
      </c>
      <c r="M71" s="128">
        <f ca="1">M70-[4]RAROC!K35</f>
        <v>0</v>
      </c>
      <c r="N71" s="128">
        <f ca="1">N70-[4]RAROC!L35</f>
        <v>0</v>
      </c>
      <c r="O71" s="128">
        <f ca="1">O70-[4]RAROC!M35</f>
        <v>0</v>
      </c>
      <c r="P71" s="128">
        <f ca="1">P70-[4]RAROC!N35</f>
        <v>0</v>
      </c>
      <c r="Q71" s="128">
        <f ca="1">Q70-[4]RAROC!O35</f>
        <v>0</v>
      </c>
      <c r="R71" s="128">
        <f ca="1">R70-[4]RAROC!P35</f>
        <v>0</v>
      </c>
      <c r="S71" s="128">
        <f ca="1">S70-[4]RAROC!Q35</f>
        <v>0</v>
      </c>
      <c r="T71" s="128">
        <f ca="1">T70-[4]RAROC!R35</f>
        <v>0</v>
      </c>
      <c r="U71" s="128">
        <f ca="1">U70-[4]RAROC!S35</f>
        <v>0</v>
      </c>
      <c r="V71" s="128">
        <f ca="1">V70-[4]RAROC!T35</f>
        <v>0</v>
      </c>
      <c r="W71" s="128">
        <f ca="1">W70-[4]RAROC!U35</f>
        <v>0</v>
      </c>
      <c r="X71" s="128">
        <f ca="1">X70-[4]RAROC!V35</f>
        <v>0</v>
      </c>
      <c r="Y71" s="128">
        <f ca="1">Y70-[4]RAROC!W35</f>
        <v>0</v>
      </c>
      <c r="Z71" s="128">
        <f ca="1">Z70-[4]RAROC!X35</f>
        <v>0</v>
      </c>
      <c r="AA71" s="416"/>
      <c r="AB71" s="416"/>
    </row>
    <row r="72" spans="1:28">
      <c r="A72" s="449"/>
      <c r="B72" s="8" t="s">
        <v>178</v>
      </c>
      <c r="C72" s="8"/>
      <c r="D72" s="128"/>
      <c r="E72" s="53">
        <f ca="1">$E70</f>
        <v>-2535.1591722240005</v>
      </c>
      <c r="F72" s="53">
        <f ca="1">$E70+NPV(Disc,$F70:F70)</f>
        <v>-19157.733119940625</v>
      </c>
      <c r="G72" s="53">
        <f ca="1">$E70+NPV(Disc,$F70:G70)</f>
        <v>-14029.144467121263</v>
      </c>
      <c r="H72" s="53">
        <f ca="1">$E70+NPV(Disc,$F70:H70)</f>
        <v>-13322.094228140575</v>
      </c>
      <c r="I72" s="53">
        <f ca="1">$E70+NPV(Disc,$F70:I70)</f>
        <v>-12565.847825413306</v>
      </c>
      <c r="J72" s="53">
        <f ca="1">$E70+NPV(Disc,$F70:J70)</f>
        <v>-12117.536191001449</v>
      </c>
      <c r="K72" s="53">
        <f ca="1">$E70+NPV(Disc,$F70:K70)</f>
        <v>-11571.419766020204</v>
      </c>
      <c r="L72" s="53">
        <f ca="1">$E70+NPV(Disc,$F70:L70)</f>
        <v>-11471.068605999537</v>
      </c>
      <c r="M72" s="53">
        <f ca="1">$E70+NPV(Disc,$F70:M70)</f>
        <v>-11136.43496315337</v>
      </c>
      <c r="N72" s="53">
        <f ca="1">$E70+NPV(Disc,$F70:N70)</f>
        <v>-10821.345614732036</v>
      </c>
      <c r="O72" s="53">
        <f ca="1">$E70+NPV(Disc,$F70:O70)</f>
        <v>-10363.448721071663</v>
      </c>
      <c r="P72" s="53">
        <f ca="1">$E70+NPV(Disc,$F70:P70)</f>
        <v>-9787.1065215241233</v>
      </c>
      <c r="Q72" s="53">
        <f ca="1">$E70+NPV(Disc,$F70:Q70)</f>
        <v>-9262.8340760432111</v>
      </c>
      <c r="R72" s="53">
        <f ca="1">$E70+NPV(Disc,$F70:R70)</f>
        <v>-8864.1556269127468</v>
      </c>
      <c r="S72" s="53">
        <f ca="1">$E70+NPV(Disc,$F70:S70)</f>
        <v>-8636.9703492832305</v>
      </c>
      <c r="T72" s="53">
        <f ca="1">$E70+NPV(Disc,$F70:T70)</f>
        <v>-8455.5290959766135</v>
      </c>
      <c r="U72" s="53">
        <f ca="1">$E70+NPV(Disc,$F70:U70)</f>
        <v>-8264.8596764018894</v>
      </c>
      <c r="V72" s="53">
        <f ca="1">$E70+NPV(Disc,$F70:V70)</f>
        <v>-8050.3786454113524</v>
      </c>
      <c r="W72" s="53">
        <f ca="1">$E70+NPV(Disc,$F70:W70)</f>
        <v>-7781.9458264494915</v>
      </c>
      <c r="X72" s="53">
        <f ca="1">$E70+NPV(Disc,$F70:X70)</f>
        <v>-7550.8138231124467</v>
      </c>
      <c r="Y72" s="53">
        <f ca="1">$E70+NPV(Disc,$F70:Y70)</f>
        <v>-7351.377467203034</v>
      </c>
      <c r="Z72" s="53">
        <f ca="1">$E70+NPV(Disc,$F70:Z70)</f>
        <v>-4665.7176376649531</v>
      </c>
      <c r="AA72" s="416"/>
      <c r="AB72" s="416"/>
    </row>
    <row r="73" spans="1:28">
      <c r="A73" s="449"/>
      <c r="B73" s="8" t="s">
        <v>179</v>
      </c>
      <c r="C73" s="8"/>
      <c r="D73" s="128"/>
      <c r="E73" s="21" t="e">
        <f ca="1">IRR($E70:E70,-0.9)</f>
        <v>#NUM!</v>
      </c>
      <c r="F73" s="21" t="e">
        <f ca="1">IRR($E70:F70,-0.9)</f>
        <v>#NUM!</v>
      </c>
      <c r="G73" s="21">
        <f ca="1">IRR($E70:G70,-0.9)</f>
        <v>-0.64866712098283263</v>
      </c>
      <c r="H73" s="21">
        <f ca="1">IRR($E70:H70,-0.9)</f>
        <v>-0.53215172806146316</v>
      </c>
      <c r="I73" s="21">
        <f ca="1">IRR($E70:I70,-0.9)</f>
        <v>-0.38280878166717053</v>
      </c>
      <c r="J73" s="21">
        <f ca="1">IRR($E70:J70,-0.9)</f>
        <v>-0.29812188683404084</v>
      </c>
      <c r="K73" s="21">
        <f ca="1">IRR($E70:K70,-0.9)</f>
        <v>-0.20761469372748101</v>
      </c>
      <c r="L73" s="21">
        <f ca="1">IRR($E70:L70,-0.9)</f>
        <v>-0.19083611944866244</v>
      </c>
      <c r="M73" s="21">
        <f ca="1">IRR($E70:M70,-0.9)</f>
        <v>-0.13505968831899282</v>
      </c>
      <c r="N73" s="21">
        <f ca="1">IRR($E70:N70,-0.9)</f>
        <v>-9.2145025237824071E-2</v>
      </c>
      <c r="O73" s="21">
        <f ca="1">IRR($E70:O70,-0.9)</f>
        <v>-4.3871775996051861E-2</v>
      </c>
      <c r="P73" s="21">
        <f ca="1">IRR($E70:P70,-0.9)</f>
        <v>-1.6382383452559639E-4</v>
      </c>
      <c r="Q73" s="21">
        <f ca="1">IRR($E70:Q70,-0.9)</f>
        <v>2.9883120152663048E-2</v>
      </c>
      <c r="R73" s="21">
        <f ca="1">IRR($E70:R70,-0.9)</f>
        <v>4.8989799516008896E-2</v>
      </c>
      <c r="S73" s="21">
        <f ca="1">IRR($E70:S70,-0.9)</f>
        <v>5.9031908482840734E-2</v>
      </c>
      <c r="T73" s="21">
        <f ca="1">IRR($E70:T70,-0.9)</f>
        <v>6.685824556606966E-2</v>
      </c>
      <c r="U73" s="21">
        <f ca="1">IRR($E70:U70,-0.9)</f>
        <v>7.4857000670647947E-2</v>
      </c>
      <c r="V73" s="21">
        <f ca="1">IRR($E70:V70,-0.9)</f>
        <v>8.3396187259878338E-2</v>
      </c>
      <c r="W73" s="21">
        <f ca="1">IRR($E70:W70,-0.9)</f>
        <v>9.3184848464201955E-2</v>
      </c>
      <c r="X73" s="21">
        <f ca="1">IRR($E70:X70,-0.9)</f>
        <v>0.10084963408322548</v>
      </c>
      <c r="Y73" s="21">
        <f ca="1">IRR($E70:Y70,-0.9)</f>
        <v>0.10700291393731061</v>
      </c>
      <c r="Z73" s="21">
        <f ca="1">IRR($E70:Z70,-0.9)</f>
        <v>0.15409879888896919</v>
      </c>
      <c r="AA73" s="416"/>
      <c r="AB73" s="631">
        <f ca="1">IRR($E70:Z70)</f>
        <v>0.15409879888896857</v>
      </c>
    </row>
    <row r="74" spans="1:28">
      <c r="A74" s="449"/>
      <c r="B74" s="8"/>
      <c r="C74" s="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416"/>
      <c r="AB74" s="416"/>
    </row>
    <row r="75" spans="1:28">
      <c r="A75" s="449"/>
      <c r="B75" s="266" t="str">
        <f ca="1">CONCATENATE("Enron NPV w/ Subordinated Debt @ ",TEXT(Disc,"0.0%"))</f>
        <v>Enron NPV w/ Subordinated Debt @ 19.0%</v>
      </c>
      <c r="C75" s="441">
        <f ca="1">AB70</f>
        <v>-4665.7176376649513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416"/>
      <c r="AB75" s="416"/>
    </row>
    <row r="76" spans="1:28">
      <c r="A76" s="449"/>
      <c r="B76" s="279" t="s">
        <v>1146</v>
      </c>
      <c r="C76" s="672">
        <f ca="1">AB73</f>
        <v>0.15409879888896857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416"/>
      <c r="AB76" s="416"/>
    </row>
    <row r="77" spans="1:28" ht="13.5" thickBot="1">
      <c r="A77" s="455"/>
      <c r="B77" s="456" t="s">
        <v>652</v>
      </c>
      <c r="C77" s="667">
        <f ca="1">MAX(E77:Z77)</f>
        <v>0</v>
      </c>
      <c r="D77" s="669"/>
      <c r="E77" s="669">
        <f t="shared" ref="E77:Z77" ca="1" si="25">IF(AND(D72&lt;0,E72&gt;0),E$6,0)</f>
        <v>0</v>
      </c>
      <c r="F77" s="669">
        <f t="shared" ca="1" si="25"/>
        <v>0</v>
      </c>
      <c r="G77" s="669">
        <f t="shared" ca="1" si="25"/>
        <v>0</v>
      </c>
      <c r="H77" s="669">
        <f t="shared" ca="1" si="25"/>
        <v>0</v>
      </c>
      <c r="I77" s="669">
        <f t="shared" ca="1" si="25"/>
        <v>0</v>
      </c>
      <c r="J77" s="669">
        <f t="shared" ca="1" si="25"/>
        <v>0</v>
      </c>
      <c r="K77" s="669">
        <f t="shared" ca="1" si="25"/>
        <v>0</v>
      </c>
      <c r="L77" s="669">
        <f t="shared" ca="1" si="25"/>
        <v>0</v>
      </c>
      <c r="M77" s="669">
        <f t="shared" ca="1" si="25"/>
        <v>0</v>
      </c>
      <c r="N77" s="669">
        <f t="shared" ca="1" si="25"/>
        <v>0</v>
      </c>
      <c r="O77" s="669">
        <f t="shared" ca="1" si="25"/>
        <v>0</v>
      </c>
      <c r="P77" s="669">
        <f t="shared" ca="1" si="25"/>
        <v>0</v>
      </c>
      <c r="Q77" s="669">
        <f t="shared" ca="1" si="25"/>
        <v>0</v>
      </c>
      <c r="R77" s="669">
        <f t="shared" ca="1" si="25"/>
        <v>0</v>
      </c>
      <c r="S77" s="669">
        <f t="shared" ca="1" si="25"/>
        <v>0</v>
      </c>
      <c r="T77" s="669">
        <f t="shared" ca="1" si="25"/>
        <v>0</v>
      </c>
      <c r="U77" s="669">
        <f t="shared" ca="1" si="25"/>
        <v>0</v>
      </c>
      <c r="V77" s="669">
        <f t="shared" ca="1" si="25"/>
        <v>0</v>
      </c>
      <c r="W77" s="669">
        <f t="shared" ca="1" si="25"/>
        <v>0</v>
      </c>
      <c r="X77" s="669">
        <f t="shared" ca="1" si="25"/>
        <v>0</v>
      </c>
      <c r="Y77" s="669">
        <f t="shared" ca="1" si="25"/>
        <v>0</v>
      </c>
      <c r="Z77" s="669">
        <f t="shared" ca="1" si="25"/>
        <v>0</v>
      </c>
      <c r="AA77" s="429"/>
      <c r="AB77" s="429"/>
    </row>
    <row r="78" spans="1:28" ht="13.5" thickBot="1">
      <c r="A78" s="152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B78" s="8"/>
    </row>
    <row r="79" spans="1:28">
      <c r="A79" s="447" t="str">
        <f>CONCATENATE(Assm!$H$62," Returns")</f>
        <v>Shell Returns</v>
      </c>
      <c r="B79" s="73"/>
      <c r="C79" s="78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413"/>
      <c r="AB79" s="413"/>
    </row>
    <row r="80" spans="1:28">
      <c r="A80" s="453">
        <f>IF(Assm!$L$66=1,Assm!$K$70,Assm!$K$62)</f>
        <v>0.3</v>
      </c>
      <c r="B80" s="8" t="s">
        <v>176</v>
      </c>
      <c r="C80" s="8"/>
      <c r="D80" s="27"/>
      <c r="E80" s="53">
        <f t="shared" ref="E80:Z80" ca="1" si="26">E10*$A80</f>
        <v>-3111.7009110000004</v>
      </c>
      <c r="F80" s="53">
        <f t="shared" ca="1" si="26"/>
        <v>-8888.2990920000011</v>
      </c>
      <c r="G80" s="53">
        <f t="shared" ca="1" si="26"/>
        <v>-6000</v>
      </c>
      <c r="H80" s="53">
        <f t="shared" ca="1" si="26"/>
        <v>0</v>
      </c>
      <c r="I80" s="53">
        <f t="shared" ca="1" si="26"/>
        <v>0</v>
      </c>
      <c r="J80" s="53">
        <f t="shared" ca="1" si="26"/>
        <v>0</v>
      </c>
      <c r="K80" s="53">
        <f t="shared" ca="1" si="26"/>
        <v>0</v>
      </c>
      <c r="L80" s="53">
        <f t="shared" ca="1" si="26"/>
        <v>0</v>
      </c>
      <c r="M80" s="53">
        <f t="shared" ca="1" si="26"/>
        <v>0</v>
      </c>
      <c r="N80" s="53">
        <f t="shared" ca="1" si="26"/>
        <v>0</v>
      </c>
      <c r="O80" s="53">
        <f t="shared" ca="1" si="26"/>
        <v>0</v>
      </c>
      <c r="P80" s="53">
        <f t="shared" ca="1" si="26"/>
        <v>0</v>
      </c>
      <c r="Q80" s="53">
        <f t="shared" ca="1" si="26"/>
        <v>0</v>
      </c>
      <c r="R80" s="53">
        <f t="shared" ca="1" si="26"/>
        <v>0</v>
      </c>
      <c r="S80" s="53">
        <f t="shared" ca="1" si="26"/>
        <v>0</v>
      </c>
      <c r="T80" s="53">
        <f t="shared" ca="1" si="26"/>
        <v>0</v>
      </c>
      <c r="U80" s="53">
        <f t="shared" ca="1" si="26"/>
        <v>0</v>
      </c>
      <c r="V80" s="53">
        <f t="shared" ca="1" si="26"/>
        <v>0</v>
      </c>
      <c r="W80" s="53">
        <f t="shared" ca="1" si="26"/>
        <v>0</v>
      </c>
      <c r="X80" s="53">
        <f t="shared" ca="1" si="26"/>
        <v>0</v>
      </c>
      <c r="Y80" s="53">
        <f t="shared" ca="1" si="26"/>
        <v>0</v>
      </c>
      <c r="Z80" s="53">
        <f t="shared" ca="1" si="26"/>
        <v>0</v>
      </c>
      <c r="AA80" s="420">
        <f t="shared" ref="AA80:AA89" ca="1" si="27">SUM(D80:Z80)</f>
        <v>-18000.000003000001</v>
      </c>
      <c r="AB80" s="420">
        <f ca="1">$E80+NPV(Disc,$F80:Z80)</f>
        <v>-14817.848725052681</v>
      </c>
    </row>
    <row r="81" spans="1:29">
      <c r="A81" s="453">
        <f>IF(Assm!$L$66=1,Assm!$L$70,Assm!$L$62)</f>
        <v>0.3</v>
      </c>
      <c r="B81" s="8" t="s">
        <v>655</v>
      </c>
      <c r="C81" s="8"/>
      <c r="D81" s="27"/>
      <c r="E81" s="53">
        <f t="shared" ref="E81:Z81" ca="1" si="28">E$11*$A81</f>
        <v>0</v>
      </c>
      <c r="F81" s="53">
        <f t="shared" ca="1" si="28"/>
        <v>0</v>
      </c>
      <c r="G81" s="53">
        <f t="shared" ca="1" si="28"/>
        <v>0</v>
      </c>
      <c r="H81" s="53">
        <f t="shared" ca="1" si="28"/>
        <v>0</v>
      </c>
      <c r="I81" s="53">
        <f t="shared" ca="1" si="28"/>
        <v>2.7284841053187846E-13</v>
      </c>
      <c r="J81" s="53">
        <f t="shared" ca="1" si="28"/>
        <v>-1.3642420526593923E-13</v>
      </c>
      <c r="K81" s="53">
        <f t="shared" ca="1" si="28"/>
        <v>-2.7284841053187846E-13</v>
      </c>
      <c r="L81" s="53">
        <f t="shared" ca="1" si="28"/>
        <v>-1.3642420526593923E-13</v>
      </c>
      <c r="M81" s="53">
        <f t="shared" ca="1" si="28"/>
        <v>576.69402358778632</v>
      </c>
      <c r="N81" s="53">
        <f t="shared" ca="1" si="28"/>
        <v>2143.8458774888832</v>
      </c>
      <c r="O81" s="53">
        <f t="shared" ca="1" si="28"/>
        <v>2423.0018591380763</v>
      </c>
      <c r="P81" s="53">
        <f t="shared" ca="1" si="28"/>
        <v>2872.2949248391187</v>
      </c>
      <c r="Q81" s="53">
        <f t="shared" ca="1" si="28"/>
        <v>3169.6895409938479</v>
      </c>
      <c r="R81" s="53">
        <f t="shared" ca="1" si="28"/>
        <v>3535.5100862378649</v>
      </c>
      <c r="S81" s="53">
        <f t="shared" ca="1" si="28"/>
        <v>4112.6011810555856</v>
      </c>
      <c r="T81" s="53">
        <f t="shared" ca="1" si="28"/>
        <v>3978.5128419101507</v>
      </c>
      <c r="U81" s="53">
        <f t="shared" ca="1" si="28"/>
        <v>4715.4664737763496</v>
      </c>
      <c r="V81" s="53">
        <f t="shared" ca="1" si="28"/>
        <v>5096.8680549122828</v>
      </c>
      <c r="W81" s="53">
        <f t="shared" ca="1" si="28"/>
        <v>5364.1809784482066</v>
      </c>
      <c r="X81" s="53">
        <f t="shared" ca="1" si="28"/>
        <v>5594.1184221068497</v>
      </c>
      <c r="Y81" s="53">
        <f t="shared" ca="1" si="28"/>
        <v>5843.3275008623987</v>
      </c>
      <c r="Z81" s="53">
        <f t="shared" ca="1" si="28"/>
        <v>19585.60144567442</v>
      </c>
      <c r="AA81" s="420">
        <f t="shared" ca="1" si="27"/>
        <v>69011.71321103182</v>
      </c>
      <c r="AB81" s="420">
        <f ca="1">$E81+NPV(Disc,$F81:Z81)</f>
        <v>4538.762741847926</v>
      </c>
    </row>
    <row r="82" spans="1:29" s="71" customFormat="1">
      <c r="A82" s="449"/>
      <c r="B82" s="8" t="s">
        <v>350</v>
      </c>
      <c r="C82" s="17">
        <f>Wh_Div_NR</f>
        <v>0.125</v>
      </c>
      <c r="D82" s="22"/>
      <c r="E82" s="53">
        <f t="shared" ref="E82:X82" ca="1" si="29">-E81*$C82</f>
        <v>0</v>
      </c>
      <c r="F82" s="53">
        <f t="shared" ca="1" si="29"/>
        <v>0</v>
      </c>
      <c r="G82" s="53">
        <f t="shared" ca="1" si="29"/>
        <v>0</v>
      </c>
      <c r="H82" s="53">
        <f t="shared" ca="1" si="29"/>
        <v>0</v>
      </c>
      <c r="I82" s="53">
        <f t="shared" ca="1" si="29"/>
        <v>-3.4106051316484808E-14</v>
      </c>
      <c r="J82" s="53">
        <f t="shared" ca="1" si="29"/>
        <v>1.7053025658242404E-14</v>
      </c>
      <c r="K82" s="53">
        <f t="shared" ca="1" si="29"/>
        <v>3.4106051316484808E-14</v>
      </c>
      <c r="L82" s="53">
        <f t="shared" ca="1" si="29"/>
        <v>1.7053025658242404E-14</v>
      </c>
      <c r="M82" s="53">
        <f t="shared" ca="1" si="29"/>
        <v>-72.08675294847329</v>
      </c>
      <c r="N82" s="53">
        <f t="shared" ca="1" si="29"/>
        <v>-267.9807346861104</v>
      </c>
      <c r="O82" s="53">
        <f t="shared" ca="1" si="29"/>
        <v>-302.87523239225953</v>
      </c>
      <c r="P82" s="53">
        <f t="shared" ca="1" si="29"/>
        <v>-359.03686560488984</v>
      </c>
      <c r="Q82" s="53">
        <f t="shared" ca="1" si="29"/>
        <v>-396.21119262423099</v>
      </c>
      <c r="R82" s="53">
        <f t="shared" ca="1" si="29"/>
        <v>-441.93876077973312</v>
      </c>
      <c r="S82" s="53">
        <f t="shared" ca="1" si="29"/>
        <v>-514.0751476319482</v>
      </c>
      <c r="T82" s="53">
        <f t="shared" ca="1" si="29"/>
        <v>-497.31410523876883</v>
      </c>
      <c r="U82" s="53">
        <f t="shared" ca="1" si="29"/>
        <v>-589.4333092220437</v>
      </c>
      <c r="V82" s="53">
        <f t="shared" ca="1" si="29"/>
        <v>-637.10850686403535</v>
      </c>
      <c r="W82" s="53">
        <f t="shared" ca="1" si="29"/>
        <v>-670.52262230602582</v>
      </c>
      <c r="X82" s="53">
        <f t="shared" ca="1" si="29"/>
        <v>-699.26480276335622</v>
      </c>
      <c r="Y82" s="53">
        <f ca="1">-Y81*$C82</f>
        <v>-730.41593760779983</v>
      </c>
      <c r="Z82" s="53">
        <f ca="1">-Z81*$C82</f>
        <v>-2448.2001807093025</v>
      </c>
      <c r="AA82" s="420">
        <f t="shared" ca="1" si="27"/>
        <v>-8626.4641513789775</v>
      </c>
      <c r="AB82" s="420">
        <f ca="1">$E82+NPV(Disc,$F82:Z82)</f>
        <v>-567.34534273099075</v>
      </c>
      <c r="AC82" s="5"/>
    </row>
    <row r="83" spans="1:29">
      <c r="A83" s="449"/>
      <c r="B83" s="8" t="s">
        <v>946</v>
      </c>
      <c r="C83" s="18"/>
      <c r="D83" s="16"/>
      <c r="E83" s="215">
        <f>E$13*$A81</f>
        <v>0</v>
      </c>
      <c r="F83" s="215">
        <f t="shared" ref="F83:Z83" si="30">F$13*$A81</f>
        <v>0</v>
      </c>
      <c r="G83" s="215">
        <f t="shared" si="30"/>
        <v>0</v>
      </c>
      <c r="H83" s="215">
        <f t="shared" si="30"/>
        <v>0</v>
      </c>
      <c r="I83" s="215">
        <f t="shared" si="30"/>
        <v>0</v>
      </c>
      <c r="J83" s="215">
        <f t="shared" si="30"/>
        <v>0</v>
      </c>
      <c r="K83" s="215">
        <f t="shared" si="30"/>
        <v>0</v>
      </c>
      <c r="L83" s="215">
        <f t="shared" si="30"/>
        <v>0</v>
      </c>
      <c r="M83" s="215">
        <f t="shared" si="30"/>
        <v>0</v>
      </c>
      <c r="N83" s="215">
        <f t="shared" si="30"/>
        <v>0</v>
      </c>
      <c r="O83" s="215">
        <f t="shared" si="30"/>
        <v>0</v>
      </c>
      <c r="P83" s="215">
        <f t="shared" si="30"/>
        <v>0</v>
      </c>
      <c r="Q83" s="215">
        <f t="shared" si="30"/>
        <v>0</v>
      </c>
      <c r="R83" s="215">
        <f t="shared" si="30"/>
        <v>0</v>
      </c>
      <c r="S83" s="215">
        <f t="shared" si="30"/>
        <v>0</v>
      </c>
      <c r="T83" s="215">
        <f t="shared" si="30"/>
        <v>0</v>
      </c>
      <c r="U83" s="215">
        <f t="shared" si="30"/>
        <v>0</v>
      </c>
      <c r="V83" s="215">
        <f t="shared" si="30"/>
        <v>0</v>
      </c>
      <c r="W83" s="215">
        <f t="shared" si="30"/>
        <v>0</v>
      </c>
      <c r="X83" s="215">
        <f t="shared" si="30"/>
        <v>0</v>
      </c>
      <c r="Y83" s="215">
        <f t="shared" si="30"/>
        <v>0</v>
      </c>
      <c r="Z83" s="215">
        <f t="shared" ca="1" si="30"/>
        <v>103759.1275940581</v>
      </c>
      <c r="AA83" s="420">
        <f ca="1">SUM(D83:Z83)</f>
        <v>103759.1275940581</v>
      </c>
      <c r="AB83" s="420">
        <f ca="1">$E83+NPV(Disc,$F83:Z83)</f>
        <v>2688.6862259167078</v>
      </c>
    </row>
    <row r="84" spans="1:29" s="71" customFormat="1">
      <c r="A84" s="449"/>
      <c r="B84" s="8" t="s">
        <v>351</v>
      </c>
      <c r="C84" s="8"/>
      <c r="D84" s="22"/>
      <c r="E84" s="53">
        <f t="shared" ref="E84:X84" ca="1" si="31">E$12*$A81</f>
        <v>0</v>
      </c>
      <c r="F84" s="53">
        <f t="shared" ca="1" si="31"/>
        <v>0</v>
      </c>
      <c r="G84" s="53">
        <f t="shared" ca="1" si="31"/>
        <v>0</v>
      </c>
      <c r="H84" s="53">
        <f t="shared" ca="1" si="31"/>
        <v>1808.4062245973128</v>
      </c>
      <c r="I84" s="53">
        <f t="shared" ca="1" si="31"/>
        <v>1570.4557330237842</v>
      </c>
      <c r="J84" s="53">
        <f t="shared" ca="1" si="31"/>
        <v>1163.93621688649</v>
      </c>
      <c r="K84" s="53">
        <f t="shared" ca="1" si="31"/>
        <v>1676.3709595261573</v>
      </c>
      <c r="L84" s="53">
        <f t="shared" ca="1" si="31"/>
        <v>519.51647297293016</v>
      </c>
      <c r="M84" s="53">
        <f t="shared" ca="1" si="31"/>
        <v>1043.068131153025</v>
      </c>
      <c r="N84" s="53">
        <f t="shared" ca="1" si="31"/>
        <v>-133.0832814160396</v>
      </c>
      <c r="O84" s="53">
        <f t="shared" ca="1" si="31"/>
        <v>718.99293253607823</v>
      </c>
      <c r="P84" s="53">
        <f t="shared" ca="1" si="31"/>
        <v>1638.5968034161999</v>
      </c>
      <c r="Q84" s="53">
        <f t="shared" ca="1" si="31"/>
        <v>1747.8238446918738</v>
      </c>
      <c r="R84" s="53">
        <f t="shared" ca="1" si="31"/>
        <v>1075.8731416788548</v>
      </c>
      <c r="S84" s="53">
        <f t="shared" ca="1" si="31"/>
        <v>-632.2840249909284</v>
      </c>
      <c r="T84" s="53">
        <f t="shared" ca="1" si="31"/>
        <v>-519.33046349539575</v>
      </c>
      <c r="U84" s="53">
        <f t="shared" ca="1" si="31"/>
        <v>-564.88284019762648</v>
      </c>
      <c r="V84" s="53">
        <f t="shared" ca="1" si="31"/>
        <v>130.76298820488881</v>
      </c>
      <c r="W84" s="53">
        <f t="shared" ca="1" si="31"/>
        <v>1904.6876694920211</v>
      </c>
      <c r="X84" s="53">
        <f t="shared" ca="1" si="31"/>
        <v>1916.7896402108977</v>
      </c>
      <c r="Y84" s="53">
        <f ca="1">Y$12*$A81</f>
        <v>1929.9059075138196</v>
      </c>
      <c r="Z84" s="53">
        <f ca="1">Z$12*$A81</f>
        <v>-16991.623255822964</v>
      </c>
      <c r="AA84" s="420">
        <f t="shared" ca="1" si="27"/>
        <v>3.9827999813787756</v>
      </c>
      <c r="AB84" s="420">
        <f ca="1">$E84+NPV(Disc,$F84:Z84)</f>
        <v>3667.5533379085523</v>
      </c>
      <c r="AC84" s="5"/>
    </row>
    <row r="85" spans="1:29" s="71" customFormat="1">
      <c r="A85" s="449"/>
      <c r="B85" s="8" t="s">
        <v>422</v>
      </c>
      <c r="C85" s="282" t="s">
        <v>182</v>
      </c>
      <c r="D85" s="22"/>
      <c r="E85" s="215">
        <f ca="1">IF(E$7&lt;YEAR(Startops1),0,-HLOOKUP(E$7,CF_Table,CF!$AB$39)*$A81)</f>
        <v>0</v>
      </c>
      <c r="F85" s="215">
        <f ca="1">IF(F$7&lt;YEAR(Startops1),0,-HLOOKUP(F$7,CF_Table,CF!$AB$39)*$A81)</f>
        <v>0</v>
      </c>
      <c r="G85" s="215">
        <f ca="1">IF(G$7&lt;YEAR(Startops1),0,-HLOOKUP(G$7,CF_Table,CF!$AB$39)*$A81)</f>
        <v>0</v>
      </c>
      <c r="H85" s="215">
        <f ca="1">IF(H$7&lt;YEAR(Startops1),0,-HLOOKUP(H$7,CF_Table,CF!$AB$39)*$A81)</f>
        <v>0</v>
      </c>
      <c r="I85" s="215">
        <f ca="1">IF(I$7&lt;YEAR(Startops1),0,-HLOOKUP(I$7,CF_Table,CF!$AB$39)*$A81)</f>
        <v>-90.22117123079677</v>
      </c>
      <c r="J85" s="215">
        <f ca="1">IF(J$7&lt;YEAR(Startops1),0,-HLOOKUP(J$7,CF_Table,CF!$AB$39)*$A81)</f>
        <v>-168.74395788198598</v>
      </c>
      <c r="K85" s="215">
        <f ca="1">IF(K$7&lt;YEAR(Startops1),0,-HLOOKUP(K$7,CF_Table,CF!$AB$39)*$A81)</f>
        <v>-226.94076872631047</v>
      </c>
      <c r="L85" s="215">
        <f ca="1">IF(L$7&lt;YEAR(Startops1),0,-HLOOKUP(L$7,CF_Table,CF!$AB$39)*$A81)</f>
        <v>-310.75931670261832</v>
      </c>
      <c r="M85" s="215">
        <f ca="1">IF(M$7&lt;YEAR(Startops1),0,-HLOOKUP(M$7,CF_Table,CF!$AB$39)*$A81)</f>
        <v>-336.73514035126482</v>
      </c>
      <c r="N85" s="215">
        <f ca="1">IF(N$7&lt;YEAR(Startops1),0,-HLOOKUP(N$7,CF_Table,CF!$AB$39)*$A81)</f>
        <v>-388.88854690891611</v>
      </c>
      <c r="O85" s="215">
        <f ca="1">IF(O$7&lt;YEAR(Startops1),0,-HLOOKUP(O$7,CF_Table,CF!$AB$39)*$A81)</f>
        <v>-388.88854690891611</v>
      </c>
      <c r="P85" s="215">
        <f ca="1">IF(P$7&lt;YEAR(Startops1),0,-HLOOKUP(P$7,CF_Table,CF!$AB$39)*$A81)</f>
        <v>-418.18402946491807</v>
      </c>
      <c r="Q85" s="215">
        <f ca="1">IF(Q$7&lt;YEAR(Startops1),0,-HLOOKUP(Q$7,CF_Table,CF!$AB$39)*$A81)</f>
        <v>-500.11386963572801</v>
      </c>
      <c r="R85" s="215">
        <f ca="1">IF(R$7&lt;YEAR(Startops1),0,-HLOOKUP(R$7,CF_Table,CF!$AB$39)*$A81)</f>
        <v>-587.50506187032181</v>
      </c>
      <c r="S85" s="215">
        <f ca="1">IF(S$7&lt;YEAR(Startops1),0,-HLOOKUP(S$7,CF_Table,CF!$AB$39)*$A81)</f>
        <v>-641.29871895426447</v>
      </c>
      <c r="T85" s="215">
        <f ca="1">IF(T$7&lt;YEAR(Startops1),0,-HLOOKUP(T$7,CF_Table,CF!$AB$39)*$A81)</f>
        <v>-641.29871895426447</v>
      </c>
      <c r="U85" s="215">
        <f ca="1">IF(U$7&lt;YEAR(Startops1),0,-HLOOKUP(U$7,CF_Table,CF!$AB$39)*$A81)</f>
        <v>-609.68451770471813</v>
      </c>
      <c r="V85" s="215">
        <f ca="1">IF(V$7&lt;YEAR(Startops1),0,-HLOOKUP(V$7,CF_Table,CF!$AB$39)*$A81)</f>
        <v>-583.71799452994833</v>
      </c>
      <c r="W85" s="215">
        <f ca="1">IF(W$7&lt;YEAR(Startops1),0,-HLOOKUP(W$7,CF_Table,CF!$AB$39)*$A81)</f>
        <v>-562.0120019303115</v>
      </c>
      <c r="X85" s="215">
        <f ca="1">IF(X$7&lt;YEAR(Startops1),0,-HLOOKUP(X$7,CF_Table,CF!$AB$39)*$A81)</f>
        <v>-657.24638540491242</v>
      </c>
      <c r="Y85" s="215">
        <f ca="1">IF(Y$7&lt;YEAR(Startops1),0,-HLOOKUP(Y$7,CF_Table,CF!$AB$39)*$A81)</f>
        <v>-753.0858674154573</v>
      </c>
      <c r="Z85" s="215">
        <f ca="1">IF(Z$7&lt;YEAR(Startops1),0,-HLOOKUP(Z$7,CF_Table,CF!$AB$39)*$A81)</f>
        <v>-283.19372093038277</v>
      </c>
      <c r="AA85" s="420">
        <f ca="1">SUM(D85:Z85)</f>
        <v>-8148.5183355060353</v>
      </c>
      <c r="AB85" s="420">
        <f ca="1">$E85+NPV(Disc,$F85:Z85)</f>
        <v>-956.41520631994592</v>
      </c>
      <c r="AC85" s="5"/>
    </row>
    <row r="86" spans="1:29" s="71" customFormat="1">
      <c r="A86" s="665">
        <f>Assm!$J$75</f>
        <v>0.3</v>
      </c>
      <c r="B86" s="8" t="s">
        <v>183</v>
      </c>
      <c r="C86" s="282" t="s">
        <v>182</v>
      </c>
      <c r="D86" s="22"/>
      <c r="E86" s="215">
        <f>IF(E$7=YEAR(Startops1),Assm!$O$35*$A86,0)</f>
        <v>0</v>
      </c>
      <c r="F86" s="215">
        <f>IF(F$7=YEAR(Startops1),Assm!$O$35*$A86,0)</f>
        <v>0</v>
      </c>
      <c r="G86" s="215">
        <f>IF(G$7=YEAR(Startops1),Assm!$O$35*$A86,0)</f>
        <v>0</v>
      </c>
      <c r="H86" s="215">
        <f>IF(H$7=YEAR(Startops1),Assm!$O$35*$A86,0)</f>
        <v>0</v>
      </c>
      <c r="I86" s="215">
        <f>IF(I$7=YEAR(Startops1),Assm!$O$35*$A86,0)</f>
        <v>0</v>
      </c>
      <c r="J86" s="215">
        <f>IF(J$7=YEAR(Startops1),Assm!$O$35*$A86,0)</f>
        <v>0</v>
      </c>
      <c r="K86" s="215">
        <f>IF(K$7=YEAR(Startops1),Assm!$O$35*$A86,0)</f>
        <v>0</v>
      </c>
      <c r="L86" s="215">
        <f>IF(L$7=YEAR(Startops1),Assm!$O$35*$A86,0)</f>
        <v>0</v>
      </c>
      <c r="M86" s="215">
        <f>IF(M$7=YEAR(Startops1),Assm!$O$35*$A86,0)</f>
        <v>0</v>
      </c>
      <c r="N86" s="215">
        <f>IF(N$7=YEAR(Startops1),Assm!$O$35*$A86,0)</f>
        <v>0</v>
      </c>
      <c r="O86" s="215">
        <f>IF(O$7=YEAR(Startops1),Assm!$O$35*$A86,0)</f>
        <v>0</v>
      </c>
      <c r="P86" s="215">
        <f>IF(P$7=YEAR(Startops1),Assm!$O$35*$A86,0)</f>
        <v>0</v>
      </c>
      <c r="Q86" s="215">
        <f>IF(Q$7=YEAR(Startops1),Assm!$O$35*$A86,0)</f>
        <v>0</v>
      </c>
      <c r="R86" s="215">
        <f>IF(R$7=YEAR(Startops1),Assm!$O$35*$A86,0)</f>
        <v>0</v>
      </c>
      <c r="S86" s="215">
        <f>IF(S$7=YEAR(Startops1),Assm!$O$35*$A86,0)</f>
        <v>0</v>
      </c>
      <c r="T86" s="215">
        <f>IF(T$7=YEAR(Startops1),Assm!$O$35*$A86,0)</f>
        <v>0</v>
      </c>
      <c r="U86" s="215">
        <f>IF(U$7=YEAR(Startops1),Assm!$O$35*$A86,0)</f>
        <v>0</v>
      </c>
      <c r="V86" s="215">
        <f>IF(V$7=YEAR(Startops1),Assm!$O$35*$A86,0)</f>
        <v>0</v>
      </c>
      <c r="W86" s="215">
        <f>IF(W$7=YEAR(Startops1),Assm!$O$35*$A86,0)</f>
        <v>0</v>
      </c>
      <c r="X86" s="215">
        <f>IF(X$7=YEAR(Startops1),Assm!$O$35*$A86,0)</f>
        <v>0</v>
      </c>
      <c r="Y86" s="215">
        <f>IF(Y$7=YEAR(Startops1),Assm!$O$35*$A86,0)</f>
        <v>0</v>
      </c>
      <c r="Z86" s="215">
        <f>IF(Z$7=YEAR(Startops1),Assm!$O$35*$A86,0)</f>
        <v>0</v>
      </c>
      <c r="AA86" s="420">
        <f t="shared" si="27"/>
        <v>0</v>
      </c>
      <c r="AB86" s="420">
        <f ca="1">$E86+NPV(Disc,$F86:Z86)</f>
        <v>0</v>
      </c>
      <c r="AC86" s="5"/>
    </row>
    <row r="87" spans="1:29">
      <c r="A87" s="665">
        <f>Assm!$J$76</f>
        <v>0</v>
      </c>
      <c r="B87" s="8" t="s">
        <v>587</v>
      </c>
      <c r="C87" s="282" t="s">
        <v>182</v>
      </c>
      <c r="D87" s="8"/>
      <c r="E87" s="215">
        <f ca="1">IF(E$7&lt;YEAR(Startops1),0,HLOOKUP(E$7,CF_Table,CF!$AB$28)*$A87)</f>
        <v>0</v>
      </c>
      <c r="F87" s="215">
        <f ca="1">IF(F$7&lt;YEAR(Startops1),0,HLOOKUP(F$7,CF_Table,CF!$AB$28)*$A87)</f>
        <v>0</v>
      </c>
      <c r="G87" s="215">
        <f ca="1">IF(G$7&lt;YEAR(Startops1),0,HLOOKUP(G$7,CF_Table,CF!$AB$28)*$A87)</f>
        <v>0</v>
      </c>
      <c r="H87" s="215">
        <f ca="1">IF(H$7&lt;YEAR(Startops1),0,HLOOKUP(H$7,CF_Table,CF!$AB$28)*$A87)</f>
        <v>0</v>
      </c>
      <c r="I87" s="215">
        <f ca="1">IF(I$7&lt;YEAR(Startops1),0,HLOOKUP(I$7,CF_Table,CF!$AB$28)*$A87)</f>
        <v>0</v>
      </c>
      <c r="J87" s="215">
        <f ca="1">IF(J$7&lt;YEAR(Startops1),0,HLOOKUP(J$7,CF_Table,CF!$AB$28)*$A87)</f>
        <v>0</v>
      </c>
      <c r="K87" s="215">
        <f ca="1">IF(K$7&lt;YEAR(Startops1),0,HLOOKUP(K$7,CF_Table,CF!$AB$28)*$A87)</f>
        <v>0</v>
      </c>
      <c r="L87" s="215">
        <f ca="1">IF(L$7&lt;YEAR(Startops1),0,HLOOKUP(L$7,CF_Table,CF!$AB$28)*$A87)</f>
        <v>0</v>
      </c>
      <c r="M87" s="215">
        <f ca="1">IF(M$7&lt;YEAR(Startops1),0,HLOOKUP(M$7,CF_Table,CF!$AB$28)*$A87)</f>
        <v>0</v>
      </c>
      <c r="N87" s="215">
        <f ca="1">IF(N$7&lt;YEAR(Startops1),0,HLOOKUP(N$7,CF_Table,CF!$AB$28)*$A87)</f>
        <v>0</v>
      </c>
      <c r="O87" s="215">
        <f ca="1">IF(O$7&lt;YEAR(Startops1),0,HLOOKUP(O$7,CF_Table,CF!$AB$28)*$A87)</f>
        <v>0</v>
      </c>
      <c r="P87" s="215">
        <f ca="1">IF(P$7&lt;YEAR(Startops1),0,HLOOKUP(P$7,CF_Table,CF!$AB$28)*$A87)</f>
        <v>0</v>
      </c>
      <c r="Q87" s="215">
        <f ca="1">IF(Q$7&lt;YEAR(Startops1),0,HLOOKUP(Q$7,CF_Table,CF!$AB$28)*$A87)</f>
        <v>0</v>
      </c>
      <c r="R87" s="215">
        <f ca="1">IF(R$7&lt;YEAR(Startops1),0,HLOOKUP(R$7,CF_Table,CF!$AB$28)*$A87)</f>
        <v>0</v>
      </c>
      <c r="S87" s="215">
        <f ca="1">IF(S$7&lt;YEAR(Startops1),0,HLOOKUP(S$7,CF_Table,CF!$AB$28)*$A87)</f>
        <v>0</v>
      </c>
      <c r="T87" s="215">
        <f ca="1">IF(T$7&lt;YEAR(Startops1),0,HLOOKUP(T$7,CF_Table,CF!$AB$28)*$A87)</f>
        <v>0</v>
      </c>
      <c r="U87" s="215">
        <f ca="1">IF(U$7&lt;YEAR(Startops1),0,HLOOKUP(U$7,CF_Table,CF!$AB$28)*$A87)</f>
        <v>0</v>
      </c>
      <c r="V87" s="215">
        <f ca="1">IF(V$7&lt;YEAR(Startops1),0,HLOOKUP(V$7,CF_Table,CF!$AB$28)*$A87)</f>
        <v>0</v>
      </c>
      <c r="W87" s="215">
        <f ca="1">IF(W$7&lt;YEAR(Startops1),0,HLOOKUP(W$7,CF_Table,CF!$AB$28)*$A87)</f>
        <v>0</v>
      </c>
      <c r="X87" s="215">
        <f ca="1">IF(X$7&lt;YEAR(Startops1),0,HLOOKUP(X$7,CF_Table,CF!$AB$28)*$A87)</f>
        <v>0</v>
      </c>
      <c r="Y87" s="215">
        <f ca="1">IF(Y$7&lt;YEAR(Startops1),0,HLOOKUP(Y$7,CF_Table,CF!$AB$28)*$A87)</f>
        <v>0</v>
      </c>
      <c r="Z87" s="215">
        <f ca="1">IF(Z$7&lt;YEAR(Startops1),0,HLOOKUP(Z$7,CF_Table,CF!$AB$28)*$A87)</f>
        <v>0</v>
      </c>
      <c r="AA87" s="420">
        <f ca="1">SUM(D87:Z87)</f>
        <v>0</v>
      </c>
      <c r="AB87" s="420">
        <f ca="1">$E87+NPV(Disc,$F87:Z87)</f>
        <v>0</v>
      </c>
    </row>
    <row r="88" spans="1:29" s="71" customFormat="1">
      <c r="A88" s="449"/>
      <c r="B88" s="8" t="s">
        <v>352</v>
      </c>
      <c r="C88" s="8"/>
      <c r="D88" s="22"/>
      <c r="E88" s="226">
        <f ca="1">-SUM(E85:E87)*USTax</f>
        <v>0</v>
      </c>
      <c r="F88" s="226">
        <f t="shared" ref="F88:Z88" ca="1" si="32">-SUM(F85:F87)*USTax</f>
        <v>0</v>
      </c>
      <c r="G88" s="226">
        <f t="shared" ca="1" si="32"/>
        <v>0</v>
      </c>
      <c r="H88" s="226">
        <f t="shared" ca="1" si="32"/>
        <v>0</v>
      </c>
      <c r="I88" s="226">
        <f t="shared" ca="1" si="32"/>
        <v>33.381833355394804</v>
      </c>
      <c r="J88" s="226">
        <f t="shared" ca="1" si="32"/>
        <v>62.43526441633481</v>
      </c>
      <c r="K88" s="226">
        <f t="shared" ca="1" si="32"/>
        <v>83.968084428734869</v>
      </c>
      <c r="L88" s="226">
        <f t="shared" ca="1" si="32"/>
        <v>114.98094717996878</v>
      </c>
      <c r="M88" s="226">
        <f t="shared" ca="1" si="32"/>
        <v>124.59200192996798</v>
      </c>
      <c r="N88" s="226">
        <f t="shared" ca="1" si="32"/>
        <v>143.88876235629897</v>
      </c>
      <c r="O88" s="226">
        <f t="shared" ca="1" si="32"/>
        <v>143.88876235629897</v>
      </c>
      <c r="P88" s="226">
        <f t="shared" ca="1" si="32"/>
        <v>154.72809090201969</v>
      </c>
      <c r="Q88" s="226">
        <f t="shared" ca="1" si="32"/>
        <v>185.04213176521935</v>
      </c>
      <c r="R88" s="226">
        <f t="shared" ca="1" si="32"/>
        <v>217.37687289201907</v>
      </c>
      <c r="S88" s="226">
        <f t="shared" ca="1" si="32"/>
        <v>237.28052601307786</v>
      </c>
      <c r="T88" s="226">
        <f t="shared" ca="1" si="32"/>
        <v>237.28052601307786</v>
      </c>
      <c r="U88" s="226">
        <f t="shared" ca="1" si="32"/>
        <v>225.58327155074571</v>
      </c>
      <c r="V88" s="226">
        <f t="shared" ca="1" si="32"/>
        <v>215.97565797608087</v>
      </c>
      <c r="W88" s="226">
        <f t="shared" ca="1" si="32"/>
        <v>207.94444071421526</v>
      </c>
      <c r="X88" s="226">
        <f t="shared" ca="1" si="32"/>
        <v>243.18116259981758</v>
      </c>
      <c r="Y88" s="226">
        <f t="shared" ca="1" si="32"/>
        <v>278.64177094371922</v>
      </c>
      <c r="Z88" s="226">
        <f t="shared" ca="1" si="32"/>
        <v>104.78167674424162</v>
      </c>
      <c r="AA88" s="421">
        <f t="shared" ca="1" si="27"/>
        <v>3014.9517841372326</v>
      </c>
      <c r="AB88" s="421">
        <f ca="1">$E88+NPV(Disc,$F88:Z88)</f>
        <v>353.87362633838001</v>
      </c>
      <c r="AC88" s="5"/>
    </row>
    <row r="89" spans="1:29" s="77" customFormat="1">
      <c r="A89" s="449"/>
      <c r="B89" s="8" t="s">
        <v>177</v>
      </c>
      <c r="C89" s="8"/>
      <c r="D89" s="28"/>
      <c r="E89" s="53">
        <f t="shared" ref="E89:Z89" ca="1" si="33">SUM(E80:E88)</f>
        <v>-3111.7009110000004</v>
      </c>
      <c r="F89" s="53">
        <f t="shared" ca="1" si="33"/>
        <v>-8888.2990920000011</v>
      </c>
      <c r="G89" s="53">
        <f t="shared" ca="1" si="33"/>
        <v>-6000</v>
      </c>
      <c r="H89" s="53">
        <f t="shared" ca="1" si="33"/>
        <v>1808.4062245973128</v>
      </c>
      <c r="I89" s="53">
        <f t="shared" ca="1" si="33"/>
        <v>1513.6163951483825</v>
      </c>
      <c r="J89" s="53">
        <f t="shared" ca="1" si="33"/>
        <v>1057.6275234208385</v>
      </c>
      <c r="K89" s="53">
        <f t="shared" ca="1" si="33"/>
        <v>1533.3982752285815</v>
      </c>
      <c r="L89" s="53">
        <f t="shared" ca="1" si="33"/>
        <v>323.73810345028051</v>
      </c>
      <c r="M89" s="53">
        <f t="shared" ca="1" si="33"/>
        <v>1335.5322633710412</v>
      </c>
      <c r="N89" s="53">
        <f t="shared" ca="1" si="33"/>
        <v>1497.782076834116</v>
      </c>
      <c r="O89" s="53">
        <f t="shared" ca="1" si="33"/>
        <v>2594.1197747292781</v>
      </c>
      <c r="P89" s="53">
        <f t="shared" ca="1" si="33"/>
        <v>3888.3989240875303</v>
      </c>
      <c r="Q89" s="53">
        <f t="shared" ca="1" si="33"/>
        <v>4206.230455190982</v>
      </c>
      <c r="R89" s="53">
        <f t="shared" ca="1" si="33"/>
        <v>3799.3162781586839</v>
      </c>
      <c r="S89" s="53">
        <f t="shared" ca="1" si="33"/>
        <v>2562.2238154915221</v>
      </c>
      <c r="T89" s="53">
        <f t="shared" ca="1" si="33"/>
        <v>2557.8500802347999</v>
      </c>
      <c r="U89" s="53">
        <f t="shared" ca="1" si="33"/>
        <v>3177.0490782027068</v>
      </c>
      <c r="V89" s="53">
        <f t="shared" ca="1" si="33"/>
        <v>4222.7801996992685</v>
      </c>
      <c r="W89" s="53">
        <f t="shared" ca="1" si="33"/>
        <v>6244.2784644181065</v>
      </c>
      <c r="X89" s="53">
        <f t="shared" ca="1" si="33"/>
        <v>6397.5780367492971</v>
      </c>
      <c r="Y89" s="53">
        <f t="shared" ca="1" si="33"/>
        <v>6568.3733742966806</v>
      </c>
      <c r="Z89" s="53">
        <f t="shared" ca="1" si="33"/>
        <v>103726.4935590141</v>
      </c>
      <c r="AA89" s="420">
        <f t="shared" ca="1" si="27"/>
        <v>141014.79289932351</v>
      </c>
      <c r="AB89" s="420">
        <f ca="1">SUM(AB80:AB88)</f>
        <v>-5092.7333420920522</v>
      </c>
      <c r="AC89" s="5"/>
    </row>
    <row r="90" spans="1:29" s="77" customFormat="1">
      <c r="A90" s="449"/>
      <c r="B90" s="8"/>
      <c r="C90" s="8"/>
      <c r="D90" s="28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420"/>
      <c r="AB90" s="416"/>
      <c r="AC90" s="5"/>
    </row>
    <row r="91" spans="1:29">
      <c r="A91" s="449"/>
      <c r="B91" s="8" t="s">
        <v>178</v>
      </c>
      <c r="C91" s="8"/>
      <c r="D91" s="27"/>
      <c r="E91" s="53">
        <f ca="1">$E89</f>
        <v>-3111.7009110000004</v>
      </c>
      <c r="F91" s="53">
        <f ca="1">$E89+NPV(Disc,$F89:F89)</f>
        <v>-10580.859811840337</v>
      </c>
      <c r="G91" s="53">
        <f ca="1">$E89+NPV(Disc,$F89:G89)</f>
        <v>-14817.848725052681</v>
      </c>
      <c r="H91" s="53">
        <f ca="1">$E89+NPV(Disc,$F89:H89)</f>
        <v>-13744.71187292341</v>
      </c>
      <c r="I91" s="53">
        <f ca="1">$E89+NPV(Disc,$F89:I89)</f>
        <v>-12989.918675044242</v>
      </c>
      <c r="J91" s="53">
        <f ca="1">$E89+NPV(Disc,$F89:J89)</f>
        <v>-12546.720526675423</v>
      </c>
      <c r="K91" s="53">
        <f ca="1">$E89+NPV(Disc,$F89:K89)</f>
        <v>-12006.746087497921</v>
      </c>
      <c r="L91" s="53">
        <f ca="1">$E89+NPV(Disc,$F89:L89)</f>
        <v>-11910.94618028993</v>
      </c>
      <c r="M91" s="53">
        <f ca="1">$E89+NPV(Disc,$F89:M89)</f>
        <v>-11578.838673031742</v>
      </c>
      <c r="N91" s="53">
        <f ca="1">$E89+NPV(Disc,$F89:N89)</f>
        <v>-11265.851905526672</v>
      </c>
      <c r="O91" s="53">
        <f ca="1">$E89+NPV(Disc,$F89:O89)</f>
        <v>-10810.318311329431</v>
      </c>
      <c r="P91" s="53">
        <f ca="1">$E89+NPV(Disc,$F89:P89)</f>
        <v>-10236.52664150009</v>
      </c>
      <c r="Q91" s="53">
        <f ca="1">$E89+NPV(Disc,$F89:Q89)</f>
        <v>-9714.9363167371339</v>
      </c>
      <c r="R91" s="53">
        <f ca="1">$E89+NPV(Disc,$F89:R89)</f>
        <v>-9319.0277034396404</v>
      </c>
      <c r="S91" s="53">
        <f ca="1">$E89+NPV(Disc,$F89:S89)</f>
        <v>-9094.6603815672825</v>
      </c>
      <c r="T91" s="53">
        <f ca="1">$E89+NPV(Disc,$F89:T89)</f>
        <v>-8906.4382595737479</v>
      </c>
      <c r="U91" s="53">
        <f ca="1">$E89+NPV(Disc,$F89:U89)</f>
        <v>-8709.9789825650387</v>
      </c>
      <c r="V91" s="53">
        <f ca="1">$E89+NPV(Disc,$F89:V89)</f>
        <v>-8490.5468959831687</v>
      </c>
      <c r="W91" s="53">
        <f ca="1">$E89+NPV(Disc,$F89:W89)</f>
        <v>-8217.8771477282589</v>
      </c>
      <c r="X91" s="53">
        <f ca="1">$E89+NPV(Disc,$F89:X89)</f>
        <v>-7983.1175667906791</v>
      </c>
      <c r="Y91" s="53">
        <f ca="1">$E89+NPV(Disc,$F89:Y89)</f>
        <v>-7780.5739298219978</v>
      </c>
      <c r="Z91" s="53">
        <f ca="1">$E89+NPV(Disc,$F89:Z89)</f>
        <v>-5092.733342092054</v>
      </c>
      <c r="AA91" s="420"/>
      <c r="AB91" s="416"/>
    </row>
    <row r="92" spans="1:29">
      <c r="A92" s="449"/>
      <c r="B92" s="8" t="s">
        <v>179</v>
      </c>
      <c r="C92" s="8"/>
      <c r="D92" s="21"/>
      <c r="E92" s="21" t="e">
        <f ca="1">IRR($E89:E89,-0.9)</f>
        <v>#NUM!</v>
      </c>
      <c r="F92" s="21" t="e">
        <f ca="1">IRR($E89:F89,-0.9)</f>
        <v>#NUM!</v>
      </c>
      <c r="G92" s="21" t="e">
        <f ca="1">IRR($E89:G89,-0.9)</f>
        <v>#NUM!</v>
      </c>
      <c r="H92" s="21">
        <f ca="1">IRR($E89:H89,-0.9)</f>
        <v>-0.77758601313281439</v>
      </c>
      <c r="I92" s="21">
        <f ca="1">IRR($E89:I89,-0.9)</f>
        <v>-0.53333527100609346</v>
      </c>
      <c r="J92" s="21">
        <f ca="1">IRR($E89:J89,-0.9)</f>
        <v>-0.40594712631468649</v>
      </c>
      <c r="K92" s="21">
        <f ca="1">IRR($E89:K89,-0.9)</f>
        <v>-0.28060857593379507</v>
      </c>
      <c r="L92" s="21">
        <f ca="1">IRR($E89:L89,-0.9)</f>
        <v>-0.25848627222560577</v>
      </c>
      <c r="M92" s="21">
        <f ca="1">IRR($E89:M89,-0.9)</f>
        <v>-0.18413620177311638</v>
      </c>
      <c r="N92" s="21">
        <f ca="1">IRR($E89:N89,-0.9)</f>
        <v>-0.13028448424047764</v>
      </c>
      <c r="O92" s="21">
        <f ca="1">IRR($E89:O89,-0.9)</f>
        <v>-7.2236827751069377E-2</v>
      </c>
      <c r="P92" s="21">
        <f ca="1">IRR($E89:P89,-0.9)</f>
        <v>-2.153534031866236E-2</v>
      </c>
      <c r="Q92" s="21">
        <f ca="1">IRR($E89:Q89,-0.9)</f>
        <v>1.2565553361448326E-2</v>
      </c>
      <c r="R92" s="21">
        <f ca="1">IRR($E89:R89,-0.9)</f>
        <v>3.4011034112890103E-2</v>
      </c>
      <c r="S92" s="21">
        <f ca="1">IRR($E89:S89,-0.9)</f>
        <v>4.5205510998161724E-2</v>
      </c>
      <c r="T92" s="21">
        <f ca="1">IRR($E89:T89,-0.9)</f>
        <v>5.4358629594448711E-2</v>
      </c>
      <c r="U92" s="21">
        <f ca="1">IRR($E89:U89,-0.9)</f>
        <v>6.360086496130897E-2</v>
      </c>
      <c r="V92" s="21">
        <f ca="1">IRR($E89:V89,-0.9)</f>
        <v>7.3333003225027227E-2</v>
      </c>
      <c r="W92" s="21">
        <f ca="1">IRR($E89:W89,-0.9)</f>
        <v>8.4320374742537396E-2</v>
      </c>
      <c r="X92" s="21">
        <f ca="1">IRR($E89:X89,-0.9)</f>
        <v>9.2862074671617986E-2</v>
      </c>
      <c r="Y92" s="21">
        <f ca="1">IRR($E89:Y89,-0.9)</f>
        <v>9.9686944837866137E-2</v>
      </c>
      <c r="Z92" s="21">
        <f ca="1">IRR($E89:Z89,-0.9)</f>
        <v>0.15003037038556755</v>
      </c>
      <c r="AA92" s="416"/>
      <c r="AB92" s="631">
        <f ca="1">IRR($E89:Z89)</f>
        <v>0.15003037038556744</v>
      </c>
    </row>
    <row r="93" spans="1:29">
      <c r="A93" s="449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416"/>
      <c r="AB93" s="416"/>
    </row>
    <row r="94" spans="1:29">
      <c r="A94" s="449"/>
      <c r="B94" s="266" t="str">
        <f ca="1">CONCATENATE(Assm!$H$62," NPV @ ",TEXT(Disc,"0.0%"))</f>
        <v>Shell NPV @ 19.0%</v>
      </c>
      <c r="C94" s="441">
        <f ca="1">AB89</f>
        <v>-5092.7333420920522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416"/>
      <c r="AB94" s="416"/>
    </row>
    <row r="95" spans="1:29" ht="13.5" thickBot="1">
      <c r="A95" s="455"/>
      <c r="B95" s="670" t="str">
        <f>CONCATENATE(Assm!$H$62," IRR")</f>
        <v>Shell IRR</v>
      </c>
      <c r="C95" s="671">
        <f ca="1">AB92</f>
        <v>0.15003037038556744</v>
      </c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429"/>
      <c r="AB95" s="429"/>
    </row>
    <row r="96" spans="1:29" ht="13.5" thickBot="1">
      <c r="A96" s="152"/>
      <c r="B96" s="32"/>
      <c r="C96" s="32"/>
      <c r="D96" s="8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B96" s="8"/>
    </row>
    <row r="97" spans="1:29" s="8" customFormat="1">
      <c r="A97" s="447" t="str">
        <f>CONCATENATE(Assm!$H$63," Returns")</f>
        <v>Transredes Returns</v>
      </c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413"/>
      <c r="AB97" s="413"/>
      <c r="AC97" s="5"/>
    </row>
    <row r="98" spans="1:29">
      <c r="A98" s="453">
        <f>IF(Assm!$L$66=1,Assm!$K$71,Assm!$K$63)</f>
        <v>0.4</v>
      </c>
      <c r="B98" s="8" t="s">
        <v>176</v>
      </c>
      <c r="C98" s="8"/>
      <c r="D98" s="27"/>
      <c r="E98" s="53">
        <f t="shared" ref="E98:Z98" ca="1" si="34">E$10*$A98</f>
        <v>-4148.9345480000002</v>
      </c>
      <c r="F98" s="53">
        <f t="shared" ca="1" si="34"/>
        <v>-11851.065456000002</v>
      </c>
      <c r="G98" s="53">
        <f t="shared" ca="1" si="34"/>
        <v>-8000</v>
      </c>
      <c r="H98" s="53">
        <f t="shared" ca="1" si="34"/>
        <v>0</v>
      </c>
      <c r="I98" s="53">
        <f t="shared" ca="1" si="34"/>
        <v>0</v>
      </c>
      <c r="J98" s="53">
        <f t="shared" ca="1" si="34"/>
        <v>0</v>
      </c>
      <c r="K98" s="53">
        <f t="shared" ca="1" si="34"/>
        <v>0</v>
      </c>
      <c r="L98" s="53">
        <f t="shared" ca="1" si="34"/>
        <v>0</v>
      </c>
      <c r="M98" s="53">
        <f t="shared" ca="1" si="34"/>
        <v>0</v>
      </c>
      <c r="N98" s="53">
        <f t="shared" ca="1" si="34"/>
        <v>0</v>
      </c>
      <c r="O98" s="53">
        <f t="shared" ca="1" si="34"/>
        <v>0</v>
      </c>
      <c r="P98" s="53">
        <f t="shared" ca="1" si="34"/>
        <v>0</v>
      </c>
      <c r="Q98" s="53">
        <f t="shared" ca="1" si="34"/>
        <v>0</v>
      </c>
      <c r="R98" s="53">
        <f t="shared" ca="1" si="34"/>
        <v>0</v>
      </c>
      <c r="S98" s="53">
        <f t="shared" ca="1" si="34"/>
        <v>0</v>
      </c>
      <c r="T98" s="53">
        <f t="shared" ca="1" si="34"/>
        <v>0</v>
      </c>
      <c r="U98" s="53">
        <f t="shared" ca="1" si="34"/>
        <v>0</v>
      </c>
      <c r="V98" s="53">
        <f t="shared" ca="1" si="34"/>
        <v>0</v>
      </c>
      <c r="W98" s="53">
        <f t="shared" ca="1" si="34"/>
        <v>0</v>
      </c>
      <c r="X98" s="53">
        <f t="shared" ca="1" si="34"/>
        <v>0</v>
      </c>
      <c r="Y98" s="53">
        <f t="shared" ca="1" si="34"/>
        <v>0</v>
      </c>
      <c r="Z98" s="53">
        <f t="shared" ca="1" si="34"/>
        <v>0</v>
      </c>
      <c r="AA98" s="420">
        <f ca="1">SUM(E98:Z98)</f>
        <v>-24000.000004000001</v>
      </c>
      <c r="AB98" s="420">
        <f ca="1">$E98+NPV(Disc,$F98:Z98)</f>
        <v>-19757.131633403576</v>
      </c>
    </row>
    <row r="99" spans="1:29">
      <c r="A99" s="453">
        <f>IF(Assm!$L$66=1,Assm!$L$71,Assm!L63)</f>
        <v>0.4</v>
      </c>
      <c r="B99" s="8" t="s">
        <v>655</v>
      </c>
      <c r="C99" s="8"/>
      <c r="D99" s="27"/>
      <c r="E99" s="53">
        <f t="shared" ref="E99:Z99" ca="1" si="35">E$11*$A99</f>
        <v>0</v>
      </c>
      <c r="F99" s="53">
        <f t="shared" ca="1" si="35"/>
        <v>0</v>
      </c>
      <c r="G99" s="53">
        <f t="shared" ca="1" si="35"/>
        <v>0</v>
      </c>
      <c r="H99" s="53">
        <f t="shared" ca="1" si="35"/>
        <v>0</v>
      </c>
      <c r="I99" s="53">
        <f t="shared" ca="1" si="35"/>
        <v>3.6379788070917132E-13</v>
      </c>
      <c r="J99" s="53">
        <f t="shared" ca="1" si="35"/>
        <v>-1.8189894035458566E-13</v>
      </c>
      <c r="K99" s="53">
        <f t="shared" ca="1" si="35"/>
        <v>-3.6379788070917132E-13</v>
      </c>
      <c r="L99" s="53">
        <f t="shared" ca="1" si="35"/>
        <v>-1.8189894035458566E-13</v>
      </c>
      <c r="M99" s="53">
        <f t="shared" ca="1" si="35"/>
        <v>768.92536478371517</v>
      </c>
      <c r="N99" s="53">
        <f t="shared" ca="1" si="35"/>
        <v>2858.4611699851775</v>
      </c>
      <c r="O99" s="53">
        <f t="shared" ca="1" si="35"/>
        <v>3230.6691455174355</v>
      </c>
      <c r="P99" s="53">
        <f t="shared" ca="1" si="35"/>
        <v>3829.7265664521583</v>
      </c>
      <c r="Q99" s="53">
        <f t="shared" ca="1" si="35"/>
        <v>4226.2527213251306</v>
      </c>
      <c r="R99" s="53">
        <f t="shared" ca="1" si="35"/>
        <v>4714.0134483171532</v>
      </c>
      <c r="S99" s="53">
        <f t="shared" ca="1" si="35"/>
        <v>5483.4682414074477</v>
      </c>
      <c r="T99" s="53">
        <f t="shared" ca="1" si="35"/>
        <v>5304.6837892135345</v>
      </c>
      <c r="U99" s="53">
        <f t="shared" ca="1" si="35"/>
        <v>6287.2886317018001</v>
      </c>
      <c r="V99" s="53">
        <f t="shared" ca="1" si="35"/>
        <v>6795.8240732163777</v>
      </c>
      <c r="W99" s="53">
        <f t="shared" ca="1" si="35"/>
        <v>7152.24130459761</v>
      </c>
      <c r="X99" s="53">
        <f t="shared" ca="1" si="35"/>
        <v>7458.8245628091336</v>
      </c>
      <c r="Y99" s="53">
        <f t="shared" ca="1" si="35"/>
        <v>7791.1033344831994</v>
      </c>
      <c r="Z99" s="53">
        <f t="shared" ca="1" si="35"/>
        <v>26114.135260899227</v>
      </c>
      <c r="AA99" s="420">
        <f ca="1">SUM(E99:Z99)</f>
        <v>92015.617614709103</v>
      </c>
      <c r="AB99" s="420">
        <f ca="1">$E99+NPV(Disc,$F99:Z99)</f>
        <v>6051.6836557972365</v>
      </c>
    </row>
    <row r="100" spans="1:29" s="71" customFormat="1">
      <c r="A100" s="449"/>
      <c r="B100" s="8" t="s">
        <v>350</v>
      </c>
      <c r="C100" s="17">
        <f>Wh_Div_NR</f>
        <v>0.125</v>
      </c>
      <c r="D100" s="22"/>
      <c r="E100" s="53">
        <f t="shared" ref="E100:X100" ca="1" si="36">-E99*$C100</f>
        <v>0</v>
      </c>
      <c r="F100" s="53">
        <f t="shared" ca="1" si="36"/>
        <v>0</v>
      </c>
      <c r="G100" s="53">
        <f t="shared" ca="1" si="36"/>
        <v>0</v>
      </c>
      <c r="H100" s="53">
        <f t="shared" ca="1" si="36"/>
        <v>0</v>
      </c>
      <c r="I100" s="53">
        <f t="shared" ca="1" si="36"/>
        <v>-4.5474735088646414E-14</v>
      </c>
      <c r="J100" s="53">
        <f t="shared" ca="1" si="36"/>
        <v>2.2737367544323207E-14</v>
      </c>
      <c r="K100" s="53">
        <f t="shared" ca="1" si="36"/>
        <v>4.5474735088646414E-14</v>
      </c>
      <c r="L100" s="53">
        <f t="shared" ca="1" si="36"/>
        <v>2.2737367544323207E-14</v>
      </c>
      <c r="M100" s="53">
        <f t="shared" ca="1" si="36"/>
        <v>-96.115670597964396</v>
      </c>
      <c r="N100" s="53">
        <f t="shared" ca="1" si="36"/>
        <v>-357.30764624814719</v>
      </c>
      <c r="O100" s="53">
        <f t="shared" ca="1" si="36"/>
        <v>-403.83364318967944</v>
      </c>
      <c r="P100" s="53">
        <f t="shared" ca="1" si="36"/>
        <v>-478.71582080651979</v>
      </c>
      <c r="Q100" s="53">
        <f t="shared" ca="1" si="36"/>
        <v>-528.28159016564132</v>
      </c>
      <c r="R100" s="53">
        <f t="shared" ca="1" si="36"/>
        <v>-589.25168103964415</v>
      </c>
      <c r="S100" s="53">
        <f t="shared" ca="1" si="36"/>
        <v>-685.43353017593097</v>
      </c>
      <c r="T100" s="53">
        <f t="shared" ca="1" si="36"/>
        <v>-663.08547365169181</v>
      </c>
      <c r="U100" s="53">
        <f t="shared" ca="1" si="36"/>
        <v>-785.91107896272501</v>
      </c>
      <c r="V100" s="53">
        <f t="shared" ca="1" si="36"/>
        <v>-849.47800915204721</v>
      </c>
      <c r="W100" s="53">
        <f t="shared" ca="1" si="36"/>
        <v>-894.03016307470125</v>
      </c>
      <c r="X100" s="53">
        <f t="shared" ca="1" si="36"/>
        <v>-932.3530703511417</v>
      </c>
      <c r="Y100" s="53">
        <f ca="1">-Y99*$C100</f>
        <v>-973.88791681039993</v>
      </c>
      <c r="Z100" s="53">
        <f ca="1">-Z99*$C100</f>
        <v>-3264.2669076124034</v>
      </c>
      <c r="AA100" s="420">
        <f t="shared" ref="AA100:AA107" ca="1" si="37">SUM(D100:Z100)</f>
        <v>-11501.952201838638</v>
      </c>
      <c r="AB100" s="420">
        <f ca="1">$E100+NPV(Disc,$F100:Z100)</f>
        <v>-756.46045697465456</v>
      </c>
      <c r="AC100" s="5"/>
    </row>
    <row r="101" spans="1:29">
      <c r="A101" s="449"/>
      <c r="B101" s="8" t="s">
        <v>946</v>
      </c>
      <c r="C101" s="18"/>
      <c r="D101" s="16"/>
      <c r="E101" s="215">
        <f>E$13*$A99</f>
        <v>0</v>
      </c>
      <c r="F101" s="215">
        <f t="shared" ref="F101:Z101" si="38">F$13*$A99</f>
        <v>0</v>
      </c>
      <c r="G101" s="215">
        <f t="shared" si="38"/>
        <v>0</v>
      </c>
      <c r="H101" s="215">
        <f t="shared" si="38"/>
        <v>0</v>
      </c>
      <c r="I101" s="215">
        <f t="shared" si="38"/>
        <v>0</v>
      </c>
      <c r="J101" s="215">
        <f t="shared" si="38"/>
        <v>0</v>
      </c>
      <c r="K101" s="215">
        <f t="shared" si="38"/>
        <v>0</v>
      </c>
      <c r="L101" s="215">
        <f t="shared" si="38"/>
        <v>0</v>
      </c>
      <c r="M101" s="215">
        <f t="shared" si="38"/>
        <v>0</v>
      </c>
      <c r="N101" s="215">
        <f t="shared" si="38"/>
        <v>0</v>
      </c>
      <c r="O101" s="215">
        <f t="shared" si="38"/>
        <v>0</v>
      </c>
      <c r="P101" s="215">
        <f t="shared" si="38"/>
        <v>0</v>
      </c>
      <c r="Q101" s="215">
        <f t="shared" si="38"/>
        <v>0</v>
      </c>
      <c r="R101" s="215">
        <f t="shared" si="38"/>
        <v>0</v>
      </c>
      <c r="S101" s="215">
        <f t="shared" si="38"/>
        <v>0</v>
      </c>
      <c r="T101" s="215">
        <f t="shared" si="38"/>
        <v>0</v>
      </c>
      <c r="U101" s="215">
        <f t="shared" si="38"/>
        <v>0</v>
      </c>
      <c r="V101" s="215">
        <f t="shared" si="38"/>
        <v>0</v>
      </c>
      <c r="W101" s="215">
        <f t="shared" si="38"/>
        <v>0</v>
      </c>
      <c r="X101" s="215">
        <f t="shared" si="38"/>
        <v>0</v>
      </c>
      <c r="Y101" s="215">
        <f t="shared" si="38"/>
        <v>0</v>
      </c>
      <c r="Z101" s="215">
        <f t="shared" ca="1" si="38"/>
        <v>138345.50345874412</v>
      </c>
      <c r="AA101" s="420">
        <f ca="1">SUM(D101:Z101)</f>
        <v>138345.50345874412</v>
      </c>
      <c r="AB101" s="420">
        <f ca="1">$E101+NPV(Disc,$F101:Z101)</f>
        <v>3584.9149678889439</v>
      </c>
    </row>
    <row r="102" spans="1:29" s="71" customFormat="1">
      <c r="A102" s="449"/>
      <c r="B102" s="8" t="s">
        <v>351</v>
      </c>
      <c r="C102" s="8"/>
      <c r="D102" s="22"/>
      <c r="E102" s="53">
        <f t="shared" ref="E102:X102" ca="1" si="39">E$12*$A99</f>
        <v>0</v>
      </c>
      <c r="F102" s="53">
        <f t="shared" ca="1" si="39"/>
        <v>0</v>
      </c>
      <c r="G102" s="53">
        <f t="shared" ca="1" si="39"/>
        <v>0</v>
      </c>
      <c r="H102" s="53">
        <f t="shared" ca="1" si="39"/>
        <v>2411.2082994630837</v>
      </c>
      <c r="I102" s="53">
        <f t="shared" ca="1" si="39"/>
        <v>2093.9409773650455</v>
      </c>
      <c r="J102" s="53">
        <f t="shared" ca="1" si="39"/>
        <v>1551.9149558486533</v>
      </c>
      <c r="K102" s="53">
        <f t="shared" ca="1" si="39"/>
        <v>2235.1612793682102</v>
      </c>
      <c r="L102" s="53">
        <f t="shared" ca="1" si="39"/>
        <v>692.6886306305737</v>
      </c>
      <c r="M102" s="53">
        <f t="shared" ca="1" si="39"/>
        <v>1390.7575082040335</v>
      </c>
      <c r="N102" s="53">
        <f t="shared" ca="1" si="39"/>
        <v>-177.44437522138617</v>
      </c>
      <c r="O102" s="53">
        <f t="shared" ca="1" si="39"/>
        <v>958.65724338143775</v>
      </c>
      <c r="P102" s="53">
        <f t="shared" ca="1" si="39"/>
        <v>2184.795737888267</v>
      </c>
      <c r="Q102" s="53">
        <f t="shared" ca="1" si="39"/>
        <v>2330.4317929224985</v>
      </c>
      <c r="R102" s="53">
        <f t="shared" ca="1" si="39"/>
        <v>1434.4975222384733</v>
      </c>
      <c r="S102" s="53">
        <f t="shared" ca="1" si="39"/>
        <v>-843.04536665457135</v>
      </c>
      <c r="T102" s="53">
        <f t="shared" ca="1" si="39"/>
        <v>-692.44061799386111</v>
      </c>
      <c r="U102" s="53">
        <f t="shared" ca="1" si="39"/>
        <v>-753.17712026350205</v>
      </c>
      <c r="V102" s="53">
        <f t="shared" ca="1" si="39"/>
        <v>174.35065093985179</v>
      </c>
      <c r="W102" s="53">
        <f t="shared" ca="1" si="39"/>
        <v>2539.5835593226948</v>
      </c>
      <c r="X102" s="53">
        <f t="shared" ca="1" si="39"/>
        <v>2555.7195202811972</v>
      </c>
      <c r="Y102" s="53">
        <f ca="1">Y$12*$A99</f>
        <v>2573.2078766850932</v>
      </c>
      <c r="Z102" s="53">
        <f ca="1">Z$12*$A99</f>
        <v>-22655.497674430622</v>
      </c>
      <c r="AA102" s="420">
        <f t="shared" ca="1" si="37"/>
        <v>5.3103999751729134</v>
      </c>
      <c r="AB102" s="420">
        <f ca="1">$E102+NPV(Disc,$F102:Z102)</f>
        <v>4890.0711172114025</v>
      </c>
      <c r="AC102" s="5"/>
    </row>
    <row r="103" spans="1:29" s="71" customFormat="1">
      <c r="A103" s="449"/>
      <c r="B103" s="8" t="s">
        <v>422</v>
      </c>
      <c r="C103" s="282" t="s">
        <v>182</v>
      </c>
      <c r="D103" s="22"/>
      <c r="E103" s="215">
        <f ca="1">IF(E$7&lt;YEAR(Startops1),0,-HLOOKUP(E$7,CF_Table,CF!$AB$39)*$A99)</f>
        <v>0</v>
      </c>
      <c r="F103" s="215">
        <f ca="1">IF(F$7&lt;YEAR(Startops1),0,-HLOOKUP(F$7,CF_Table,CF!$AB$39)*$A99)</f>
        <v>0</v>
      </c>
      <c r="G103" s="215">
        <f ca="1">IF(G$7&lt;YEAR(Startops1),0,-HLOOKUP(G$7,CF_Table,CF!$AB$39)*$A99)</f>
        <v>0</v>
      </c>
      <c r="H103" s="215">
        <f ca="1">IF(H$7&lt;YEAR(Startops1),0,-HLOOKUP(H$7,CF_Table,CF!$AB$39)*$A99)</f>
        <v>0</v>
      </c>
      <c r="I103" s="215">
        <f ca="1">IF(I$7&lt;YEAR(Startops1),0,-HLOOKUP(I$7,CF_Table,CF!$AB$39)*$A99)</f>
        <v>-120.2948949743957</v>
      </c>
      <c r="J103" s="215">
        <f ca="1">IF(J$7&lt;YEAR(Startops1),0,-HLOOKUP(J$7,CF_Table,CF!$AB$39)*$A99)</f>
        <v>-224.99194384264797</v>
      </c>
      <c r="K103" s="215">
        <f ca="1">IF(K$7&lt;YEAR(Startops1),0,-HLOOKUP(K$7,CF_Table,CF!$AB$39)*$A99)</f>
        <v>-302.58769163508066</v>
      </c>
      <c r="L103" s="215">
        <f ca="1">IF(L$7&lt;YEAR(Startops1),0,-HLOOKUP(L$7,CF_Table,CF!$AB$39)*$A99)</f>
        <v>-414.34575560349117</v>
      </c>
      <c r="M103" s="215">
        <f ca="1">IF(M$7&lt;YEAR(Startops1),0,-HLOOKUP(M$7,CF_Table,CF!$AB$39)*$A99)</f>
        <v>-448.98018713501983</v>
      </c>
      <c r="N103" s="215">
        <f ca="1">IF(N$7&lt;YEAR(Startops1),0,-HLOOKUP(N$7,CF_Table,CF!$AB$39)*$A99)</f>
        <v>-518.5180625452216</v>
      </c>
      <c r="O103" s="215">
        <f ca="1">IF(O$7&lt;YEAR(Startops1),0,-HLOOKUP(O$7,CF_Table,CF!$AB$39)*$A99)</f>
        <v>-518.5180625452216</v>
      </c>
      <c r="P103" s="215">
        <f ca="1">IF(P$7&lt;YEAR(Startops1),0,-HLOOKUP(P$7,CF_Table,CF!$AB$39)*$A99)</f>
        <v>-557.57870595322413</v>
      </c>
      <c r="Q103" s="215">
        <f ca="1">IF(Q$7&lt;YEAR(Startops1),0,-HLOOKUP(Q$7,CF_Table,CF!$AB$39)*$A99)</f>
        <v>-666.81849284763746</v>
      </c>
      <c r="R103" s="215">
        <f ca="1">IF(R$7&lt;YEAR(Startops1),0,-HLOOKUP(R$7,CF_Table,CF!$AB$39)*$A99)</f>
        <v>-783.34008249376245</v>
      </c>
      <c r="S103" s="215">
        <f ca="1">IF(S$7&lt;YEAR(Startops1),0,-HLOOKUP(S$7,CF_Table,CF!$AB$39)*$A99)</f>
        <v>-855.064958605686</v>
      </c>
      <c r="T103" s="215">
        <f ca="1">IF(T$7&lt;YEAR(Startops1),0,-HLOOKUP(T$7,CF_Table,CF!$AB$39)*$A99)</f>
        <v>-855.064958605686</v>
      </c>
      <c r="U103" s="215">
        <f ca="1">IF(U$7&lt;YEAR(Startops1),0,-HLOOKUP(U$7,CF_Table,CF!$AB$39)*$A99)</f>
        <v>-812.91269027295755</v>
      </c>
      <c r="V103" s="215">
        <f ca="1">IF(V$7&lt;YEAR(Startops1),0,-HLOOKUP(V$7,CF_Table,CF!$AB$39)*$A99)</f>
        <v>-778.29065937326448</v>
      </c>
      <c r="W103" s="215">
        <f ca="1">IF(W$7&lt;YEAR(Startops1),0,-HLOOKUP(W$7,CF_Table,CF!$AB$39)*$A99)</f>
        <v>-749.34933590708204</v>
      </c>
      <c r="X103" s="215">
        <f ca="1">IF(X$7&lt;YEAR(Startops1),0,-HLOOKUP(X$7,CF_Table,CF!$AB$39)*$A99)</f>
        <v>-876.32851387321671</v>
      </c>
      <c r="Y103" s="215">
        <f ca="1">IF(Y$7&lt;YEAR(Startops1),0,-HLOOKUP(Y$7,CF_Table,CF!$AB$39)*$A99)</f>
        <v>-1004.1144898872765</v>
      </c>
      <c r="Z103" s="215">
        <f ca="1">IF(Z$7&lt;YEAR(Startops1),0,-HLOOKUP(Z$7,CF_Table,CF!$AB$39)*$A99)</f>
        <v>-377.5916279071771</v>
      </c>
      <c r="AA103" s="420">
        <f ca="1">SUM(D103:Z103)</f>
        <v>-10864.69111400805</v>
      </c>
      <c r="AB103" s="420">
        <f ca="1">$E103+NPV(Disc,$F103:Z103)</f>
        <v>-1275.2202750932613</v>
      </c>
      <c r="AC103" s="5"/>
    </row>
    <row r="104" spans="1:29" s="71" customFormat="1">
      <c r="A104" s="665">
        <f>Assm!$K$75</f>
        <v>0.4</v>
      </c>
      <c r="B104" s="8" t="s">
        <v>183</v>
      </c>
      <c r="C104" s="282" t="s">
        <v>182</v>
      </c>
      <c r="D104" s="22"/>
      <c r="E104" s="215">
        <f>IF(E$7=YEAR(Startops1),Assm!$O$35*$A104,0)</f>
        <v>0</v>
      </c>
      <c r="F104" s="215">
        <f>IF(F$7=YEAR(Startops1),Assm!$O$35*$A104,0)</f>
        <v>0</v>
      </c>
      <c r="G104" s="215">
        <f>IF(G$7=YEAR(Startops1),Assm!$O$35*$A104,0)</f>
        <v>0</v>
      </c>
      <c r="H104" s="215">
        <f>IF(H$7=YEAR(Startops1),Assm!$O$35*$A104,0)</f>
        <v>0</v>
      </c>
      <c r="I104" s="215">
        <f>IF(I$7=YEAR(Startops1),Assm!$O$35*$A104,0)</f>
        <v>0</v>
      </c>
      <c r="J104" s="215">
        <f>IF(J$7=YEAR(Startops1),Assm!$O$35*$A104,0)</f>
        <v>0</v>
      </c>
      <c r="K104" s="215">
        <f>IF(K$7=YEAR(Startops1),Assm!$O$35*$A104,0)</f>
        <v>0</v>
      </c>
      <c r="L104" s="215">
        <f>IF(L$7=YEAR(Startops1),Assm!$O$35*$A104,0)</f>
        <v>0</v>
      </c>
      <c r="M104" s="215">
        <f>IF(M$7=YEAR(Startops1),Assm!$O$35*$A104,0)</f>
        <v>0</v>
      </c>
      <c r="N104" s="215">
        <f>IF(N$7=YEAR(Startops1),Assm!$O$35*$A104,0)</f>
        <v>0</v>
      </c>
      <c r="O104" s="215">
        <f>IF(O$7=YEAR(Startops1),Assm!$O$35*$A104,0)</f>
        <v>0</v>
      </c>
      <c r="P104" s="215">
        <f>IF(P$7=YEAR(Startops1),Assm!$O$35*$A104,0)</f>
        <v>0</v>
      </c>
      <c r="Q104" s="215">
        <f>IF(Q$7=YEAR(Startops1),Assm!$O$35*$A104,0)</f>
        <v>0</v>
      </c>
      <c r="R104" s="215">
        <f>IF(R$7=YEAR(Startops1),Assm!$O$35*$A104,0)</f>
        <v>0</v>
      </c>
      <c r="S104" s="215">
        <f>IF(S$7=YEAR(Startops1),Assm!$O$35*$A104,0)</f>
        <v>0</v>
      </c>
      <c r="T104" s="215">
        <f>IF(T$7=YEAR(Startops1),Assm!$O$35*$A104,0)</f>
        <v>0</v>
      </c>
      <c r="U104" s="215">
        <f>IF(U$7=YEAR(Startops1),Assm!$O$35*$A104,0)</f>
        <v>0</v>
      </c>
      <c r="V104" s="215">
        <f>IF(V$7=YEAR(Startops1),Assm!$O$35*$A104,0)</f>
        <v>0</v>
      </c>
      <c r="W104" s="215">
        <f>IF(W$7=YEAR(Startops1),Assm!$O$35*$A104,0)</f>
        <v>0</v>
      </c>
      <c r="X104" s="215">
        <f>IF(X$7=YEAR(Startops1),Assm!$O$35*$A104,0)</f>
        <v>0</v>
      </c>
      <c r="Y104" s="215">
        <f>IF(Y$7=YEAR(Startops1),Assm!$O$35*$A104,0)</f>
        <v>0</v>
      </c>
      <c r="Z104" s="215">
        <f>IF(Z$7=YEAR(Startops1),Assm!$O$35*$A104,0)</f>
        <v>0</v>
      </c>
      <c r="AA104" s="420">
        <f t="shared" si="37"/>
        <v>0</v>
      </c>
      <c r="AB104" s="420">
        <f ca="1">$E104+NPV(Disc,$F104:Z104)</f>
        <v>0</v>
      </c>
      <c r="AC104" s="5"/>
    </row>
    <row r="105" spans="1:29">
      <c r="A105" s="665">
        <f>Assm!$K$76</f>
        <v>1</v>
      </c>
      <c r="B105" s="8" t="s">
        <v>587</v>
      </c>
      <c r="C105" s="282" t="s">
        <v>182</v>
      </c>
      <c r="D105" s="8"/>
      <c r="E105" s="215">
        <f ca="1">IF(E$7&lt;YEAR(Startops1),0,HLOOKUP(E$7,CF_Table,CF!$AB$28)*$A105)</f>
        <v>0</v>
      </c>
      <c r="F105" s="215">
        <f ca="1">IF(F$7&lt;YEAR(Startops1),0,HLOOKUP(F$7,CF_Table,CF!$AB$28)*$A105)</f>
        <v>0</v>
      </c>
      <c r="G105" s="215">
        <f ca="1">IF(G$7&lt;YEAR(Startops1),0,HLOOKUP(G$7,CF_Table,CF!$AB$28)*$A105)</f>
        <v>0</v>
      </c>
      <c r="H105" s="215">
        <f ca="1">IF(H$7&lt;YEAR(Startops1),0,HLOOKUP(H$7,CF_Table,CF!$AB$28)*$A105)</f>
        <v>232.20730588332773</v>
      </c>
      <c r="I105" s="215">
        <f ca="1">IF(I$7&lt;YEAR(Startops1),0,HLOOKUP(I$7,CF_Table,CF!$AB$28)*$A105)</f>
        <v>287.54019927560608</v>
      </c>
      <c r="J105" s="215">
        <f ca="1">IF(J$7&lt;YEAR(Startops1),0,HLOOKUP(J$7,CF_Table,CF!$AB$28)*$A105)</f>
        <v>296.1995884801745</v>
      </c>
      <c r="K105" s="215">
        <f ca="1">IF(K$7&lt;YEAR(Startops1),0,HLOOKUP(K$7,CF_Table,CF!$AB$28)*$A105)</f>
        <v>304.8503197311278</v>
      </c>
      <c r="L105" s="215">
        <f ca="1">IF(L$7&lt;YEAR(Startops1),0,HLOOKUP(L$7,CF_Table,CF!$AB$28)*$A105)</f>
        <v>313.554719780754</v>
      </c>
      <c r="M105" s="215">
        <f ca="1">IF(M$7&lt;YEAR(Startops1),0,HLOOKUP(M$7,CF_Table,CF!$AB$28)*$A105)</f>
        <v>322.33388878654785</v>
      </c>
      <c r="N105" s="215">
        <f ca="1">IF(N$7&lt;YEAR(Startops1),0,HLOOKUP(N$7,CF_Table,CF!$AB$28)*$A105)</f>
        <v>331.14800564069577</v>
      </c>
      <c r="O105" s="215">
        <f ca="1">IF(O$7&lt;YEAR(Startops1),0,HLOOKUP(O$7,CF_Table,CF!$AB$28)*$A105)</f>
        <v>340.00722331665912</v>
      </c>
      <c r="P105" s="215">
        <f ca="1">IF(P$7&lt;YEAR(Startops1),0,HLOOKUP(P$7,CF_Table,CF!$AB$28)*$A105)</f>
        <v>348.93959124892791</v>
      </c>
      <c r="Q105" s="215">
        <f ca="1">IF(Q$7&lt;YEAR(Startops1),0,HLOOKUP(Q$7,CF_Table,CF!$AB$28)*$A105)</f>
        <v>357.95638822539451</v>
      </c>
      <c r="R105" s="215">
        <f ca="1">IF(R$7&lt;YEAR(Startops1),0,HLOOKUP(R$7,CF_Table,CF!$AB$28)*$A105)</f>
        <v>367.07593267425449</v>
      </c>
      <c r="S105" s="215">
        <f ca="1">IF(S$7&lt;YEAR(Startops1),0,HLOOKUP(S$7,CF_Table,CF!$AB$28)*$A105)</f>
        <v>376.33196919425041</v>
      </c>
      <c r="T105" s="215">
        <f ca="1">IF(T$7&lt;YEAR(Startops1),0,HLOOKUP(T$7,CF_Table,CF!$AB$28)*$A105)</f>
        <v>385.78011171619397</v>
      </c>
      <c r="U105" s="215">
        <f ca="1">IF(U$7&lt;YEAR(Startops1),0,HLOOKUP(U$7,CF_Table,CF!$AB$28)*$A105)</f>
        <v>395.52921248078377</v>
      </c>
      <c r="V105" s="215">
        <f ca="1">IF(V$7&lt;YEAR(Startops1),0,HLOOKUP(V$7,CF_Table,CF!$AB$28)*$A105)</f>
        <v>405.67080658059922</v>
      </c>
      <c r="W105" s="215">
        <f ca="1">IF(W$7&lt;YEAR(Startops1),0,HLOOKUP(W$7,CF_Table,CF!$AB$28)*$A105)</f>
        <v>416.24934744038057</v>
      </c>
      <c r="X105" s="215">
        <f ca="1">IF(X$7&lt;YEAR(Startops1),0,HLOOKUP(X$7,CF_Table,CF!$AB$28)*$A105)</f>
        <v>427.3130199846222</v>
      </c>
      <c r="Y105" s="215">
        <f ca="1">IF(Y$7&lt;YEAR(Startops1),0,HLOOKUP(Y$7,CF_Table,CF!$AB$28)*$A105)</f>
        <v>438.86008871708958</v>
      </c>
      <c r="Z105" s="215">
        <f ca="1">IF(Z$7&lt;YEAR(Startops1),0,HLOOKUP(Z$7,CF_Table,CF!$AB$28)*$A105)</f>
        <v>150.30128708322397</v>
      </c>
      <c r="AA105" s="420">
        <f ca="1">SUM(D105:Z105)</f>
        <v>6497.8490062406136</v>
      </c>
      <c r="AB105" s="420">
        <f ca="1">$E105+NPV(Disc,$F105:Z105)</f>
        <v>1106.7980249351556</v>
      </c>
    </row>
    <row r="106" spans="1:29" s="71" customFormat="1">
      <c r="A106" s="449"/>
      <c r="B106" s="8" t="s">
        <v>352</v>
      </c>
      <c r="C106" s="8"/>
      <c r="D106" s="22"/>
      <c r="E106" s="226">
        <f t="shared" ref="E106:Z106" ca="1" si="40">-SUM(E103:E105)*USTax</f>
        <v>0</v>
      </c>
      <c r="F106" s="226">
        <f t="shared" ca="1" si="40"/>
        <v>0</v>
      </c>
      <c r="G106" s="226">
        <f t="shared" ca="1" si="40"/>
        <v>0</v>
      </c>
      <c r="H106" s="226">
        <f t="shared" ca="1" si="40"/>
        <v>-85.916703176831263</v>
      </c>
      <c r="I106" s="226">
        <f t="shared" ca="1" si="40"/>
        <v>-61.880762591447841</v>
      </c>
      <c r="J106" s="226">
        <f t="shared" ca="1" si="40"/>
        <v>-26.346828515884816</v>
      </c>
      <c r="K106" s="226">
        <f t="shared" ca="1" si="40"/>
        <v>-0.83717239553744094</v>
      </c>
      <c r="L106" s="226">
        <f t="shared" ca="1" si="40"/>
        <v>37.292683254412751</v>
      </c>
      <c r="M106" s="226">
        <f t="shared" ca="1" si="40"/>
        <v>46.859130388934638</v>
      </c>
      <c r="N106" s="226">
        <f t="shared" ca="1" si="40"/>
        <v>69.326921054674557</v>
      </c>
      <c r="O106" s="226">
        <f t="shared" ca="1" si="40"/>
        <v>66.04901051456811</v>
      </c>
      <c r="P106" s="226">
        <f t="shared" ca="1" si="40"/>
        <v>77.196472440589602</v>
      </c>
      <c r="Q106" s="226">
        <f t="shared" ca="1" si="40"/>
        <v>114.27897871022989</v>
      </c>
      <c r="R106" s="226">
        <f t="shared" ca="1" si="40"/>
        <v>154.01773543321795</v>
      </c>
      <c r="S106" s="226">
        <f t="shared" ca="1" si="40"/>
        <v>177.13120608223116</v>
      </c>
      <c r="T106" s="226">
        <f t="shared" ca="1" si="40"/>
        <v>173.63539334911204</v>
      </c>
      <c r="U106" s="226">
        <f t="shared" ca="1" si="40"/>
        <v>154.43188678310429</v>
      </c>
      <c r="V106" s="226">
        <f t="shared" ca="1" si="40"/>
        <v>137.86934553328615</v>
      </c>
      <c r="W106" s="226">
        <f t="shared" ca="1" si="40"/>
        <v>123.24699573267954</v>
      </c>
      <c r="X106" s="226">
        <f t="shared" ca="1" si="40"/>
        <v>166.13573273877998</v>
      </c>
      <c r="Y106" s="226">
        <f t="shared" ca="1" si="40"/>
        <v>209.14412843296913</v>
      </c>
      <c r="Z106" s="226">
        <f t="shared" ca="1" si="40"/>
        <v>84.097426104862663</v>
      </c>
      <c r="AA106" s="420">
        <f t="shared" ca="1" si="37"/>
        <v>1615.7315798739514</v>
      </c>
      <c r="AB106" s="421">
        <f ca="1">$E106+NPV(Disc,$F106:Z106)</f>
        <v>62.316232558499117</v>
      </c>
      <c r="AC106" s="5"/>
    </row>
    <row r="107" spans="1:29" s="77" customFormat="1">
      <c r="A107" s="449"/>
      <c r="B107" s="8" t="s">
        <v>177</v>
      </c>
      <c r="C107" s="8"/>
      <c r="D107" s="28"/>
      <c r="E107" s="53">
        <f t="shared" ref="E107:Z107" ca="1" si="41">SUM(E98:E106)</f>
        <v>-4148.9345480000002</v>
      </c>
      <c r="F107" s="53">
        <f t="shared" ca="1" si="41"/>
        <v>-11851.065456000002</v>
      </c>
      <c r="G107" s="53">
        <f t="shared" ca="1" si="41"/>
        <v>-8000</v>
      </c>
      <c r="H107" s="53">
        <f t="shared" ca="1" si="41"/>
        <v>2557.4989021695801</v>
      </c>
      <c r="I107" s="53">
        <f t="shared" ca="1" si="41"/>
        <v>2199.3055190748087</v>
      </c>
      <c r="J107" s="53">
        <f t="shared" ca="1" si="41"/>
        <v>1596.7757719702947</v>
      </c>
      <c r="K107" s="53">
        <f t="shared" ca="1" si="41"/>
        <v>2236.5867350687195</v>
      </c>
      <c r="L107" s="53">
        <f t="shared" ca="1" si="41"/>
        <v>629.19027806224915</v>
      </c>
      <c r="M107" s="53">
        <f t="shared" ca="1" si="41"/>
        <v>1983.7800344302466</v>
      </c>
      <c r="N107" s="53">
        <f t="shared" ca="1" si="41"/>
        <v>2205.666012665793</v>
      </c>
      <c r="O107" s="53">
        <f t="shared" ca="1" si="41"/>
        <v>3673.0309169951993</v>
      </c>
      <c r="P107" s="53">
        <f t="shared" ca="1" si="41"/>
        <v>5404.3638412701994</v>
      </c>
      <c r="Q107" s="53">
        <f t="shared" ca="1" si="41"/>
        <v>5833.8197981699741</v>
      </c>
      <c r="R107" s="53">
        <f t="shared" ca="1" si="41"/>
        <v>5297.0128751296916</v>
      </c>
      <c r="S107" s="53">
        <f t="shared" ca="1" si="41"/>
        <v>3653.3875612477405</v>
      </c>
      <c r="T107" s="53">
        <f t="shared" ca="1" si="41"/>
        <v>3653.508244027601</v>
      </c>
      <c r="U107" s="53">
        <f t="shared" ca="1" si="41"/>
        <v>4485.248841466504</v>
      </c>
      <c r="V107" s="53">
        <f t="shared" ca="1" si="41"/>
        <v>5885.9462077448034</v>
      </c>
      <c r="W107" s="53">
        <f t="shared" ca="1" si="41"/>
        <v>8587.9417081115807</v>
      </c>
      <c r="X107" s="53">
        <f t="shared" ca="1" si="41"/>
        <v>8799.3112515893736</v>
      </c>
      <c r="Y107" s="53">
        <f t="shared" ca="1" si="41"/>
        <v>9034.3130216206737</v>
      </c>
      <c r="Z107" s="53">
        <f t="shared" ca="1" si="41"/>
        <v>138396.68122288119</v>
      </c>
      <c r="AA107" s="420">
        <f t="shared" ca="1" si="37"/>
        <v>192113.36873969622</v>
      </c>
      <c r="AB107" s="420">
        <f ca="1">SUM(AB98:AB106)</f>
        <v>-6093.0283670802546</v>
      </c>
      <c r="AC107" s="5"/>
    </row>
    <row r="108" spans="1:29" s="77" customFormat="1">
      <c r="A108" s="449"/>
      <c r="B108" s="8"/>
      <c r="C108" s="8"/>
      <c r="D108" s="28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461"/>
      <c r="AB108" s="416"/>
      <c r="AC108" s="5"/>
    </row>
    <row r="109" spans="1:29">
      <c r="A109" s="449"/>
      <c r="B109" s="8" t="s">
        <v>178</v>
      </c>
      <c r="C109" s="8"/>
      <c r="D109" s="27"/>
      <c r="E109" s="53">
        <f ca="1">$E107</f>
        <v>-4148.9345480000002</v>
      </c>
      <c r="F109" s="53">
        <f ca="1">$E107+NPV(Disc,$F107:F107)</f>
        <v>-14107.813082453784</v>
      </c>
      <c r="G109" s="53">
        <f ca="1">$E107+NPV(Disc,$F107:G107)</f>
        <v>-19757.131633403576</v>
      </c>
      <c r="H109" s="53">
        <f ca="1">$E107+NPV(Disc,$F107:H107)</f>
        <v>-18239.47134011993</v>
      </c>
      <c r="I109" s="53">
        <f ca="1">$E107+NPV(Disc,$F107:I107)</f>
        <v>-17142.746402958393</v>
      </c>
      <c r="J109" s="53">
        <f ca="1">$E107+NPV(Disc,$F107:J107)</f>
        <v>-16473.618520196371</v>
      </c>
      <c r="K109" s="53">
        <f ca="1">$E107+NPV(Disc,$F107:K107)</f>
        <v>-15686.021659386974</v>
      </c>
      <c r="L109" s="53">
        <f ca="1">$E107+NPV(Disc,$F107:L107)</f>
        <v>-15499.832979055154</v>
      </c>
      <c r="M109" s="53">
        <f ca="1">$E107+NPV(Disc,$F107:M107)</f>
        <v>-15006.525359125233</v>
      </c>
      <c r="N109" s="53">
        <f ca="1">$E107+NPV(Disc,$F107:N107)</f>
        <v>-14545.614331962151</v>
      </c>
      <c r="O109" s="53">
        <f ca="1">$E107+NPV(Disc,$F107:O107)</f>
        <v>-13900.62137846947</v>
      </c>
      <c r="P109" s="53">
        <f ca="1">$E107+NPV(Disc,$F107:P107)</f>
        <v>-13103.126313434332</v>
      </c>
      <c r="Q109" s="53">
        <f ca="1">$E107+NPV(Disc,$F107:Q107)</f>
        <v>-12379.708042478498</v>
      </c>
      <c r="R109" s="53">
        <f ca="1">$E107+NPV(Disc,$F107:R107)</f>
        <v>-11827.731616070552</v>
      </c>
      <c r="S109" s="53">
        <f ca="1">$E107+NPV(Disc,$F107:S107)</f>
        <v>-11507.813903213879</v>
      </c>
      <c r="T109" s="53">
        <f ca="1">$E107+NPV(Disc,$F107:T107)</f>
        <v>-11238.966608477738</v>
      </c>
      <c r="U109" s="53">
        <f ca="1">$E107+NPV(Disc,$F107:U107)</f>
        <v>-10961.612144348042</v>
      </c>
      <c r="V109" s="53">
        <f ca="1">$E107+NPV(Disc,$F107:V107)</f>
        <v>-10655.755481961003</v>
      </c>
      <c r="W109" s="53">
        <f ca="1">$E107+NPV(Disc,$F107:W107)</f>
        <v>-10280.744675360653</v>
      </c>
      <c r="X109" s="53">
        <f ca="1">$E107+NPV(Disc,$F107:X107)</f>
        <v>-9957.8533233370563</v>
      </c>
      <c r="Y109" s="53">
        <f ca="1">$E107+NPV(Disc,$F107:Y107)</f>
        <v>-9679.2694925102187</v>
      </c>
      <c r="Z109" s="53">
        <f ca="1">$E107+NPV(Disc,$F107:Z107)</f>
        <v>-6093.0283670802555</v>
      </c>
      <c r="AA109" s="420"/>
      <c r="AB109" s="416"/>
    </row>
    <row r="110" spans="1:29">
      <c r="A110" s="449"/>
      <c r="B110" s="8" t="s">
        <v>179</v>
      </c>
      <c r="C110" s="8"/>
      <c r="D110" s="21"/>
      <c r="E110" s="21" t="e">
        <f ca="1">IRR($E107:E107,-0.9)</f>
        <v>#NUM!</v>
      </c>
      <c r="F110" s="21" t="e">
        <f ca="1">IRR($E107:F107,-0.9)</f>
        <v>#NUM!</v>
      </c>
      <c r="G110" s="21" t="e">
        <f ca="1">IRR($E107:G107,-0.9)</f>
        <v>#NUM!</v>
      </c>
      <c r="H110" s="21">
        <f ca="1">IRR($E107:H107,-0.9)</f>
        <v>-0.76716658807789828</v>
      </c>
      <c r="I110" s="21">
        <f ca="1">IRR($E107:I107,-0.9)</f>
        <v>-0.51653719639876949</v>
      </c>
      <c r="J110" s="21">
        <f ca="1">IRR($E107:J107,-0.9)</f>
        <v>-0.38525791028893175</v>
      </c>
      <c r="K110" s="21">
        <f ca="1">IRR($E107:K107,-0.9)</f>
        <v>-0.26188813052561127</v>
      </c>
      <c r="L110" s="21">
        <f ca="1">IRR($E107:L107,-0.9)</f>
        <v>-0.233900017024121</v>
      </c>
      <c r="M110" s="21">
        <f ca="1">IRR($E107:M107,-0.9)</f>
        <v>-0.16344363701458922</v>
      </c>
      <c r="N110" s="21">
        <f ca="1">IRR($E107:N107,-0.9)</f>
        <v>-0.11198169636503892</v>
      </c>
      <c r="O110" s="21">
        <f ca="1">IRR($E107:O107,-0.9)</f>
        <v>-5.7572993891020607E-2</v>
      </c>
      <c r="P110" s="21">
        <f ca="1">IRR($E107:P107,-0.9)</f>
        <v>-9.7876823700786073E-3</v>
      </c>
      <c r="Q110" s="21">
        <f ca="1">IRR($E107:Q107,-0.9)</f>
        <v>2.2748828001914721E-2</v>
      </c>
      <c r="R110" s="21">
        <f ca="1">IRR($E107:R107,-0.9)</f>
        <v>4.3411067933662242E-2</v>
      </c>
      <c r="S110" s="21">
        <f ca="1">IRR($E107:S107,-0.9)</f>
        <v>5.4413008275405461E-2</v>
      </c>
      <c r="T110" s="21">
        <f ca="1">IRR($E107:T107,-0.9)</f>
        <v>6.3373346711720749E-2</v>
      </c>
      <c r="U110" s="21">
        <f ca="1">IRR($E107:U107,-0.9)</f>
        <v>7.2281662512411915E-2</v>
      </c>
      <c r="V110" s="21">
        <f ca="1">IRR($E107:V107,-0.9)</f>
        <v>8.1537706082359246E-2</v>
      </c>
      <c r="W110" s="21">
        <f ca="1">IRR($E107:W107,-0.9)</f>
        <v>9.1881879151201162E-2</v>
      </c>
      <c r="X110" s="21">
        <f ca="1">IRR($E107:X107,-0.9)</f>
        <v>9.9955133530626253E-2</v>
      </c>
      <c r="Y110" s="21">
        <f ca="1">IRR($E107:Y107,-0.9)</f>
        <v>0.10641820990348209</v>
      </c>
      <c r="Z110" s="21">
        <f ca="1">IRR($E107:Z107,-0.9)</f>
        <v>0.15403387943935354</v>
      </c>
      <c r="AA110" s="416"/>
      <c r="AB110" s="631">
        <f ca="1">IRR($E107:Z107)</f>
        <v>0.1540338794393524</v>
      </c>
    </row>
    <row r="111" spans="1:29">
      <c r="A111" s="44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416"/>
      <c r="AB111" s="416"/>
    </row>
    <row r="112" spans="1:29">
      <c r="A112" s="449"/>
      <c r="B112" s="266" t="str">
        <f ca="1">CONCATENATE(Assm!$H$63," NPV @ ",TEXT(Disc,"0.0%"))</f>
        <v>Transredes NPV @ 19.0%</v>
      </c>
      <c r="C112" s="441">
        <f ca="1">AB107</f>
        <v>-6093.0283670802546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416"/>
      <c r="AB112" s="416"/>
    </row>
    <row r="113" spans="1:28">
      <c r="A113" s="452"/>
      <c r="B113" s="435" t="str">
        <f>CONCATENATE(Assm!$H$63," IRR")</f>
        <v>Transredes IRR</v>
      </c>
      <c r="C113" s="1193">
        <f ca="1">AB110</f>
        <v>0.1540338794393524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459"/>
      <c r="AB113" s="459"/>
    </row>
    <row r="114" spans="1:28">
      <c r="A114" s="449"/>
      <c r="B114" s="32"/>
      <c r="C114" s="32"/>
      <c r="D114" s="32"/>
      <c r="E114" s="8"/>
      <c r="F114" s="119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416"/>
      <c r="AB114" s="416"/>
    </row>
    <row r="115" spans="1:28">
      <c r="A115" s="454"/>
      <c r="B115" s="8" t="s">
        <v>653</v>
      </c>
      <c r="C115" s="8"/>
      <c r="D115" s="8"/>
      <c r="E115" s="53">
        <f ca="1">E107</f>
        <v>-4148.9345480000002</v>
      </c>
      <c r="F115" s="53">
        <f t="shared" ref="F115:Z115" ca="1" si="42">F107</f>
        <v>-11851.065456000002</v>
      </c>
      <c r="G115" s="53">
        <f t="shared" ca="1" si="42"/>
        <v>-8000</v>
      </c>
      <c r="H115" s="53">
        <f t="shared" ca="1" si="42"/>
        <v>2557.4989021695801</v>
      </c>
      <c r="I115" s="53">
        <f t="shared" ca="1" si="42"/>
        <v>2199.3055190748087</v>
      </c>
      <c r="J115" s="53">
        <f t="shared" ca="1" si="42"/>
        <v>1596.7757719702947</v>
      </c>
      <c r="K115" s="53">
        <f t="shared" ca="1" si="42"/>
        <v>2236.5867350687195</v>
      </c>
      <c r="L115" s="53">
        <f t="shared" ca="1" si="42"/>
        <v>629.19027806224915</v>
      </c>
      <c r="M115" s="53">
        <f t="shared" ca="1" si="42"/>
        <v>1983.7800344302466</v>
      </c>
      <c r="N115" s="53">
        <f t="shared" ca="1" si="42"/>
        <v>2205.666012665793</v>
      </c>
      <c r="O115" s="53">
        <f t="shared" ca="1" si="42"/>
        <v>3673.0309169951993</v>
      </c>
      <c r="P115" s="53">
        <f t="shared" ca="1" si="42"/>
        <v>5404.3638412701994</v>
      </c>
      <c r="Q115" s="53">
        <f t="shared" ca="1" si="42"/>
        <v>5833.8197981699741</v>
      </c>
      <c r="R115" s="53">
        <f t="shared" ca="1" si="42"/>
        <v>5297.0128751296916</v>
      </c>
      <c r="S115" s="53">
        <f t="shared" ca="1" si="42"/>
        <v>3653.3875612477405</v>
      </c>
      <c r="T115" s="53">
        <f t="shared" ca="1" si="42"/>
        <v>3653.508244027601</v>
      </c>
      <c r="U115" s="53">
        <f t="shared" ca="1" si="42"/>
        <v>4485.248841466504</v>
      </c>
      <c r="V115" s="53">
        <f t="shared" ca="1" si="42"/>
        <v>5885.9462077448034</v>
      </c>
      <c r="W115" s="53">
        <f t="shared" ca="1" si="42"/>
        <v>8587.9417081115807</v>
      </c>
      <c r="X115" s="53">
        <f t="shared" ca="1" si="42"/>
        <v>8799.3112515893736</v>
      </c>
      <c r="Y115" s="53">
        <f t="shared" ca="1" si="42"/>
        <v>9034.3130216206737</v>
      </c>
      <c r="Z115" s="183">
        <f t="shared" ca="1" si="42"/>
        <v>138396.68122288119</v>
      </c>
      <c r="AA115" s="420">
        <f t="shared" ref="AA115:AA121" ca="1" si="43">SUM(E115:Z115)</f>
        <v>192113.36873969622</v>
      </c>
      <c r="AB115" s="420">
        <f ca="1">$E115+NPV(Disc,$F115:Z115)</f>
        <v>-6093.0283670802555</v>
      </c>
    </row>
    <row r="116" spans="1:28">
      <c r="A116" s="453">
        <f>A98</f>
        <v>0.4</v>
      </c>
      <c r="B116" s="8" t="s">
        <v>347</v>
      </c>
      <c r="C116" s="8"/>
      <c r="D116" s="8"/>
      <c r="E116" s="53">
        <f ca="1">IF(E$7&lt;YEAR(Startconst),0,-HLOOKUP(DATE(E$7,12,31),Idc_Table,IDC!$AP$75)*$A116-SUM($D116:D116))</f>
        <v>0</v>
      </c>
      <c r="F116" s="53">
        <f ca="1">IF(F$7&lt;YEAR(Startconst),0,-HLOOKUP(DATE(F$7,12,31),Idc_Table,IDC!$AP$75)*$A116-SUM($D116:E116))</f>
        <v>-17876.576799829701</v>
      </c>
      <c r="G116" s="53">
        <f ca="1">IF(G$7&lt;YEAR(Startconst),0,-HLOOKUP(DATE(G$7,12,31),Idc_Table,IDC!$AP$75)*$A116-SUM($D116:F116))</f>
        <v>-10175.184709445701</v>
      </c>
      <c r="H116" s="53">
        <f ca="1">IF(H$7&lt;YEAR(Startconst),0,-HLOOKUP(DATE(H$7,12,31),Idc_Table,IDC!$AP$75)*$A116-SUM($D116:G116))</f>
        <v>0</v>
      </c>
      <c r="I116" s="53">
        <f ca="1">IF(I$7&lt;YEAR(Startconst),0,-HLOOKUP(DATE(I$7,12,31),Idc_Table,IDC!$AP$75)*$A116-SUM($D116:H116))</f>
        <v>0</v>
      </c>
      <c r="J116" s="53">
        <f ca="1">IF(J$7&lt;YEAR(Startconst),0,-HLOOKUP(DATE(J$7,12,31),Idc_Table,IDC!$AP$75)*$A116-SUM($D116:I116))</f>
        <v>0</v>
      </c>
      <c r="K116" s="53">
        <f ca="1">IF(K$7&lt;YEAR(Startconst),0,-HLOOKUP(DATE(K$7,12,31),Idc_Table,IDC!$AP$75)*$A116-SUM($D116:J116))</f>
        <v>0</v>
      </c>
      <c r="L116" s="53">
        <f ca="1">IF(L$7&lt;YEAR(Startconst),0,-HLOOKUP(DATE(L$7,12,31),Idc_Table,IDC!$AP$75)*$A116-SUM($D116:K116))</f>
        <v>0</v>
      </c>
      <c r="M116" s="53">
        <f ca="1">IF(M$7&lt;YEAR(Startconst),0,-HLOOKUP(DATE(M$7,12,31),Idc_Table,IDC!$AP$75)*$A116-SUM($D116:L116))</f>
        <v>0</v>
      </c>
      <c r="N116" s="53">
        <f ca="1">IF(N$7&lt;YEAR(Startconst),0,-HLOOKUP(DATE(N$7,12,31),Idc_Table,IDC!$AP$75)*$A116-SUM($D116:M116))</f>
        <v>0</v>
      </c>
      <c r="O116" s="53">
        <f ca="1">IF(O$7&lt;YEAR(Startconst),0,-HLOOKUP(DATE(O$7,12,31),Idc_Table,IDC!$AP$75)*$A116-SUM($D116:N116))</f>
        <v>0</v>
      </c>
      <c r="P116" s="53">
        <f ca="1">IF(P$7&lt;YEAR(Startconst),0,-HLOOKUP(DATE(P$7,12,31),Idc_Table,IDC!$AP$75)*$A116-SUM($D116:O116))</f>
        <v>0</v>
      </c>
      <c r="Q116" s="53">
        <f ca="1">IF(Q$7&lt;YEAR(Startconst),0,-HLOOKUP(DATE(Q$7,12,31),Idc_Table,IDC!$AP$75)*$A116-SUM($D116:P116))</f>
        <v>0</v>
      </c>
      <c r="R116" s="53">
        <f ca="1">IF(R$7&lt;YEAR(Startconst),0,-HLOOKUP(DATE(R$7,12,31),Idc_Table,IDC!$AP$75)*$A116-SUM($D116:Q116))</f>
        <v>0</v>
      </c>
      <c r="S116" s="53">
        <f ca="1">IF(S$7&lt;YEAR(Startconst),0,-HLOOKUP(DATE(S$7,12,31),Idc_Table,IDC!$AP$75)*$A116-SUM($D116:R116))</f>
        <v>0</v>
      </c>
      <c r="T116" s="53">
        <f ca="1">IF(T$7&lt;YEAR(Startconst),0,-HLOOKUP(DATE(T$7,12,31),Idc_Table,IDC!$AP$75)*$A116-SUM($D116:S116))</f>
        <v>0</v>
      </c>
      <c r="U116" s="53">
        <f ca="1">IF(U$7&lt;YEAR(Startconst),0,-HLOOKUP(DATE(U$7,12,31),Idc_Table,IDC!$AP$75)*$A116-SUM($D116:T116))</f>
        <v>0</v>
      </c>
      <c r="V116" s="53">
        <f ca="1">IF(V$7&lt;YEAR(Startconst),0,-HLOOKUP(DATE(V$7,12,31),Idc_Table,IDC!$AP$75)*$A116-SUM($D116:U116))</f>
        <v>0</v>
      </c>
      <c r="W116" s="53">
        <f ca="1">IF(W$7&lt;YEAR(Startconst),0,-HLOOKUP(DATE(W$7,12,31),Idc_Table,IDC!$AP$75)*$A116-SUM($D116:V116))</f>
        <v>0</v>
      </c>
      <c r="X116" s="53">
        <f ca="1">IF(X$7&lt;YEAR(Startconst),0,-HLOOKUP(DATE(X$7,12,31),Idc_Table,IDC!$AP$75)*$A116-SUM($D116:W116))</f>
        <v>0</v>
      </c>
      <c r="Y116" s="53">
        <f ca="1">IF(Y$7&lt;YEAR(Startconst),0,-HLOOKUP(DATE(Y$7,12,31),Idc_Table,IDC!$AP$75)*$A116-SUM($D116:X116))</f>
        <v>0</v>
      </c>
      <c r="Z116" s="183">
        <f ca="1">IF(Z$7&lt;YEAR(Startconst),0,-HLOOKUP(DATE(Z$7,12,31),Idc_Table,IDC!$AP$75)*$A116-SUM($D116:Y116))</f>
        <v>0</v>
      </c>
      <c r="AA116" s="420">
        <f t="shared" ca="1" si="43"/>
        <v>-28051.761509275402</v>
      </c>
      <c r="AB116" s="420">
        <f ca="1">$E116+NPV(Disc,$F116:Z116)</f>
        <v>-22207.690912536578</v>
      </c>
    </row>
    <row r="117" spans="1:28">
      <c r="A117" s="449"/>
      <c r="B117" s="8" t="s">
        <v>348</v>
      </c>
      <c r="C117" s="8"/>
      <c r="D117" s="8"/>
      <c r="E117" s="53">
        <f ca="1">IF(E$7=YEAR(Fin_Close),-SUM($D116:E116),0)</f>
        <v>0</v>
      </c>
      <c r="F117" s="53">
        <f ca="1">IF(F$7=YEAR(Fin_Close),-SUM($D116:F116),0)</f>
        <v>0</v>
      </c>
      <c r="G117" s="53">
        <f ca="1">IF(G$7=YEAR(Fin_Close),-SUM($D116:G116),0)</f>
        <v>28051.761509275402</v>
      </c>
      <c r="H117" s="53">
        <f ca="1">IF(H$7=YEAR(Fin_Close),-SUM($D116:H116),0)</f>
        <v>0</v>
      </c>
      <c r="I117" s="53">
        <f ca="1">IF(I$7=YEAR(Fin_Close),-SUM($D116:I116),0)</f>
        <v>0</v>
      </c>
      <c r="J117" s="53">
        <f ca="1">IF(J$7=YEAR(Fin_Close),-SUM($D116:J116),0)</f>
        <v>0</v>
      </c>
      <c r="K117" s="53">
        <f ca="1">IF(K$7=YEAR(Fin_Close),-SUM($D116:K116),0)</f>
        <v>0</v>
      </c>
      <c r="L117" s="53">
        <f ca="1">IF(L$7=YEAR(Fin_Close),-SUM($D116:L116),0)</f>
        <v>0</v>
      </c>
      <c r="M117" s="53">
        <f ca="1">IF(M$7=YEAR(Fin_Close),-SUM($D116:M116),0)</f>
        <v>0</v>
      </c>
      <c r="N117" s="53">
        <f ca="1">IF(N$7=YEAR(Fin_Close),-SUM($D116:N116),0)</f>
        <v>0</v>
      </c>
      <c r="O117" s="53">
        <f ca="1">IF(O$7=YEAR(Fin_Close),-SUM($D116:O116),0)</f>
        <v>0</v>
      </c>
      <c r="P117" s="53">
        <f ca="1">IF(P$7=YEAR(Fin_Close),-SUM($D116:P116),0)</f>
        <v>0</v>
      </c>
      <c r="Q117" s="53">
        <f ca="1">IF(Q$7=YEAR(Fin_Close),-SUM($D116:Q116),0)</f>
        <v>0</v>
      </c>
      <c r="R117" s="53">
        <f ca="1">IF(R$7=YEAR(Fin_Close),-SUM($D116:R116),0)</f>
        <v>0</v>
      </c>
      <c r="S117" s="53">
        <f ca="1">IF(S$7=YEAR(Fin_Close),-SUM($D116:S116),0)</f>
        <v>0</v>
      </c>
      <c r="T117" s="53">
        <f ca="1">IF(T$7=YEAR(Fin_Close),-SUM($D116:T116),0)</f>
        <v>0</v>
      </c>
      <c r="U117" s="53">
        <f ca="1">IF(U$7=YEAR(Fin_Close),-SUM($D116:U116),0)</f>
        <v>0</v>
      </c>
      <c r="V117" s="53">
        <f ca="1">IF(V$7=YEAR(Fin_Close),-SUM($D116:V116),0)</f>
        <v>0</v>
      </c>
      <c r="W117" s="53">
        <f ca="1">IF(W$7=YEAR(Fin_Close),-SUM($D116:W116),0)</f>
        <v>0</v>
      </c>
      <c r="X117" s="53">
        <f ca="1">IF(X$7=YEAR(Fin_Close),-SUM($D116:X116),0)</f>
        <v>0</v>
      </c>
      <c r="Y117" s="53">
        <f ca="1">IF(Y$7=YEAR(Fin_Close),-SUM($D116:Y116),0)</f>
        <v>0</v>
      </c>
      <c r="Z117" s="53">
        <f ca="1">IF(Z$7=YEAR(Fin_Close),-SUM($D116:Z116),0)</f>
        <v>0</v>
      </c>
      <c r="AA117" s="420">
        <f t="shared" ca="1" si="43"/>
        <v>28051.761509275402</v>
      </c>
      <c r="AB117" s="420">
        <f ca="1">$E117+NPV(Disc,$F117:Z117)</f>
        <v>19809.167085146109</v>
      </c>
    </row>
    <row r="118" spans="1:28">
      <c r="A118" s="449"/>
      <c r="B118" s="8" t="s">
        <v>519</v>
      </c>
      <c r="C118" s="282" t="s">
        <v>354</v>
      </c>
      <c r="D118" s="8"/>
      <c r="E118" s="53">
        <f ca="1">IF(E$7&lt;YEAR(Startconst),0,(HLOOKUP(DATE(E$7,12,31),Idc_Table,IDC!$AP$73))*$A116-SUM($D118:D118))</f>
        <v>0</v>
      </c>
      <c r="F118" s="53">
        <f ca="1">IF(F$7&lt;YEAR(Startconst),0,(HLOOKUP(DATE(F$7,12,31),Idc_Table,IDC!$AP$73))*$A116-SUM($D118:E118))</f>
        <v>328.00130652737835</v>
      </c>
      <c r="G118" s="53">
        <f ca="1">IF(G$7&lt;YEAR(Startconst),0,(HLOOKUP(DATE(G$7,12,31),Idc_Table,IDC!$AP$73))*$A116-SUM($D118:F118))</f>
        <v>946.53215796279846</v>
      </c>
      <c r="H118" s="53">
        <f ca="1">IF(H$7&lt;YEAR(Startconst),0,(HLOOKUP(DATE(H$7,12,31),Idc_Table,IDC!$AP$73))*$A116-SUM($D118:G118))</f>
        <v>0</v>
      </c>
      <c r="I118" s="53">
        <f ca="1">IF(I$7&lt;YEAR(Startconst),0,(HLOOKUP(DATE(I$7,12,31),Idc_Table,IDC!$AP$73))*$A116-SUM($D118:H118))</f>
        <v>0</v>
      </c>
      <c r="J118" s="53">
        <f ca="1">IF(J$7&lt;YEAR(Startconst),0,(HLOOKUP(DATE(J$7,12,31),Idc_Table,IDC!$AP$73))*$A116-SUM($D118:I118))</f>
        <v>0</v>
      </c>
      <c r="K118" s="53">
        <f ca="1">IF(K$7&lt;YEAR(Startconst),0,(HLOOKUP(DATE(K$7,12,31),Idc_Table,IDC!$AP$73))*$A116-SUM($D118:J118))</f>
        <v>0</v>
      </c>
      <c r="L118" s="53">
        <f ca="1">IF(L$7&lt;YEAR(Startconst),0,(HLOOKUP(DATE(L$7,12,31),Idc_Table,IDC!$AP$73))*$A116-SUM($D118:K118))</f>
        <v>0</v>
      </c>
      <c r="M118" s="53">
        <f ca="1">IF(M$7&lt;YEAR(Startconst),0,(HLOOKUP(DATE(M$7,12,31),Idc_Table,IDC!$AP$73))*$A116-SUM($D118:L118))</f>
        <v>0</v>
      </c>
      <c r="N118" s="53">
        <f ca="1">IF(N$7&lt;YEAR(Startconst),0,(HLOOKUP(DATE(N$7,12,31),Idc_Table,IDC!$AP$73))*$A116-SUM($D118:M118))</f>
        <v>0</v>
      </c>
      <c r="O118" s="53">
        <f ca="1">IF(O$7&lt;YEAR(Startconst),0,(HLOOKUP(DATE(O$7,12,31),Idc_Table,IDC!$AP$73))*$A116-SUM($D118:N118))</f>
        <v>0</v>
      </c>
      <c r="P118" s="53">
        <f ca="1">IF(P$7&lt;YEAR(Startconst),0,(HLOOKUP(DATE(P$7,12,31),Idc_Table,IDC!$AP$73))*$A116-SUM($D118:O118))</f>
        <v>0</v>
      </c>
      <c r="Q118" s="53">
        <f ca="1">IF(Q$7&lt;YEAR(Startconst),0,(HLOOKUP(DATE(Q$7,12,31),Idc_Table,IDC!$AP$73))*$A116-SUM($D118:P118))</f>
        <v>0</v>
      </c>
      <c r="R118" s="53">
        <f ca="1">IF(R$7&lt;YEAR(Startconst),0,(HLOOKUP(DATE(R$7,12,31),Idc_Table,IDC!$AP$73))*$A116-SUM($D118:Q118))</f>
        <v>0</v>
      </c>
      <c r="S118" s="53">
        <f ca="1">IF(S$7&lt;YEAR(Startconst),0,(HLOOKUP(DATE(S$7,12,31),Idc_Table,IDC!$AP$73))*$A116-SUM($D118:R118))</f>
        <v>0</v>
      </c>
      <c r="T118" s="53">
        <f ca="1">IF(T$7&lt;YEAR(Startconst),0,(HLOOKUP(DATE(T$7,12,31),Idc_Table,IDC!$AP$73))*$A116-SUM($D118:S118))</f>
        <v>0</v>
      </c>
      <c r="U118" s="53">
        <f ca="1">IF(U$7&lt;YEAR(Startconst),0,(HLOOKUP(DATE(U$7,12,31),Idc_Table,IDC!$AP$73))*$A116-SUM($D118:T118))</f>
        <v>0</v>
      </c>
      <c r="V118" s="53">
        <f ca="1">IF(V$7&lt;YEAR(Startconst),0,(HLOOKUP(DATE(V$7,12,31),Idc_Table,IDC!$AP$73))*$A116-SUM($D118:U118))</f>
        <v>0</v>
      </c>
      <c r="W118" s="53">
        <f ca="1">IF(W$7&lt;YEAR(Startconst),0,(HLOOKUP(DATE(W$7,12,31),Idc_Table,IDC!$AP$73))*$A116-SUM($D118:V118))</f>
        <v>0</v>
      </c>
      <c r="X118" s="53">
        <f ca="1">IF(X$7&lt;YEAR(Startconst),0,(HLOOKUP(DATE(X$7,12,31),Idc_Table,IDC!$AP$73))*$A116-SUM($D118:W118))</f>
        <v>0</v>
      </c>
      <c r="Y118" s="53">
        <f ca="1">IF(Y$7&lt;YEAR(Startconst),0,(HLOOKUP(DATE(Y$7,12,31),Idc_Table,IDC!$AP$73))*$A116-SUM($D118:X118))</f>
        <v>0</v>
      </c>
      <c r="Z118" s="53">
        <f ca="1">IF(Z$7&lt;YEAR(Startconst),0,(HLOOKUP(DATE(Z$7,12,31),Idc_Table,IDC!$AP$73))*$A116-SUM($D118:Y118))</f>
        <v>0</v>
      </c>
      <c r="AA118" s="420">
        <f t="shared" ca="1" si="43"/>
        <v>1274.5334644901768</v>
      </c>
      <c r="AB118" s="420">
        <f ca="1">$E118+NPV(Disc,$F118:Z118)</f>
        <v>944.03905990422902</v>
      </c>
    </row>
    <row r="119" spans="1:28">
      <c r="A119" s="449"/>
      <c r="B119" s="8" t="s">
        <v>1162</v>
      </c>
      <c r="C119" s="282" t="s">
        <v>354</v>
      </c>
      <c r="D119" s="8"/>
      <c r="E119" s="53">
        <f ca="1">Wh_Int*-E118</f>
        <v>0</v>
      </c>
      <c r="F119" s="53">
        <f t="shared" ref="F119:Z119" ca="1" si="44">Wh_Int*-F118</f>
        <v>-41.000163315922293</v>
      </c>
      <c r="G119" s="53">
        <f t="shared" ca="1" si="44"/>
        <v>-118.31651974534981</v>
      </c>
      <c r="H119" s="53">
        <f t="shared" ca="1" si="44"/>
        <v>0</v>
      </c>
      <c r="I119" s="53">
        <f t="shared" ca="1" si="44"/>
        <v>0</v>
      </c>
      <c r="J119" s="53">
        <f t="shared" ca="1" si="44"/>
        <v>0</v>
      </c>
      <c r="K119" s="53">
        <f t="shared" ca="1" si="44"/>
        <v>0</v>
      </c>
      <c r="L119" s="53">
        <f t="shared" ca="1" si="44"/>
        <v>0</v>
      </c>
      <c r="M119" s="53">
        <f t="shared" ca="1" si="44"/>
        <v>0</v>
      </c>
      <c r="N119" s="53">
        <f t="shared" ca="1" si="44"/>
        <v>0</v>
      </c>
      <c r="O119" s="53">
        <f t="shared" ca="1" si="44"/>
        <v>0</v>
      </c>
      <c r="P119" s="53">
        <f t="shared" ca="1" si="44"/>
        <v>0</v>
      </c>
      <c r="Q119" s="53">
        <f t="shared" ca="1" si="44"/>
        <v>0</v>
      </c>
      <c r="R119" s="53">
        <f t="shared" ca="1" si="44"/>
        <v>0</v>
      </c>
      <c r="S119" s="53">
        <f t="shared" ca="1" si="44"/>
        <v>0</v>
      </c>
      <c r="T119" s="53">
        <f t="shared" ca="1" si="44"/>
        <v>0</v>
      </c>
      <c r="U119" s="53">
        <f t="shared" ca="1" si="44"/>
        <v>0</v>
      </c>
      <c r="V119" s="53">
        <f t="shared" ca="1" si="44"/>
        <v>0</v>
      </c>
      <c r="W119" s="53">
        <f t="shared" ca="1" si="44"/>
        <v>0</v>
      </c>
      <c r="X119" s="53">
        <f t="shared" ca="1" si="44"/>
        <v>0</v>
      </c>
      <c r="Y119" s="53">
        <f t="shared" ca="1" si="44"/>
        <v>0</v>
      </c>
      <c r="Z119" s="53">
        <f t="shared" ca="1" si="44"/>
        <v>0</v>
      </c>
      <c r="AA119" s="420">
        <f t="shared" ca="1" si="43"/>
        <v>-159.3166830612721</v>
      </c>
      <c r="AB119" s="420">
        <f ca="1">$E119+NPV(Disc,$F119:Z119)</f>
        <v>-118.00488248802863</v>
      </c>
    </row>
    <row r="120" spans="1:28">
      <c r="A120" s="449"/>
      <c r="B120" s="8" t="s">
        <v>1154</v>
      </c>
      <c r="C120" s="8"/>
      <c r="D120" s="8"/>
      <c r="E120" s="226">
        <f ca="1">-SUM(E118:E119)*USTax</f>
        <v>0</v>
      </c>
      <c r="F120" s="226">
        <f t="shared" ref="F120:Z120" ca="1" si="45">-SUM(F118:F119)*USTax</f>
        <v>-106.19042298823874</v>
      </c>
      <c r="G120" s="226">
        <f t="shared" ca="1" si="45"/>
        <v>-306.43978614045602</v>
      </c>
      <c r="H120" s="226">
        <f t="shared" ca="1" si="45"/>
        <v>0</v>
      </c>
      <c r="I120" s="226">
        <f t="shared" ca="1" si="45"/>
        <v>0</v>
      </c>
      <c r="J120" s="226">
        <f t="shared" ca="1" si="45"/>
        <v>0</v>
      </c>
      <c r="K120" s="226">
        <f t="shared" ca="1" si="45"/>
        <v>0</v>
      </c>
      <c r="L120" s="226">
        <f t="shared" ca="1" si="45"/>
        <v>0</v>
      </c>
      <c r="M120" s="226">
        <f t="shared" ca="1" si="45"/>
        <v>0</v>
      </c>
      <c r="N120" s="226">
        <f t="shared" ca="1" si="45"/>
        <v>0</v>
      </c>
      <c r="O120" s="226">
        <f t="shared" ca="1" si="45"/>
        <v>0</v>
      </c>
      <c r="P120" s="226">
        <f t="shared" ca="1" si="45"/>
        <v>0</v>
      </c>
      <c r="Q120" s="226">
        <f t="shared" ca="1" si="45"/>
        <v>0</v>
      </c>
      <c r="R120" s="226">
        <f t="shared" ca="1" si="45"/>
        <v>0</v>
      </c>
      <c r="S120" s="226">
        <f t="shared" ca="1" si="45"/>
        <v>0</v>
      </c>
      <c r="T120" s="226">
        <f t="shared" ca="1" si="45"/>
        <v>0</v>
      </c>
      <c r="U120" s="226">
        <f t="shared" ca="1" si="45"/>
        <v>0</v>
      </c>
      <c r="V120" s="226">
        <f t="shared" ca="1" si="45"/>
        <v>0</v>
      </c>
      <c r="W120" s="226">
        <f t="shared" ca="1" si="45"/>
        <v>0</v>
      </c>
      <c r="X120" s="226">
        <f t="shared" ca="1" si="45"/>
        <v>0</v>
      </c>
      <c r="Y120" s="226">
        <f t="shared" ca="1" si="45"/>
        <v>0</v>
      </c>
      <c r="Z120" s="226">
        <f t="shared" ca="1" si="45"/>
        <v>0</v>
      </c>
      <c r="AA120" s="421">
        <f t="shared" ca="1" si="43"/>
        <v>-412.63020912869479</v>
      </c>
      <c r="AB120" s="421">
        <f ca="1">$E120+NPV(Disc,$F120:Z120)</f>
        <v>-305.63264564399418</v>
      </c>
    </row>
    <row r="121" spans="1:28">
      <c r="A121" s="449"/>
      <c r="B121" s="8" t="s">
        <v>651</v>
      </c>
      <c r="C121" s="8"/>
      <c r="D121" s="8"/>
      <c r="E121" s="53">
        <f ca="1">SUM(E115:E120)</f>
        <v>-4148.9345480000002</v>
      </c>
      <c r="F121" s="53">
        <f t="shared" ref="F121:Z121" ca="1" si="46">SUM(F115:F120)</f>
        <v>-29546.831535606489</v>
      </c>
      <c r="G121" s="53">
        <f t="shared" ca="1" si="46"/>
        <v>10398.352651906695</v>
      </c>
      <c r="H121" s="53">
        <f t="shared" ca="1" si="46"/>
        <v>2557.4989021695801</v>
      </c>
      <c r="I121" s="53">
        <f t="shared" ca="1" si="46"/>
        <v>2199.3055190748087</v>
      </c>
      <c r="J121" s="53">
        <f t="shared" ca="1" si="46"/>
        <v>1596.7757719702947</v>
      </c>
      <c r="K121" s="53">
        <f t="shared" ca="1" si="46"/>
        <v>2236.5867350687195</v>
      </c>
      <c r="L121" s="53">
        <f t="shared" ca="1" si="46"/>
        <v>629.19027806224915</v>
      </c>
      <c r="M121" s="53">
        <f t="shared" ca="1" si="46"/>
        <v>1983.7800344302466</v>
      </c>
      <c r="N121" s="53">
        <f t="shared" ca="1" si="46"/>
        <v>2205.666012665793</v>
      </c>
      <c r="O121" s="53">
        <f t="shared" ca="1" si="46"/>
        <v>3673.0309169951993</v>
      </c>
      <c r="P121" s="53">
        <f t="shared" ca="1" si="46"/>
        <v>5404.3638412701994</v>
      </c>
      <c r="Q121" s="53">
        <f t="shared" ca="1" si="46"/>
        <v>5833.8197981699741</v>
      </c>
      <c r="R121" s="53">
        <f t="shared" ca="1" si="46"/>
        <v>5297.0128751296916</v>
      </c>
      <c r="S121" s="53">
        <f t="shared" ca="1" si="46"/>
        <v>3653.3875612477405</v>
      </c>
      <c r="T121" s="53">
        <f t="shared" ca="1" si="46"/>
        <v>3653.508244027601</v>
      </c>
      <c r="U121" s="53">
        <f t="shared" ca="1" si="46"/>
        <v>4485.248841466504</v>
      </c>
      <c r="V121" s="53">
        <f t="shared" ca="1" si="46"/>
        <v>5885.9462077448034</v>
      </c>
      <c r="W121" s="53">
        <f t="shared" ca="1" si="46"/>
        <v>8587.9417081115807</v>
      </c>
      <c r="X121" s="53">
        <f t="shared" ca="1" si="46"/>
        <v>8799.3112515893736</v>
      </c>
      <c r="Y121" s="53">
        <f t="shared" ca="1" si="46"/>
        <v>9034.3130216206737</v>
      </c>
      <c r="Z121" s="53">
        <f t="shared" ca="1" si="46"/>
        <v>138396.68122288119</v>
      </c>
      <c r="AA121" s="420">
        <f t="shared" ca="1" si="43"/>
        <v>192815.95531199643</v>
      </c>
      <c r="AB121" s="420">
        <f ca="1">SUM(AB115:AB120)</f>
        <v>-7971.1506626985183</v>
      </c>
    </row>
    <row r="122" spans="1:28">
      <c r="A122" s="44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416"/>
      <c r="AB122" s="416"/>
    </row>
    <row r="123" spans="1:28">
      <c r="A123" s="449"/>
      <c r="B123" s="8" t="s">
        <v>178</v>
      </c>
      <c r="C123" s="8"/>
      <c r="D123" s="8"/>
      <c r="E123" s="53">
        <f ca="1">$E121</f>
        <v>-4148.9345480000002</v>
      </c>
      <c r="F123" s="53">
        <f ca="1">$E121+NPV(Disc,$F121:F121)</f>
        <v>-28978.204745988649</v>
      </c>
      <c r="G123" s="53">
        <f ca="1">$E121+NPV(Disc,$F121:G121)</f>
        <v>-21635.253929021841</v>
      </c>
      <c r="H123" s="53">
        <f ca="1">$E121+NPV(Disc,$F121:H121)</f>
        <v>-20117.593635738191</v>
      </c>
      <c r="I123" s="53">
        <f ca="1">$E121+NPV(Disc,$F121:I121)</f>
        <v>-19020.868698576658</v>
      </c>
      <c r="J123" s="53">
        <f ca="1">$E121+NPV(Disc,$F121:J121)</f>
        <v>-18351.740815814632</v>
      </c>
      <c r="K123" s="53">
        <f ca="1">$E121+NPV(Disc,$F121:K121)</f>
        <v>-17564.143955005235</v>
      </c>
      <c r="L123" s="53">
        <f ca="1">$E121+NPV(Disc,$F121:L121)</f>
        <v>-17377.955274673415</v>
      </c>
      <c r="M123" s="53">
        <f ca="1">$E121+NPV(Disc,$F121:M121)</f>
        <v>-16884.647654743494</v>
      </c>
      <c r="N123" s="53">
        <f ca="1">$E121+NPV(Disc,$F121:N121)</f>
        <v>-16423.736627580412</v>
      </c>
      <c r="O123" s="53">
        <f ca="1">$E121+NPV(Disc,$F121:O121)</f>
        <v>-15778.743674087727</v>
      </c>
      <c r="P123" s="53">
        <f ca="1">$E121+NPV(Disc,$F121:P121)</f>
        <v>-14981.248609052593</v>
      </c>
      <c r="Q123" s="53">
        <f ca="1">$E121+NPV(Disc,$F121:Q121)</f>
        <v>-14257.830338096759</v>
      </c>
      <c r="R123" s="53">
        <f ca="1">$E121+NPV(Disc,$F121:R121)</f>
        <v>-13705.853911688813</v>
      </c>
      <c r="S123" s="53">
        <f ca="1">$E121+NPV(Disc,$F121:S121)</f>
        <v>-13385.93619883214</v>
      </c>
      <c r="T123" s="53">
        <f ca="1">$E121+NPV(Disc,$F121:T121)</f>
        <v>-13117.088904095996</v>
      </c>
      <c r="U123" s="53">
        <f ca="1">$E121+NPV(Disc,$F121:U121)</f>
        <v>-12839.734439966302</v>
      </c>
      <c r="V123" s="53">
        <f ca="1">$E121+NPV(Disc,$F121:V121)</f>
        <v>-12533.877777579262</v>
      </c>
      <c r="W123" s="53">
        <f ca="1">$E121+NPV(Disc,$F121:W121)</f>
        <v>-12158.866970978914</v>
      </c>
      <c r="X123" s="53">
        <f ca="1">$E121+NPV(Disc,$F121:X121)</f>
        <v>-11835.975618955315</v>
      </c>
      <c r="Y123" s="53">
        <f ca="1">$E121+NPV(Disc,$F121:Y121)</f>
        <v>-11557.39178812848</v>
      </c>
      <c r="Z123" s="53">
        <f ca="1">$E121+NPV(Disc,$F121:Z121)</f>
        <v>-7971.1506626985156</v>
      </c>
      <c r="AA123" s="416"/>
      <c r="AB123" s="416"/>
    </row>
    <row r="124" spans="1:28">
      <c r="A124" s="449"/>
      <c r="B124" s="8" t="s">
        <v>179</v>
      </c>
      <c r="C124" s="8"/>
      <c r="D124" s="8"/>
      <c r="E124" s="21" t="e">
        <f ca="1">IRR($E121:E121,-0.9)</f>
        <v>#NUM!</v>
      </c>
      <c r="F124" s="21" t="e">
        <f ca="1">IRR($E121:F121,-0.9)</f>
        <v>#NUM!</v>
      </c>
      <c r="G124" s="21">
        <f ca="1">IRR($E121:G121,-0.9)</f>
        <v>-0.66393137072936026</v>
      </c>
      <c r="H124" s="21">
        <f ca="1">IRR($E121:H121,-0.9)</f>
        <v>-0.50675099945446489</v>
      </c>
      <c r="I124" s="21">
        <f ca="1">IRR($E121:I121,-0.9)</f>
        <v>-0.37444109697824413</v>
      </c>
      <c r="J124" s="21">
        <f ca="1">IRR($E121:J121,-0.9)</f>
        <v>-0.29340662513533289</v>
      </c>
      <c r="K124" s="21">
        <f ca="1">IRR($E121:K121,-0.9)</f>
        <v>-0.20768061023123885</v>
      </c>
      <c r="L124" s="21">
        <f ca="1">IRR($E121:L121,-0.9)</f>
        <v>-0.1873143831249787</v>
      </c>
      <c r="M124" s="21">
        <f ca="1">IRR($E121:M121,-0.9)</f>
        <v>-0.1338661227584885</v>
      </c>
      <c r="N124" s="21">
        <f ca="1">IRR($E121:N121,-0.9)</f>
        <v>-9.2381011762699625E-2</v>
      </c>
      <c r="O124" s="21">
        <f ca="1">IRR($E121:O121,-0.9)</f>
        <v>-4.6534632409437837E-2</v>
      </c>
      <c r="P124" s="21">
        <f ca="1">IRR($E121:P121,-0.9)</f>
        <v>-4.7830681627055015E-3</v>
      </c>
      <c r="Q124" s="21">
        <f ca="1">IRR($E121:Q121,-0.9)</f>
        <v>2.432690521526119E-2</v>
      </c>
      <c r="R124" s="21">
        <f ca="1">IRR($E121:R121,-0.9)</f>
        <v>4.3085647421265999E-2</v>
      </c>
      <c r="S124" s="21">
        <f ca="1">IRR($E121:S121,-0.9)</f>
        <v>5.3167610445991553E-2</v>
      </c>
      <c r="T124" s="21">
        <f ca="1">IRR($E121:T121,-0.9)</f>
        <v>6.1436174530888531E-2</v>
      </c>
      <c r="U124" s="21">
        <f ca="1">IRR($E121:U121,-0.9)</f>
        <v>6.9714538943517326E-2</v>
      </c>
      <c r="V124" s="21">
        <f ca="1">IRR($E121:V121,-0.9)</f>
        <v>7.83796563423238E-2</v>
      </c>
      <c r="W124" s="21">
        <f ca="1">IRR($E121:W121,-0.9)</f>
        <v>8.8137908516111696E-2</v>
      </c>
      <c r="X124" s="21">
        <f ca="1">IRR($E121:X121,-0.9)</f>
        <v>9.5808508962921993E-2</v>
      </c>
      <c r="Y124" s="21">
        <f ca="1">IRR($E121:Y121,-0.9)</f>
        <v>0.10198712254010384</v>
      </c>
      <c r="Z124" s="21">
        <f ca="1">IRR($E121:Z121,-0.9)</f>
        <v>0.14789850841318422</v>
      </c>
      <c r="AA124" s="416"/>
      <c r="AB124" s="631">
        <f ca="1">IRR($E121:Z121)</f>
        <v>0.14789850841318419</v>
      </c>
    </row>
    <row r="125" spans="1:28">
      <c r="A125" s="44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416"/>
      <c r="AB125" s="416"/>
    </row>
    <row r="126" spans="1:28">
      <c r="A126" s="449"/>
      <c r="B126" s="266" t="str">
        <f ca="1">CONCATENATE("Transredes NPV w/ Bridge Loan @ ",TEXT(Disc,"0.0%"))</f>
        <v>Transredes NPV w/ Bridge Loan @ 19.0%</v>
      </c>
      <c r="C126" s="441">
        <f ca="1">AB121</f>
        <v>-7971.1506626985183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416"/>
      <c r="AB126" s="416"/>
    </row>
    <row r="127" spans="1:28">
      <c r="A127" s="452"/>
      <c r="B127" s="435" t="s">
        <v>1155</v>
      </c>
      <c r="C127" s="1193">
        <f ca="1">AB124</f>
        <v>0.14789850841318419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59"/>
      <c r="AB127" s="459"/>
    </row>
    <row r="128" spans="1:28">
      <c r="A128" s="152"/>
      <c r="B128" s="128"/>
      <c r="C128" s="12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416"/>
      <c r="AB128" s="416"/>
    </row>
    <row r="129" spans="1:28">
      <c r="A129" s="454"/>
      <c r="B129" s="8" t="s">
        <v>1129</v>
      </c>
      <c r="C129" s="8"/>
      <c r="D129" s="8"/>
      <c r="E129" s="53">
        <f ca="1">E121</f>
        <v>-4148.9345480000002</v>
      </c>
      <c r="F129" s="53">
        <f t="shared" ref="F129:Z129" ca="1" si="47">F121</f>
        <v>-29546.831535606489</v>
      </c>
      <c r="G129" s="53">
        <f t="shared" ca="1" si="47"/>
        <v>10398.352651906695</v>
      </c>
      <c r="H129" s="53">
        <f t="shared" ca="1" si="47"/>
        <v>2557.4989021695801</v>
      </c>
      <c r="I129" s="53">
        <f t="shared" ca="1" si="47"/>
        <v>2199.3055190748087</v>
      </c>
      <c r="J129" s="53">
        <f t="shared" ca="1" si="47"/>
        <v>1596.7757719702947</v>
      </c>
      <c r="K129" s="53">
        <f t="shared" ca="1" si="47"/>
        <v>2236.5867350687195</v>
      </c>
      <c r="L129" s="53">
        <f t="shared" ca="1" si="47"/>
        <v>629.19027806224915</v>
      </c>
      <c r="M129" s="53">
        <f t="shared" ca="1" si="47"/>
        <v>1983.7800344302466</v>
      </c>
      <c r="N129" s="53">
        <f t="shared" ca="1" si="47"/>
        <v>2205.666012665793</v>
      </c>
      <c r="O129" s="53">
        <f t="shared" ca="1" si="47"/>
        <v>3673.0309169951993</v>
      </c>
      <c r="P129" s="53">
        <f t="shared" ca="1" si="47"/>
        <v>5404.3638412701994</v>
      </c>
      <c r="Q129" s="53">
        <f t="shared" ca="1" si="47"/>
        <v>5833.8197981699741</v>
      </c>
      <c r="R129" s="53">
        <f t="shared" ca="1" si="47"/>
        <v>5297.0128751296916</v>
      </c>
      <c r="S129" s="53">
        <f t="shared" ca="1" si="47"/>
        <v>3653.3875612477405</v>
      </c>
      <c r="T129" s="53">
        <f t="shared" ca="1" si="47"/>
        <v>3653.508244027601</v>
      </c>
      <c r="U129" s="53">
        <f t="shared" ca="1" si="47"/>
        <v>4485.248841466504</v>
      </c>
      <c r="V129" s="53">
        <f t="shared" ca="1" si="47"/>
        <v>5885.9462077448034</v>
      </c>
      <c r="W129" s="53">
        <f t="shared" ca="1" si="47"/>
        <v>8587.9417081115807</v>
      </c>
      <c r="X129" s="53">
        <f t="shared" ca="1" si="47"/>
        <v>8799.3112515893736</v>
      </c>
      <c r="Y129" s="53">
        <f t="shared" ca="1" si="47"/>
        <v>9034.3130216206737</v>
      </c>
      <c r="Z129" s="53">
        <f t="shared" ca="1" si="47"/>
        <v>138396.68122288119</v>
      </c>
      <c r="AA129" s="420">
        <f ca="1">SUM(E129:Z129)</f>
        <v>192815.95531199643</v>
      </c>
      <c r="AB129" s="420">
        <f ca="1">$E129+NPV(Disc,$F129:Z129)</f>
        <v>-7971.1506626985156</v>
      </c>
    </row>
    <row r="130" spans="1:28">
      <c r="A130" s="453">
        <f>A99</f>
        <v>0.4</v>
      </c>
      <c r="B130" s="8" t="s">
        <v>1130</v>
      </c>
      <c r="C130" s="8"/>
      <c r="D130" s="8"/>
      <c r="E130" s="53">
        <f ca="1">IF(E$7&lt;YEAR(Startconst),0,-HLOOKUP(DATE(E$7,12,31),Idc_Table,IDC!$AP$46)*$A130-SUM($D130:D130))</f>
        <v>0</v>
      </c>
      <c r="F130" s="53">
        <f ca="1">IF(F$7&lt;YEAR(Startconst),0,-HLOOKUP(DATE(F$7,12,31),Idc_Table,IDC!$AP$46)*$A130-SUM($D130:E130))</f>
        <v>0</v>
      </c>
      <c r="G130" s="53">
        <f ca="1">IF(G$7&lt;YEAR(Startconst),0,-HLOOKUP(DATE(G$7,12,31),Idc_Table,IDC!$AP$46)*$A130-SUM($D130:F130))</f>
        <v>-971.37885263854207</v>
      </c>
      <c r="H130" s="53">
        <f ca="1">IF(H$7&lt;YEAR(Startconst),0,-HLOOKUP(DATE(H$7,12,31),Idc_Table,IDC!$AP$46)*$A130-SUM($D130:G130))</f>
        <v>-18.075945835731204</v>
      </c>
      <c r="I130" s="53">
        <f ca="1">IF(I$7&lt;YEAR(Startconst),0,-HLOOKUP(DATE(I$7,12,31),Idc_Table,IDC!$AP$46)*$A130-SUM($D130:H130))</f>
        <v>0</v>
      </c>
      <c r="J130" s="53">
        <f ca="1">IF(J$7&lt;YEAR(Startconst),0,-HLOOKUP(DATE(J$7,12,31),Idc_Table,IDC!$AP$46)*$A130-SUM($D130:I130))</f>
        <v>0</v>
      </c>
      <c r="K130" s="53">
        <f ca="1">IF(K$7&lt;YEAR(Startconst),0,-HLOOKUP(DATE(K$7,12,31),Idc_Table,IDC!$AP$46)*$A130-SUM($D130:J130))</f>
        <v>0</v>
      </c>
      <c r="L130" s="53">
        <f ca="1">IF(L$7&lt;YEAR(Startconst),0,-HLOOKUP(DATE(L$7,12,31),Idc_Table,IDC!$AP$46)*$A130-SUM($D130:K130))</f>
        <v>0</v>
      </c>
      <c r="M130" s="53">
        <f ca="1">IF(M$7&lt;YEAR(Startconst),0,-HLOOKUP(DATE(M$7,12,31),Idc_Table,IDC!$AP$46)*$A130-SUM($D130:L130))</f>
        <v>0</v>
      </c>
      <c r="N130" s="53">
        <f ca="1">IF(N$7&lt;YEAR(Startconst),0,-HLOOKUP(DATE(N$7,12,31),Idc_Table,IDC!$AP$46)*$A130-SUM($D130:M130))</f>
        <v>0</v>
      </c>
      <c r="O130" s="53">
        <f ca="1">IF(O$7&lt;YEAR(Startconst),0,-HLOOKUP(DATE(O$7,12,31),Idc_Table,IDC!$AP$46)*$A130-SUM($D130:N130))</f>
        <v>0</v>
      </c>
      <c r="P130" s="53">
        <f ca="1">IF(P$7&lt;YEAR(Startconst),0,-HLOOKUP(DATE(P$7,12,31),Idc_Table,IDC!$AP$46)*$A130-SUM($D130:O130))</f>
        <v>0</v>
      </c>
      <c r="Q130" s="53">
        <f ca="1">IF(Q$7&lt;YEAR(Startconst),0,-HLOOKUP(DATE(Q$7,12,31),Idc_Table,IDC!$AP$46)*$A130-SUM($D130:P130))</f>
        <v>0</v>
      </c>
      <c r="R130" s="53">
        <f ca="1">IF(R$7&lt;YEAR(Startconst),0,-HLOOKUP(DATE(R$7,12,31),Idc_Table,IDC!$AP$46)*$A130-SUM($D130:Q130))</f>
        <v>0</v>
      </c>
      <c r="S130" s="53">
        <f ca="1">IF(S$7&lt;YEAR(Startconst),0,-HLOOKUP(DATE(S$7,12,31),Idc_Table,IDC!$AP$46)*$A130-SUM($D130:R130))</f>
        <v>0</v>
      </c>
      <c r="T130" s="53">
        <f ca="1">IF(T$7&lt;YEAR(Startconst),0,-HLOOKUP(DATE(T$7,12,31),Idc_Table,IDC!$AP$46)*$A130-SUM($D130:S130))</f>
        <v>0</v>
      </c>
      <c r="U130" s="53">
        <f ca="1">IF(U$7&lt;YEAR(Startconst),0,-HLOOKUP(DATE(U$7,12,31),Idc_Table,IDC!$AP$46)*$A130-SUM($D130:T130))</f>
        <v>0</v>
      </c>
      <c r="V130" s="53">
        <f ca="1">IF(V$7&lt;YEAR(Startconst),0,-HLOOKUP(DATE(V$7,12,31),Idc_Table,IDC!$AP$46)*$A130-SUM($D130:U130))</f>
        <v>0</v>
      </c>
      <c r="W130" s="53">
        <f ca="1">IF(W$7&lt;YEAR(Startconst),0,-HLOOKUP(DATE(W$7,12,31),Idc_Table,IDC!$AP$46)*$A130-SUM($D130:V130))</f>
        <v>0</v>
      </c>
      <c r="X130" s="53">
        <f ca="1">IF(X$7&lt;YEAR(Startconst),0,-HLOOKUP(DATE(X$7,12,31),Idc_Table,IDC!$AP$46)*$A130-SUM($D130:W130))</f>
        <v>0</v>
      </c>
      <c r="Y130" s="53">
        <f ca="1">IF(Y$7&lt;YEAR(Startconst),0,-HLOOKUP(DATE(Y$7,12,31),Idc_Table,IDC!$AP$46)*$A130-SUM($D130:X130))</f>
        <v>0</v>
      </c>
      <c r="Z130" s="53">
        <f ca="1">IF(Z$7&lt;YEAR(Startconst),0,-HLOOKUP(DATE(Z$7,12,31),Idc_Table,IDC!$AP$46)*$A130-SUM($D130:Y130))</f>
        <v>0</v>
      </c>
      <c r="AA130" s="420">
        <f ca="1">SUM(D130:Z130)</f>
        <v>-989.45479847427328</v>
      </c>
      <c r="AB130" s="420">
        <f ca="1">$E130+NPV(Disc,$F130:Z130)</f>
        <v>-696.68012364150593</v>
      </c>
    </row>
    <row r="131" spans="1:28">
      <c r="A131" s="449"/>
      <c r="B131" s="8" t="s">
        <v>1131</v>
      </c>
      <c r="C131" s="8"/>
      <c r="D131" s="8"/>
      <c r="E131" s="1192">
        <f ca="1">IF(E$7&lt;YEAR(Startops1),0,-HLOOKUP(E$7,CF_Table,CF!$AB$69)*$A130)</f>
        <v>0</v>
      </c>
      <c r="F131" s="53">
        <f ca="1">IF(F$7&lt;YEAR(Startops1),0,-HLOOKUP(F$7,CF_Table,CF!$AB$69)*$A130)</f>
        <v>0</v>
      </c>
      <c r="G131" s="53">
        <f ca="1">IF(G$7&lt;YEAR(Startops1),0,-HLOOKUP(G$7,CF_Table,CF!$AB$69)*$A130)</f>
        <v>0</v>
      </c>
      <c r="H131" s="53">
        <f ca="1">IF(H$7&lt;YEAR(Startops1),0,-HLOOKUP(H$7,CF_Table,CF!$AB$69)*$A130)</f>
        <v>0</v>
      </c>
      <c r="I131" s="53">
        <f ca="1">IF(I$7&lt;YEAR(Startops1),0,-HLOOKUP(I$7,CF_Table,CF!$AB$69)*$A130)</f>
        <v>44.319992700642402</v>
      </c>
      <c r="J131" s="53">
        <f ca="1">IF(J$7&lt;YEAR(Startops1),0,-HLOOKUP(J$7,CF_Table,CF!$AB$69)*$A130)</f>
        <v>50.268843720886096</v>
      </c>
      <c r="K131" s="53">
        <f ca="1">IF(K$7&lt;YEAR(Startops1),0,-HLOOKUP(K$7,CF_Table,CF!$AB$69)*$A130)</f>
        <v>57.016179269322052</v>
      </c>
      <c r="L131" s="53">
        <f ca="1">IF(L$7&lt;YEAR(Startops1),0,-HLOOKUP(L$7,CF_Table,CF!$AB$69)*$A130)</f>
        <v>64.669175931746778</v>
      </c>
      <c r="M131" s="53">
        <f ca="1">IF(M$7&lt;YEAR(Startops1),0,-HLOOKUP(M$7,CF_Table,CF!$AB$69)*$A130)</f>
        <v>73.349396071185453</v>
      </c>
      <c r="N131" s="53">
        <f ca="1">IF(N$7&lt;YEAR(Startops1),0,-HLOOKUP(N$7,CF_Table,CF!$AB$69)*$A130)</f>
        <v>83.19471875884031</v>
      </c>
      <c r="O131" s="53">
        <f ca="1">IF(O$7&lt;YEAR(Startops1),0,-HLOOKUP(O$7,CF_Table,CF!$AB$69)*$A130)</f>
        <v>94.361529884245613</v>
      </c>
      <c r="P131" s="53">
        <f ca="1">IF(P$7&lt;YEAR(Startops1),0,-HLOOKUP(P$7,CF_Table,CF!$AB$69)*$A130)</f>
        <v>107.02720623295843</v>
      </c>
      <c r="Q131" s="53">
        <f ca="1">IF(Q$7&lt;YEAR(Startops1),0,-HLOOKUP(Q$7,CF_Table,CF!$AB$69)*$A130)</f>
        <v>121.39293298957719</v>
      </c>
      <c r="R131" s="53">
        <f ca="1">IF(R$7&lt;YEAR(Startops1),0,-HLOOKUP(R$7,CF_Table,CF!$AB$69)*$A130)</f>
        <v>137.68689942010312</v>
      </c>
      <c r="S131" s="53">
        <f ca="1">IF(S$7&lt;YEAR(Startops1),0,-HLOOKUP(S$7,CF_Table,CF!$AB$69)*$A130)</f>
        <v>156.16792349476611</v>
      </c>
      <c r="T131" s="53">
        <f ca="1">IF(T$7&lt;YEAR(Startops1),0,-HLOOKUP(T$7,CF_Table,CF!$AB$69)*$A130)</f>
        <v>0</v>
      </c>
      <c r="U131" s="53">
        <f ca="1">IF(U$7&lt;YEAR(Startops1),0,-HLOOKUP(U$7,CF_Table,CF!$AB$69)*$A130)</f>
        <v>0</v>
      </c>
      <c r="V131" s="53">
        <f ca="1">IF(V$7&lt;YEAR(Startops1),0,-HLOOKUP(V$7,CF_Table,CF!$AB$69)*$A130)</f>
        <v>0</v>
      </c>
      <c r="W131" s="53">
        <f ca="1">IF(W$7&lt;YEAR(Startops1),0,-HLOOKUP(W$7,CF_Table,CF!$AB$69)*$A130)</f>
        <v>0</v>
      </c>
      <c r="X131" s="53">
        <f ca="1">IF(X$7&lt;YEAR(Startops1),0,-HLOOKUP(X$7,CF_Table,CF!$AB$69)*$A130)</f>
        <v>0</v>
      </c>
      <c r="Y131" s="53">
        <f ca="1">IF(Y$7&lt;YEAR(Startops1),0,-HLOOKUP(Y$7,CF_Table,CF!$AB$69)*$A130)</f>
        <v>0</v>
      </c>
      <c r="Z131" s="53">
        <f ca="1">IF(Z$7&lt;YEAR(Startops1),0,-HLOOKUP(Z$7,CF_Table,CF!$AB$69)*$A130)</f>
        <v>0</v>
      </c>
      <c r="AA131" s="420">
        <f ca="1">SUM(D131:Z131)</f>
        <v>989.45479847427362</v>
      </c>
      <c r="AB131" s="420">
        <f ca="1">$E131+NPV(Disc,$F131:Z131)</f>
        <v>193.44520312888795</v>
      </c>
    </row>
    <row r="132" spans="1:28">
      <c r="A132" s="449"/>
      <c r="B132" s="8" t="s">
        <v>1132</v>
      </c>
      <c r="C132" s="282" t="s">
        <v>354</v>
      </c>
      <c r="D132" s="8"/>
      <c r="E132" s="1192">
        <f ca="1">IF(E$7&lt;YEAR(Startops1),0,-HLOOKUP(E$7,CF_Table,CF!$AB$51)*$A130)</f>
        <v>0</v>
      </c>
      <c r="F132" s="53">
        <f ca="1">IF(F$7&lt;YEAR(Startops1),0,-HLOOKUP(F$7,CF_Table,CF!$AB$51)*$A130)</f>
        <v>0</v>
      </c>
      <c r="G132" s="53">
        <f ca="1">IF(G$7&lt;YEAR(Startops1),0,-HLOOKUP(G$7,CF_Table,CF!$AB$51)*$A130)</f>
        <v>0</v>
      </c>
      <c r="H132" s="53">
        <f ca="1">IF(H$7&lt;YEAR(Startops1),0,-HLOOKUP(H$7,CF_Table,CF!$AB$51)*$A130)</f>
        <v>53.595468250689819</v>
      </c>
      <c r="I132" s="53">
        <f ca="1">IF(I$7&lt;YEAR(Startops1),0,-HLOOKUP(I$7,CF_Table,CF!$AB$51)*$A130)</f>
        <v>127.23406349872977</v>
      </c>
      <c r="J132" s="53">
        <f ca="1">IF(J$7&lt;YEAR(Startops1),0,-HLOOKUP(J$7,CF_Table,CF!$AB$51)*$A130)</f>
        <v>121.28521247848606</v>
      </c>
      <c r="K132" s="53">
        <f ca="1">IF(K$7&lt;YEAR(Startops1),0,-HLOOKUP(K$7,CF_Table,CF!$AB$51)*$A130)</f>
        <v>114.53787693005012</v>
      </c>
      <c r="L132" s="53">
        <f ca="1">IF(L$7&lt;YEAR(Startops1),0,-HLOOKUP(L$7,CF_Table,CF!$AB$51)*$A130)</f>
        <v>106.88488026762535</v>
      </c>
      <c r="M132" s="53">
        <f ca="1">IF(M$7&lt;YEAR(Startops1),0,-HLOOKUP(M$7,CF_Table,CF!$AB$51)*$A130)</f>
        <v>98.20466012818666</v>
      </c>
      <c r="N132" s="53">
        <f ca="1">IF(N$7&lt;YEAR(Startops1),0,-HLOOKUP(N$7,CF_Table,CF!$AB$51)*$A130)</f>
        <v>88.359337440531775</v>
      </c>
      <c r="O132" s="53">
        <f ca="1">IF(O$7&lt;YEAR(Startops1),0,-HLOOKUP(O$7,CF_Table,CF!$AB$51)*$A130)</f>
        <v>77.192526315126443</v>
      </c>
      <c r="P132" s="53">
        <f ca="1">IF(P$7&lt;YEAR(Startops1),0,-HLOOKUP(P$7,CF_Table,CF!$AB$51)*$A130)</f>
        <v>64.526849966413579</v>
      </c>
      <c r="Q132" s="53">
        <f ca="1">IF(Q$7&lt;YEAR(Startops1),0,-HLOOKUP(Q$7,CF_Table,CF!$AB$51)*$A130)</f>
        <v>50.161123209794738</v>
      </c>
      <c r="R132" s="53">
        <f ca="1">IF(R$7&lt;YEAR(Startops1),0,-HLOOKUP(R$7,CF_Table,CF!$AB$51)*$A130)</f>
        <v>33.86715677926874</v>
      </c>
      <c r="S132" s="53">
        <f ca="1">IF(S$7&lt;YEAR(Startops1),0,-HLOOKUP(S$7,CF_Table,CF!$AB$51)*$A130)</f>
        <v>15.3861327046054</v>
      </c>
      <c r="T132" s="53">
        <f ca="1">IF(T$7&lt;YEAR(Startops1),0,-HLOOKUP(T$7,CF_Table,CF!$AB$51)*$A130)</f>
        <v>0</v>
      </c>
      <c r="U132" s="53">
        <f ca="1">IF(U$7&lt;YEAR(Startops1),0,-HLOOKUP(U$7,CF_Table,CF!$AB$51)*$A130)</f>
        <v>0</v>
      </c>
      <c r="V132" s="53">
        <f ca="1">IF(V$7&lt;YEAR(Startops1),0,-HLOOKUP(V$7,CF_Table,CF!$AB$51)*$A130)</f>
        <v>0</v>
      </c>
      <c r="W132" s="53">
        <f ca="1">IF(W$7&lt;YEAR(Startops1),0,-HLOOKUP(W$7,CF_Table,CF!$AB$51)*$A130)</f>
        <v>0</v>
      </c>
      <c r="X132" s="53">
        <f ca="1">IF(X$7&lt;YEAR(Startops1),0,-HLOOKUP(X$7,CF_Table,CF!$AB$51)*$A130)</f>
        <v>0</v>
      </c>
      <c r="Y132" s="53">
        <f ca="1">IF(Y$7&lt;YEAR(Startops1),0,-HLOOKUP(Y$7,CF_Table,CF!$AB$51)*$A130)</f>
        <v>0</v>
      </c>
      <c r="Z132" s="53">
        <f ca="1">IF(Z$7&lt;YEAR(Startops1),0,-HLOOKUP(Z$7,CF_Table,CF!$AB$51)*$A130)</f>
        <v>0</v>
      </c>
      <c r="AA132" s="420">
        <f ca="1">SUM(D132:Z132)</f>
        <v>951.23528796950848</v>
      </c>
      <c r="AB132" s="420">
        <f ca="1">$E132+NPV(Disc,$F132:Z132)</f>
        <v>295.09784960955568</v>
      </c>
    </row>
    <row r="133" spans="1:28">
      <c r="A133" s="449"/>
      <c r="B133" s="8" t="s">
        <v>1164</v>
      </c>
      <c r="C133" s="282" t="s">
        <v>354</v>
      </c>
      <c r="D133" s="8"/>
      <c r="E133" s="1192">
        <f ca="1">Wh_Int*-E132</f>
        <v>0</v>
      </c>
      <c r="F133" s="1192">
        <f t="shared" ref="F133:Z133" ca="1" si="48">Wh_Int*-F132</f>
        <v>0</v>
      </c>
      <c r="G133" s="1192">
        <f t="shared" ca="1" si="48"/>
        <v>0</v>
      </c>
      <c r="H133" s="1192">
        <f t="shared" ca="1" si="48"/>
        <v>-6.6994335313362274</v>
      </c>
      <c r="I133" s="1192">
        <f t="shared" ca="1" si="48"/>
        <v>-15.904257937341221</v>
      </c>
      <c r="J133" s="1192">
        <f t="shared" ca="1" si="48"/>
        <v>-15.160651559810757</v>
      </c>
      <c r="K133" s="1192">
        <f t="shared" ca="1" si="48"/>
        <v>-14.317234616256265</v>
      </c>
      <c r="L133" s="1192">
        <f t="shared" ca="1" si="48"/>
        <v>-13.360610033453169</v>
      </c>
      <c r="M133" s="1192">
        <f t="shared" ca="1" si="48"/>
        <v>-12.275582516023333</v>
      </c>
      <c r="N133" s="1192">
        <f t="shared" ca="1" si="48"/>
        <v>-11.044917180066472</v>
      </c>
      <c r="O133" s="1192">
        <f t="shared" ca="1" si="48"/>
        <v>-9.6490657893908054</v>
      </c>
      <c r="P133" s="1192">
        <f t="shared" ca="1" si="48"/>
        <v>-8.0658562458016974</v>
      </c>
      <c r="Q133" s="1192">
        <f t="shared" ca="1" si="48"/>
        <v>-6.2701404012243422</v>
      </c>
      <c r="R133" s="1192">
        <f t="shared" ca="1" si="48"/>
        <v>-4.2333945974085925</v>
      </c>
      <c r="S133" s="1192">
        <f t="shared" ca="1" si="48"/>
        <v>-1.923266588075675</v>
      </c>
      <c r="T133" s="1192">
        <f t="shared" ca="1" si="48"/>
        <v>0</v>
      </c>
      <c r="U133" s="1192">
        <f t="shared" ca="1" si="48"/>
        <v>0</v>
      </c>
      <c r="V133" s="1192">
        <f t="shared" ca="1" si="48"/>
        <v>0</v>
      </c>
      <c r="W133" s="1192">
        <f t="shared" ca="1" si="48"/>
        <v>0</v>
      </c>
      <c r="X133" s="1192">
        <f t="shared" ca="1" si="48"/>
        <v>0</v>
      </c>
      <c r="Y133" s="1192">
        <f t="shared" ca="1" si="48"/>
        <v>0</v>
      </c>
      <c r="Z133" s="1192">
        <f t="shared" ca="1" si="48"/>
        <v>0</v>
      </c>
      <c r="AA133" s="420">
        <f ca="1">SUM(D133:Z133)</f>
        <v>-118.90441099618856</v>
      </c>
      <c r="AB133" s="420">
        <f ca="1">$E133+NPV(Disc,$F133:Z133)</f>
        <v>-36.88723120119446</v>
      </c>
    </row>
    <row r="134" spans="1:28">
      <c r="A134" s="449"/>
      <c r="B134" s="8" t="s">
        <v>1154</v>
      </c>
      <c r="C134" s="8"/>
      <c r="D134" s="8"/>
      <c r="E134" s="226">
        <f ca="1">-SUM(E132:E133)*USTax</f>
        <v>0</v>
      </c>
      <c r="F134" s="226">
        <f t="shared" ref="F134:Z134" ca="1" si="49">-SUM(F132:F133)*USTax</f>
        <v>0</v>
      </c>
      <c r="G134" s="226">
        <f t="shared" ca="1" si="49"/>
        <v>0</v>
      </c>
      <c r="H134" s="226">
        <f t="shared" ca="1" si="49"/>
        <v>-17.351532846160829</v>
      </c>
      <c r="I134" s="226">
        <f t="shared" ca="1" si="49"/>
        <v>-41.192028057713763</v>
      </c>
      <c r="J134" s="226">
        <f t="shared" ca="1" si="49"/>
        <v>-39.266087539909861</v>
      </c>
      <c r="K134" s="226">
        <f t="shared" ca="1" si="49"/>
        <v>-37.08163765610373</v>
      </c>
      <c r="L134" s="226">
        <f t="shared" ca="1" si="49"/>
        <v>-34.603979986643708</v>
      </c>
      <c r="M134" s="226">
        <f t="shared" ca="1" si="49"/>
        <v>-31.793758716500431</v>
      </c>
      <c r="N134" s="226">
        <f t="shared" ca="1" si="49"/>
        <v>-28.606335496372161</v>
      </c>
      <c r="O134" s="226">
        <f t="shared" ca="1" si="49"/>
        <v>-24.991080394522186</v>
      </c>
      <c r="P134" s="226">
        <f t="shared" ca="1" si="49"/>
        <v>-20.890567676626397</v>
      </c>
      <c r="Q134" s="226">
        <f t="shared" ca="1" si="49"/>
        <v>-16.239663639171049</v>
      </c>
      <c r="R134" s="226">
        <f t="shared" ca="1" si="49"/>
        <v>-10.964492007288255</v>
      </c>
      <c r="S134" s="226">
        <f t="shared" ca="1" si="49"/>
        <v>-4.9812604631159978</v>
      </c>
      <c r="T134" s="226">
        <f t="shared" ca="1" si="49"/>
        <v>0</v>
      </c>
      <c r="U134" s="226">
        <f t="shared" ca="1" si="49"/>
        <v>0</v>
      </c>
      <c r="V134" s="226">
        <f t="shared" ca="1" si="49"/>
        <v>0</v>
      </c>
      <c r="W134" s="226">
        <f t="shared" ca="1" si="49"/>
        <v>0</v>
      </c>
      <c r="X134" s="226">
        <f t="shared" ca="1" si="49"/>
        <v>0</v>
      </c>
      <c r="Y134" s="226">
        <f t="shared" ca="1" si="49"/>
        <v>0</v>
      </c>
      <c r="Z134" s="226">
        <f t="shared" ca="1" si="49"/>
        <v>0</v>
      </c>
      <c r="AA134" s="421">
        <f ca="1">SUM(E134:Z134)</f>
        <v>-307.96242448012833</v>
      </c>
      <c r="AB134" s="421">
        <f ca="1">$E134+NPV(Disc,$F134:Z134)</f>
        <v>-95.537928811093664</v>
      </c>
    </row>
    <row r="135" spans="1:28">
      <c r="A135" s="449"/>
      <c r="B135" s="8" t="s">
        <v>1141</v>
      </c>
      <c r="C135" s="8"/>
      <c r="D135" s="8"/>
      <c r="E135" s="53">
        <f ca="1">SUM(E129:E134)</f>
        <v>-4148.9345480000002</v>
      </c>
      <c r="F135" s="53">
        <f t="shared" ref="F135:Z135" ca="1" si="50">SUM(F129:F134)</f>
        <v>-29546.831535606489</v>
      </c>
      <c r="G135" s="53">
        <f t="shared" ca="1" si="50"/>
        <v>9426.973799268153</v>
      </c>
      <c r="H135" s="53">
        <f t="shared" ca="1" si="50"/>
        <v>2568.967458207042</v>
      </c>
      <c r="I135" s="53">
        <f t="shared" ca="1" si="50"/>
        <v>2313.7632892791262</v>
      </c>
      <c r="J135" s="53">
        <f t="shared" ca="1" si="50"/>
        <v>1713.9030890699462</v>
      </c>
      <c r="K135" s="53">
        <f t="shared" ca="1" si="50"/>
        <v>2356.7419189957313</v>
      </c>
      <c r="L135" s="53">
        <f t="shared" ca="1" si="50"/>
        <v>752.77974424152433</v>
      </c>
      <c r="M135" s="53">
        <f t="shared" ca="1" si="50"/>
        <v>2111.2647493970949</v>
      </c>
      <c r="N135" s="53">
        <f t="shared" ca="1" si="50"/>
        <v>2337.5688161887265</v>
      </c>
      <c r="O135" s="53">
        <f t="shared" ca="1" si="50"/>
        <v>3809.9448270106582</v>
      </c>
      <c r="P135" s="53">
        <f t="shared" ca="1" si="50"/>
        <v>5546.9614735471432</v>
      </c>
      <c r="Q135" s="53">
        <f t="shared" ca="1" si="50"/>
        <v>5982.8640503289507</v>
      </c>
      <c r="R135" s="53">
        <f t="shared" ca="1" si="50"/>
        <v>5453.3690447243671</v>
      </c>
      <c r="S135" s="53">
        <f t="shared" ca="1" si="50"/>
        <v>3818.0370903959197</v>
      </c>
      <c r="T135" s="53">
        <f t="shared" ca="1" si="50"/>
        <v>3653.508244027601</v>
      </c>
      <c r="U135" s="53">
        <f t="shared" ca="1" si="50"/>
        <v>4485.248841466504</v>
      </c>
      <c r="V135" s="53">
        <f t="shared" ca="1" si="50"/>
        <v>5885.9462077448034</v>
      </c>
      <c r="W135" s="53">
        <f t="shared" ca="1" si="50"/>
        <v>8587.9417081115807</v>
      </c>
      <c r="X135" s="53">
        <f t="shared" ca="1" si="50"/>
        <v>8799.3112515893736</v>
      </c>
      <c r="Y135" s="53">
        <f t="shared" ca="1" si="50"/>
        <v>9034.3130216206737</v>
      </c>
      <c r="Z135" s="53">
        <f t="shared" ca="1" si="50"/>
        <v>138396.68122288119</v>
      </c>
      <c r="AA135" s="420">
        <f ca="1">SUM(E135:Z135)</f>
        <v>193340.32376448961</v>
      </c>
      <c r="AB135" s="420">
        <f ca="1">SUM(AB129:AB134)</f>
        <v>-8311.712893613867</v>
      </c>
    </row>
    <row r="136" spans="1:28">
      <c r="A136" s="44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416"/>
      <c r="AB136" s="416"/>
    </row>
    <row r="137" spans="1:28">
      <c r="A137" s="449"/>
      <c r="B137" s="8" t="s">
        <v>178</v>
      </c>
      <c r="C137" s="8"/>
      <c r="D137" s="8"/>
      <c r="E137" s="53">
        <f ca="1">$E135</f>
        <v>-4148.9345480000002</v>
      </c>
      <c r="F137" s="53">
        <f ca="1">$E135+NPV(Disc,$F135:F135)</f>
        <v>-28978.204745988649</v>
      </c>
      <c r="G137" s="53">
        <f ca="1">$E135+NPV(Disc,$F135:G135)</f>
        <v>-22321.207500548247</v>
      </c>
      <c r="H137" s="53">
        <f ca="1">$E135+NPV(Disc,$F135:H135)</f>
        <v>-20796.741584746211</v>
      </c>
      <c r="I137" s="53">
        <f ca="1">$E135+NPV(Disc,$F135:I135)</f>
        <v>-19642.940134227956</v>
      </c>
      <c r="J137" s="53">
        <f ca="1">$E135+NPV(Disc,$F135:J135)</f>
        <v>-18924.730122916484</v>
      </c>
      <c r="K137" s="53">
        <f ca="1">$E135+NPV(Disc,$F135:K135)</f>
        <v>-18094.82153585607</v>
      </c>
      <c r="L137" s="53">
        <f ca="1">$E135+NPV(Disc,$F135:L135)</f>
        <v>-17872.060517372902</v>
      </c>
      <c r="M137" s="53">
        <f ca="1">$E135+NPV(Disc,$F135:M135)</f>
        <v>-17347.051206617263</v>
      </c>
      <c r="N137" s="53">
        <f ca="1">$E135+NPV(Disc,$F135:N135)</f>
        <v>-16858.57686918493</v>
      </c>
      <c r="O137" s="53">
        <f ca="1">$E135+NPV(Disc,$F135:O135)</f>
        <v>-16189.541507884976</v>
      </c>
      <c r="P137" s="53">
        <f ca="1">$E135+NPV(Disc,$F135:P135)</f>
        <v>-15371.004020213873</v>
      </c>
      <c r="Q137" s="53">
        <f ca="1">$E135+NPV(Disc,$F135:Q135)</f>
        <v>-14629.103633093502</v>
      </c>
      <c r="R137" s="53">
        <f ca="1">$E135+NPV(Disc,$F135:R135)</f>
        <v>-14060.834076618812</v>
      </c>
      <c r="S137" s="53">
        <f ca="1">$E135+NPV(Disc,$F135:S135)</f>
        <v>-13726.498429747491</v>
      </c>
      <c r="T137" s="53">
        <f ca="1">$E135+NPV(Disc,$F135:T135)</f>
        <v>-13457.651135011347</v>
      </c>
      <c r="U137" s="53">
        <f ca="1">$E135+NPV(Disc,$F135:U135)</f>
        <v>-13180.296670881653</v>
      </c>
      <c r="V137" s="53">
        <f ca="1">$E135+NPV(Disc,$F135:V135)</f>
        <v>-12874.440008494614</v>
      </c>
      <c r="W137" s="53">
        <f ca="1">$E135+NPV(Disc,$F135:W135)</f>
        <v>-12499.429201894265</v>
      </c>
      <c r="X137" s="53">
        <f ca="1">$E135+NPV(Disc,$F135:X135)</f>
        <v>-12176.537849870667</v>
      </c>
      <c r="Y137" s="53">
        <f ca="1">$E135+NPV(Disc,$F135:Y135)</f>
        <v>-11897.954019043831</v>
      </c>
      <c r="Z137" s="53">
        <f ca="1">$E135+NPV(Disc,$F135:Z135)</f>
        <v>-8311.7128936138652</v>
      </c>
      <c r="AA137" s="416"/>
      <c r="AB137" s="416"/>
    </row>
    <row r="138" spans="1:28">
      <c r="A138" s="449"/>
      <c r="B138" s="8" t="s">
        <v>179</v>
      </c>
      <c r="C138" s="8"/>
      <c r="D138" s="8"/>
      <c r="E138" s="21" t="e">
        <f ca="1">IRR($E135:E135,-0.9)</f>
        <v>#NUM!</v>
      </c>
      <c r="F138" s="21" t="e">
        <f ca="1">IRR($E135:F135,-0.9)</f>
        <v>#NUM!</v>
      </c>
      <c r="G138" s="21">
        <f ca="1">IRR($E135:G135,-0.9)</f>
        <v>-0.69408870910784271</v>
      </c>
      <c r="H138" s="21">
        <f ca="1">IRR($E135:H135,-0.9)</f>
        <v>-0.52801598521934445</v>
      </c>
      <c r="I138" s="21">
        <f ca="1">IRR($E135:I135,-0.9)</f>
        <v>-0.38530886524103614</v>
      </c>
      <c r="J138" s="21">
        <f ca="1">IRR($E135:J135,-0.9)</f>
        <v>-0.29867426217303933</v>
      </c>
      <c r="K138" s="21">
        <f ca="1">IRR($E135:K135,-0.9)</f>
        <v>-0.210195582685761</v>
      </c>
      <c r="L138" s="21">
        <f ca="1">IRR($E135:L135,-0.9)</f>
        <v>-0.18673181521570989</v>
      </c>
      <c r="M138" s="21">
        <f ca="1">IRR($E135:M135,-0.9)</f>
        <v>-0.1326585349642907</v>
      </c>
      <c r="N138" s="21">
        <f ca="1">IRR($E135:N135,-0.9)</f>
        <v>-9.0891164349255885E-2</v>
      </c>
      <c r="O138" s="21">
        <f ca="1">IRR($E135:O135,-0.9)</f>
        <v>-4.5525952611993409E-2</v>
      </c>
      <c r="P138" s="21">
        <f ca="1">IRR($E135:P135,-0.9)</f>
        <v>-4.3200961776436895E-3</v>
      </c>
      <c r="Q138" s="21">
        <f ca="1">IRR($E135:Q135,-0.9)</f>
        <v>2.4550023251042781E-2</v>
      </c>
      <c r="R138" s="21">
        <f ca="1">IRR($E135:R135,-0.9)</f>
        <v>4.3268785998751953E-2</v>
      </c>
      <c r="S138" s="21">
        <f ca="1">IRR($E135:S135,-0.9)</f>
        <v>5.3476332547512669E-2</v>
      </c>
      <c r="T138" s="21">
        <f ca="1">IRR($E135:T135,-0.9)</f>
        <v>6.1496474725387135E-2</v>
      </c>
      <c r="U138" s="21">
        <f ca="1">IRR($E135:U135,-0.9)</f>
        <v>6.9559347330431218E-2</v>
      </c>
      <c r="V138" s="21">
        <f ca="1">IRR($E135:V135,-0.9)</f>
        <v>7.8032627119048431E-2</v>
      </c>
      <c r="W138" s="21">
        <f ca="1">IRR($E135:W135,-0.9)</f>
        <v>8.7612369494505543E-2</v>
      </c>
      <c r="X138" s="21">
        <f ca="1">IRR($E135:X135,-0.9)</f>
        <v>9.516787527776073E-2</v>
      </c>
      <c r="Y138" s="21">
        <f ca="1">IRR($E135:Y135,-0.9)</f>
        <v>0.10126901818769073</v>
      </c>
      <c r="Z138" s="21">
        <f ca="1">IRR($E135:Z135,-0.9)</f>
        <v>0.14683612374750171</v>
      </c>
      <c r="AA138" s="416"/>
      <c r="AB138" s="631">
        <f ca="1">IRR($E135:Z135)</f>
        <v>0.14683612374750182</v>
      </c>
    </row>
    <row r="139" spans="1:28">
      <c r="A139" s="44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416"/>
      <c r="AB139" s="416"/>
    </row>
    <row r="140" spans="1:28">
      <c r="A140" s="449"/>
      <c r="B140" s="266" t="str">
        <f ca="1">CONCATENATE("Transredes NPV w/ Subordinated Debt @ ",TEXT(Disc,"0.0%"))</f>
        <v>Transredes NPV w/ Subordinated Debt @ 19.0%</v>
      </c>
      <c r="C140" s="441">
        <f ca="1">AB135</f>
        <v>-8311.712893613867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416"/>
      <c r="AB140" s="416"/>
    </row>
    <row r="141" spans="1:28" ht="13.5" thickBot="1">
      <c r="A141" s="455"/>
      <c r="B141" s="456" t="s">
        <v>1156</v>
      </c>
      <c r="C141" s="457">
        <f ca="1">AB138</f>
        <v>0.14683612374750182</v>
      </c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429"/>
      <c r="AB141" s="429"/>
    </row>
  </sheetData>
  <printOptions horizontalCentered="1"/>
  <pageMargins left="0.25" right="0.25" top="0.5" bottom="0.5" header="0.25" footer="0.25"/>
  <pageSetup scale="1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32"/>
  <sheetViews>
    <sheetView zoomScale="80" workbookViewId="0"/>
  </sheetViews>
  <sheetFormatPr defaultRowHeight="12.75"/>
  <cols>
    <col min="1" max="1" width="42" style="1154" customWidth="1"/>
    <col min="2" max="8" width="11.85546875" style="1154" customWidth="1"/>
    <col min="9" max="16384" width="9.140625" style="1154"/>
  </cols>
  <sheetData>
    <row r="1" spans="1:8" ht="15.75">
      <c r="A1" s="987" t="str">
        <f>Returns!A1</f>
        <v>GAS ORIENTE BOLIVIANO S.A. (GASBOL) *** DRAFT COPY ***</v>
      </c>
    </row>
    <row r="2" spans="1:8" ht="15.75">
      <c r="A2" s="987" t="str">
        <f>Returns!A2</f>
        <v>369 KM PIPELINE SPUR FOR CUIABA POWER PLANT (BOLIVIA)</v>
      </c>
    </row>
    <row r="3" spans="1:8" ht="15">
      <c r="A3" s="244" t="str">
        <f>Returns!A3</f>
        <v>ENRON INTERNATIONAL</v>
      </c>
    </row>
    <row r="5" spans="1:8">
      <c r="A5" s="1155" t="s">
        <v>1028</v>
      </c>
    </row>
    <row r="6" spans="1:8" ht="6" customHeight="1">
      <c r="A6" s="1155"/>
    </row>
    <row r="7" spans="1:8">
      <c r="A7" s="1155"/>
      <c r="B7" s="1377" t="s">
        <v>1029</v>
      </c>
      <c r="C7" s="1378"/>
      <c r="D7" s="1377" t="s">
        <v>1030</v>
      </c>
      <c r="E7" s="1379"/>
      <c r="F7" s="1379"/>
      <c r="G7" s="1379"/>
      <c r="H7" s="1378"/>
    </row>
    <row r="8" spans="1:8" ht="13.5" thickBot="1">
      <c r="A8" s="1156"/>
      <c r="B8" s="1157">
        <v>1998</v>
      </c>
      <c r="C8" s="1157">
        <v>1999</v>
      </c>
      <c r="D8" s="1158" t="s">
        <v>1031</v>
      </c>
      <c r="E8" s="1158" t="s">
        <v>1032</v>
      </c>
      <c r="F8" s="1158" t="s">
        <v>1033</v>
      </c>
      <c r="G8" s="1158" t="s">
        <v>1034</v>
      </c>
      <c r="H8" s="1158" t="s">
        <v>1035</v>
      </c>
    </row>
    <row r="9" spans="1:8">
      <c r="A9" s="1159" t="s">
        <v>1036</v>
      </c>
      <c r="B9" s="1160">
        <f>CF!D17</f>
        <v>0</v>
      </c>
      <c r="C9" s="1160">
        <f ca="1">CF!E17</f>
        <v>0</v>
      </c>
      <c r="D9" s="1160">
        <f ca="1">CF!F17</f>
        <v>0</v>
      </c>
      <c r="E9" s="1160">
        <f ca="1">CF!G17</f>
        <v>14282.925136278027</v>
      </c>
      <c r="F9" s="1160">
        <f ca="1">CF!H17</f>
        <v>24055.05101070087</v>
      </c>
      <c r="G9" s="1160">
        <f ca="1">CF!I17</f>
        <v>24793.36661323718</v>
      </c>
      <c r="H9" s="1160">
        <f ca="1">CF!J17</f>
        <v>25593.329628871357</v>
      </c>
    </row>
    <row r="10" spans="1:8">
      <c r="A10" s="1161" t="s">
        <v>1037</v>
      </c>
      <c r="B10" s="1162"/>
      <c r="C10" s="1150" t="e">
        <f t="shared" ref="C10:H10" ca="1" si="0">(C9-B9)/B9</f>
        <v>#DIV/0!</v>
      </c>
      <c r="D10" s="1150" t="e">
        <f t="shared" ca="1" si="0"/>
        <v>#DIV/0!</v>
      </c>
      <c r="E10" s="1150" t="e">
        <f t="shared" ca="1" si="0"/>
        <v>#DIV/0!</v>
      </c>
      <c r="F10" s="1150">
        <f t="shared" ca="1" si="0"/>
        <v>0.68418239129476754</v>
      </c>
      <c r="G10" s="1150">
        <f t="shared" ca="1" si="0"/>
        <v>3.0692747323955809E-2</v>
      </c>
      <c r="H10" s="1150">
        <f t="shared" ca="1" si="0"/>
        <v>3.2265203355121487E-2</v>
      </c>
    </row>
    <row r="11" spans="1:8" ht="9.75" customHeight="1">
      <c r="A11" s="1161"/>
      <c r="C11" s="1151"/>
      <c r="D11" s="1151"/>
      <c r="E11" s="1151"/>
      <c r="F11" s="1151"/>
      <c r="G11" s="1151"/>
      <c r="H11" s="1151"/>
    </row>
    <row r="12" spans="1:8">
      <c r="A12" s="1154" t="s">
        <v>1038</v>
      </c>
      <c r="B12" s="1163">
        <v>0</v>
      </c>
      <c r="C12" s="1163">
        <v>0</v>
      </c>
      <c r="D12" s="1163">
        <v>0</v>
      </c>
      <c r="E12" s="1163">
        <v>0</v>
      </c>
      <c r="F12" s="1163">
        <v>0</v>
      </c>
      <c r="G12" s="1163">
        <v>0</v>
      </c>
      <c r="H12" s="1163">
        <v>0</v>
      </c>
    </row>
    <row r="13" spans="1:8">
      <c r="A13" s="1159" t="s">
        <v>1039</v>
      </c>
      <c r="B13" s="1164">
        <f t="shared" ref="B13:H13" si="1">B9+B12</f>
        <v>0</v>
      </c>
      <c r="C13" s="1164">
        <f t="shared" ca="1" si="1"/>
        <v>0</v>
      </c>
      <c r="D13" s="1164">
        <f t="shared" ca="1" si="1"/>
        <v>0</v>
      </c>
      <c r="E13" s="1164">
        <f t="shared" ca="1" si="1"/>
        <v>14282.925136278027</v>
      </c>
      <c r="F13" s="1164">
        <f t="shared" ca="1" si="1"/>
        <v>24055.05101070087</v>
      </c>
      <c r="G13" s="1164">
        <f t="shared" ca="1" si="1"/>
        <v>24793.36661323718</v>
      </c>
      <c r="H13" s="1164">
        <f t="shared" ca="1" si="1"/>
        <v>25593.329628871357</v>
      </c>
    </row>
    <row r="14" spans="1:8">
      <c r="A14" s="1161" t="s">
        <v>1037</v>
      </c>
      <c r="B14" s="1162"/>
      <c r="C14" s="1150" t="e">
        <f t="shared" ref="C14:H14" ca="1" si="2">(C13-B13)/B13</f>
        <v>#DIV/0!</v>
      </c>
      <c r="D14" s="1150" t="e">
        <f t="shared" ca="1" si="2"/>
        <v>#DIV/0!</v>
      </c>
      <c r="E14" s="1150" t="e">
        <f t="shared" ca="1" si="2"/>
        <v>#DIV/0!</v>
      </c>
      <c r="F14" s="1150">
        <f t="shared" ca="1" si="2"/>
        <v>0.68418239129476754</v>
      </c>
      <c r="G14" s="1150">
        <f t="shared" ca="1" si="2"/>
        <v>3.0692747323955809E-2</v>
      </c>
      <c r="H14" s="1150">
        <f t="shared" ca="1" si="2"/>
        <v>3.2265203355121487E-2</v>
      </c>
    </row>
    <row r="15" spans="1:8" ht="10.5" customHeight="1"/>
    <row r="16" spans="1:8">
      <c r="A16" s="1154" t="s">
        <v>1040</v>
      </c>
      <c r="B16" s="1163">
        <f>-CF!D35</f>
        <v>0</v>
      </c>
      <c r="C16" s="1163">
        <f ca="1">-CF!E35</f>
        <v>0</v>
      </c>
      <c r="D16" s="1163">
        <f ca="1">-CF!F35</f>
        <v>-13.275999937924599</v>
      </c>
      <c r="E16" s="1163">
        <f ca="1">-CF!G35</f>
        <v>-2921.7389909554818</v>
      </c>
      <c r="F16" s="1163">
        <f ca="1">-CF!H35</f>
        <v>-3916.8636877822109</v>
      </c>
      <c r="G16" s="1163">
        <f ca="1">-CF!I35</f>
        <v>-5556.7985918438708</v>
      </c>
      <c r="H16" s="1163">
        <f ca="1">-CF!J35</f>
        <v>-4688.3281276281905</v>
      </c>
    </row>
    <row r="17" spans="1:8">
      <c r="A17" s="1154" t="s">
        <v>1041</v>
      </c>
      <c r="B17" s="1163">
        <v>0</v>
      </c>
      <c r="C17" s="1163">
        <v>0</v>
      </c>
      <c r="D17" s="1163">
        <v>0</v>
      </c>
      <c r="E17" s="1163">
        <v>0</v>
      </c>
      <c r="F17" s="1163">
        <v>0</v>
      </c>
      <c r="G17" s="1163">
        <v>0</v>
      </c>
      <c r="H17" s="1163">
        <v>0</v>
      </c>
    </row>
    <row r="18" spans="1:8">
      <c r="A18" s="1154" t="s">
        <v>1042</v>
      </c>
      <c r="B18" s="1163">
        <f>CF!D44</f>
        <v>0</v>
      </c>
      <c r="C18" s="1163">
        <f ca="1">CF!E44</f>
        <v>0</v>
      </c>
      <c r="D18" s="1163">
        <f ca="1">CF!F44</f>
        <v>0</v>
      </c>
      <c r="E18" s="1163">
        <f ca="1">CF!G44</f>
        <v>-2756.9898472661021</v>
      </c>
      <c r="F18" s="1163">
        <f ca="1">CF!H44</f>
        <v>-5917.2492777566949</v>
      </c>
      <c r="G18" s="1163">
        <f ca="1">CF!I44</f>
        <v>-5670.9270217506373</v>
      </c>
      <c r="H18" s="1163">
        <f ca="1">CF!J44</f>
        <v>-1805.5702482188422</v>
      </c>
    </row>
    <row r="19" spans="1:8">
      <c r="A19" s="1154" t="s">
        <v>1043</v>
      </c>
      <c r="B19" s="1163">
        <v>0</v>
      </c>
      <c r="C19" s="1163">
        <v>0</v>
      </c>
      <c r="D19" s="1163">
        <v>0</v>
      </c>
      <c r="E19" s="1163">
        <v>0</v>
      </c>
      <c r="F19" s="1163">
        <v>0</v>
      </c>
      <c r="G19" s="1163">
        <v>0</v>
      </c>
      <c r="H19" s="1163">
        <v>0</v>
      </c>
    </row>
    <row r="20" spans="1:8">
      <c r="A20" s="1159" t="s">
        <v>1044</v>
      </c>
      <c r="B20" s="1164">
        <f t="shared" ref="B20:H20" si="3">B13+SUM(B16:B19)</f>
        <v>0</v>
      </c>
      <c r="C20" s="1164">
        <f t="shared" ca="1" si="3"/>
        <v>0</v>
      </c>
      <c r="D20" s="1164">
        <f t="shared" ca="1" si="3"/>
        <v>-13.275999937924599</v>
      </c>
      <c r="E20" s="1164">
        <f t="shared" ca="1" si="3"/>
        <v>8604.1962980564422</v>
      </c>
      <c r="F20" s="1164">
        <f t="shared" ca="1" si="3"/>
        <v>14220.938045161965</v>
      </c>
      <c r="G20" s="1164">
        <f t="shared" ca="1" si="3"/>
        <v>13565.640999642672</v>
      </c>
      <c r="H20" s="1164">
        <f t="shared" ca="1" si="3"/>
        <v>19099.431253024326</v>
      </c>
    </row>
    <row r="21" spans="1:8">
      <c r="A21" s="1161" t="s">
        <v>1037</v>
      </c>
      <c r="B21" s="1162"/>
      <c r="C21" s="1150" t="e">
        <f t="shared" ref="C21:H21" ca="1" si="4">(C20-B20)/B20</f>
        <v>#DIV/0!</v>
      </c>
      <c r="D21" s="1150" t="e">
        <f t="shared" ca="1" si="4"/>
        <v>#DIV/0!</v>
      </c>
      <c r="E21" s="1150">
        <f t="shared" ca="1" si="4"/>
        <v>-649.1015620885513</v>
      </c>
      <c r="F21" s="1150">
        <f t="shared" ca="1" si="4"/>
        <v>0.6527909815788675</v>
      </c>
      <c r="G21" s="1150">
        <f t="shared" ca="1" si="4"/>
        <v>-4.607973422275255E-2</v>
      </c>
      <c r="H21" s="1150">
        <f t="shared" ca="1" si="4"/>
        <v>0.40792692756113907</v>
      </c>
    </row>
    <row r="23" spans="1:8">
      <c r="A23" s="1154" t="s">
        <v>56</v>
      </c>
      <c r="B23" s="1163">
        <f>CF!D47</f>
        <v>0</v>
      </c>
      <c r="C23" s="1163">
        <f ca="1">CF!E47</f>
        <v>0</v>
      </c>
      <c r="D23" s="1163">
        <f ca="1">CF!F47</f>
        <v>0</v>
      </c>
      <c r="E23" s="1163">
        <f ca="1">CF!G47</f>
        <v>-6008.749462358709</v>
      </c>
      <c r="F23" s="1163">
        <f ca="1">CF!H47</f>
        <v>-7210.499354830451</v>
      </c>
      <c r="G23" s="1163">
        <f ca="1">CF!I47</f>
        <v>-7210.499354830451</v>
      </c>
      <c r="H23" s="1163">
        <f ca="1">CF!J47</f>
        <v>-7210.499354830451</v>
      </c>
    </row>
    <row r="24" spans="1:8">
      <c r="A24" s="1154" t="s">
        <v>1045</v>
      </c>
      <c r="B24" s="1163">
        <v>0</v>
      </c>
      <c r="C24" s="1163">
        <v>0</v>
      </c>
      <c r="D24" s="1163">
        <v>0</v>
      </c>
      <c r="E24" s="1163">
        <v>0</v>
      </c>
      <c r="F24" s="1163">
        <v>0</v>
      </c>
      <c r="G24" s="1163">
        <v>0</v>
      </c>
      <c r="H24" s="1163">
        <v>0</v>
      </c>
    </row>
    <row r="26" spans="1:8">
      <c r="A26" s="1159" t="s">
        <v>1046</v>
      </c>
      <c r="B26" s="1164">
        <f t="shared" ref="B26:H26" si="5">B20+B23+B24</f>
        <v>0</v>
      </c>
      <c r="C26" s="1164">
        <f t="shared" ca="1" si="5"/>
        <v>0</v>
      </c>
      <c r="D26" s="1164">
        <f t="shared" ca="1" si="5"/>
        <v>-13.275999937924599</v>
      </c>
      <c r="E26" s="1164">
        <f t="shared" ca="1" si="5"/>
        <v>2595.4468356977331</v>
      </c>
      <c r="F26" s="1164">
        <f t="shared" ca="1" si="5"/>
        <v>7010.4386903315144</v>
      </c>
      <c r="G26" s="1164">
        <f t="shared" ca="1" si="5"/>
        <v>6355.1416448122209</v>
      </c>
      <c r="H26" s="1164">
        <f t="shared" ca="1" si="5"/>
        <v>11888.931898193874</v>
      </c>
    </row>
    <row r="28" spans="1:8">
      <c r="A28" s="1154" t="s">
        <v>1047</v>
      </c>
      <c r="B28" s="1163">
        <f>CF!D50</f>
        <v>0</v>
      </c>
      <c r="C28" s="1163">
        <f ca="1">CF!E50</f>
        <v>0</v>
      </c>
      <c r="D28" s="1163">
        <f ca="1">CF!F50</f>
        <v>0</v>
      </c>
      <c r="E28" s="1163">
        <f ca="1">CF!G50</f>
        <v>-4298.9671464881521</v>
      </c>
      <c r="F28" s="1163">
        <f ca="1">CF!H50</f>
        <v>-10278.834132082155</v>
      </c>
      <c r="G28" s="1163">
        <f ca="1">CF!I50</f>
        <v>-10097.18311772179</v>
      </c>
      <c r="H28" s="1163">
        <f ca="1">CF!J50</f>
        <v>-9716.1718009101805</v>
      </c>
    </row>
    <row r="29" spans="1:8">
      <c r="A29" s="1154" t="s">
        <v>1048</v>
      </c>
      <c r="B29" s="1163">
        <f>CF!D52</f>
        <v>0</v>
      </c>
      <c r="C29" s="1163">
        <f ca="1">CF!E52</f>
        <v>0</v>
      </c>
      <c r="D29" s="1163">
        <f ca="1">CF!F52</f>
        <v>0</v>
      </c>
      <c r="E29" s="1163">
        <f ca="1">CF!G52</f>
        <v>0</v>
      </c>
      <c r="F29" s="1163">
        <f ca="1">CF!H52</f>
        <v>0</v>
      </c>
      <c r="G29" s="1163">
        <f ca="1">CF!I52</f>
        <v>0</v>
      </c>
      <c r="H29" s="1163">
        <f ca="1">CF!J52</f>
        <v>0</v>
      </c>
    </row>
    <row r="31" spans="1:8">
      <c r="A31" s="1159" t="s">
        <v>1049</v>
      </c>
      <c r="B31" s="1164">
        <f t="shared" ref="B31:H31" si="6">B26+B28+B29</f>
        <v>0</v>
      </c>
      <c r="C31" s="1164">
        <f t="shared" ca="1" si="6"/>
        <v>0</v>
      </c>
      <c r="D31" s="1164">
        <f t="shared" ca="1" si="6"/>
        <v>-13.275999937924599</v>
      </c>
      <c r="E31" s="1164">
        <f t="shared" ca="1" si="6"/>
        <v>-1703.520310790419</v>
      </c>
      <c r="F31" s="1164">
        <f t="shared" ca="1" si="6"/>
        <v>-3268.3954417506402</v>
      </c>
      <c r="G31" s="1164">
        <f t="shared" ca="1" si="6"/>
        <v>-3742.0414729095692</v>
      </c>
      <c r="H31" s="1164">
        <f t="shared" ca="1" si="6"/>
        <v>2172.7600972836935</v>
      </c>
    </row>
    <row r="33" spans="1:8">
      <c r="A33" s="1154" t="s">
        <v>1050</v>
      </c>
      <c r="B33" s="1163">
        <f>CF!D55</f>
        <v>0</v>
      </c>
      <c r="C33" s="1163">
        <f ca="1">CF!E55</f>
        <v>0</v>
      </c>
      <c r="D33" s="1163">
        <f ca="1">CF!F55</f>
        <v>0</v>
      </c>
      <c r="E33" s="1163">
        <f ca="1">CF!G55</f>
        <v>0</v>
      </c>
      <c r="F33" s="1163">
        <f ca="1">CF!H55</f>
        <v>0</v>
      </c>
      <c r="G33" s="1163">
        <f ca="1">CF!I55</f>
        <v>0</v>
      </c>
      <c r="H33" s="1163">
        <f ca="1">CF!J55</f>
        <v>0</v>
      </c>
    </row>
    <row r="35" spans="1:8" ht="13.5" thickBot="1">
      <c r="A35" s="1159" t="s">
        <v>1051</v>
      </c>
      <c r="B35" s="1165">
        <f t="shared" ref="B35:H35" si="7">B31+B33</f>
        <v>0</v>
      </c>
      <c r="C35" s="1165">
        <f t="shared" ca="1" si="7"/>
        <v>0</v>
      </c>
      <c r="D35" s="1165">
        <f t="shared" ca="1" si="7"/>
        <v>-13.275999937924599</v>
      </c>
      <c r="E35" s="1165">
        <f t="shared" ca="1" si="7"/>
        <v>-1703.520310790419</v>
      </c>
      <c r="F35" s="1165">
        <f t="shared" ca="1" si="7"/>
        <v>-3268.3954417506402</v>
      </c>
      <c r="G35" s="1165">
        <f t="shared" ca="1" si="7"/>
        <v>-3742.0414729095692</v>
      </c>
      <c r="H35" s="1165">
        <f t="shared" ca="1" si="7"/>
        <v>2172.7600972836935</v>
      </c>
    </row>
    <row r="36" spans="1:8" ht="13.5" thickTop="1">
      <c r="A36" s="1161" t="s">
        <v>1037</v>
      </c>
      <c r="B36" s="1162"/>
      <c r="C36" s="1150" t="e">
        <f t="shared" ref="C36:H36" ca="1" si="8">(C35-B35)/B35</f>
        <v>#DIV/0!</v>
      </c>
      <c r="D36" s="1150" t="e">
        <f t="shared" ca="1" si="8"/>
        <v>#DIV/0!</v>
      </c>
      <c r="E36" s="1150">
        <f t="shared" ca="1" si="8"/>
        <v>127.31578176827905</v>
      </c>
      <c r="F36" s="1150">
        <f t="shared" ca="1" si="8"/>
        <v>0.91861254664708547</v>
      </c>
      <c r="G36" s="1150">
        <f t="shared" ca="1" si="8"/>
        <v>0.14491699049281243</v>
      </c>
      <c r="H36" s="1150">
        <f t="shared" ca="1" si="8"/>
        <v>-1.5806349590225937</v>
      </c>
    </row>
    <row r="38" spans="1:8">
      <c r="A38" s="1166" t="s">
        <v>1052</v>
      </c>
      <c r="B38" s="1167">
        <f ca="1">EINC!E19</f>
        <v>0</v>
      </c>
      <c r="C38" s="1167">
        <f ca="1">EINC!F19</f>
        <v>0</v>
      </c>
      <c r="D38" s="1167">
        <f ca="1">EINC!G19</f>
        <v>0</v>
      </c>
      <c r="E38" s="1167">
        <f ca="1">EINC!H19</f>
        <v>-1378.1317360628575</v>
      </c>
      <c r="F38" s="1167">
        <f ca="1">EINC!I19</f>
        <v>-2689.8604503730985</v>
      </c>
      <c r="G38" s="1167">
        <f ca="1">EINC!J19</f>
        <v>-3033.9408780793397</v>
      </c>
      <c r="H38" s="1167">
        <f ca="1">EINC!K19</f>
        <v>1414.8115537189271</v>
      </c>
    </row>
    <row r="39" spans="1:8">
      <c r="A39" s="1166" t="s">
        <v>1053</v>
      </c>
      <c r="B39" s="1168">
        <v>0</v>
      </c>
    </row>
    <row r="40" spans="1:8">
      <c r="A40" s="1166" t="s">
        <v>1054</v>
      </c>
      <c r="B40" s="1169">
        <v>0</v>
      </c>
    </row>
    <row r="42" spans="1:8">
      <c r="A42" s="1155" t="s">
        <v>1055</v>
      </c>
    </row>
    <row r="43" spans="1:8">
      <c r="A43" s="1155"/>
      <c r="B43" s="1377" t="s">
        <v>1029</v>
      </c>
      <c r="C43" s="1378"/>
      <c r="D43" s="1377" t="s">
        <v>1030</v>
      </c>
      <c r="E43" s="1379"/>
      <c r="F43" s="1379"/>
      <c r="G43" s="1379"/>
      <c r="H43" s="1378"/>
    </row>
    <row r="44" spans="1:8" ht="13.5" thickBot="1">
      <c r="A44" s="1156"/>
      <c r="B44" s="1157">
        <v>1998</v>
      </c>
      <c r="C44" s="1157">
        <v>1999</v>
      </c>
      <c r="D44" s="1157">
        <v>2000</v>
      </c>
      <c r="E44" s="1157">
        <v>2001</v>
      </c>
      <c r="F44" s="1157">
        <v>2002</v>
      </c>
      <c r="G44" s="1157">
        <v>2003</v>
      </c>
      <c r="H44" s="1157">
        <v>2004</v>
      </c>
    </row>
    <row r="45" spans="1:8">
      <c r="A45" s="1186" t="s">
        <v>1093</v>
      </c>
      <c r="B45" s="1171">
        <f>B9</f>
        <v>0</v>
      </c>
      <c r="C45" s="1171">
        <f t="shared" ref="C45:H45" ca="1" si="9">C9</f>
        <v>0</v>
      </c>
      <c r="D45" s="1171">
        <f t="shared" ca="1" si="9"/>
        <v>0</v>
      </c>
      <c r="E45" s="1171">
        <f t="shared" ca="1" si="9"/>
        <v>14282.925136278027</v>
      </c>
      <c r="F45" s="1171">
        <f t="shared" ca="1" si="9"/>
        <v>24055.05101070087</v>
      </c>
      <c r="G45" s="1171">
        <f t="shared" ca="1" si="9"/>
        <v>24793.36661323718</v>
      </c>
      <c r="H45" s="1171">
        <f t="shared" ca="1" si="9"/>
        <v>25593.329628871357</v>
      </c>
    </row>
    <row r="46" spans="1:8">
      <c r="A46" s="1186" t="s">
        <v>1094</v>
      </c>
      <c r="B46" s="1163">
        <f ca="1">BS_IS!G57</f>
        <v>0</v>
      </c>
      <c r="C46" s="1163">
        <f ca="1">BS_IS!H57</f>
        <v>0</v>
      </c>
      <c r="D46" s="1163">
        <f ca="1">BS_IS!I57</f>
        <v>0</v>
      </c>
      <c r="E46" s="1163">
        <f ca="1">BS_IS!J57</f>
        <v>-2921.7389909554818</v>
      </c>
      <c r="F46" s="1163">
        <f ca="1">BS_IS!K57</f>
        <v>-3916.8636877822109</v>
      </c>
      <c r="G46" s="1163">
        <f ca="1">BS_IS!L57</f>
        <v>-5556.7985918438708</v>
      </c>
      <c r="H46" s="1163">
        <f ca="1">BS_IS!M57</f>
        <v>-4688.3281276281905</v>
      </c>
    </row>
    <row r="47" spans="1:8">
      <c r="A47" s="1186" t="s">
        <v>1095</v>
      </c>
      <c r="B47" s="1163">
        <f ca="1">SUM(BS_IS!G58:G62)</f>
        <v>-825.14307615655071</v>
      </c>
      <c r="C47" s="1163">
        <f ca="1">SUM(BS_IS!H58:H62)</f>
        <v>-5837.7026413862013</v>
      </c>
      <c r="D47" s="1163">
        <f ca="1">SUM(BS_IS!I58:I62)</f>
        <v>-5091.231203388932</v>
      </c>
      <c r="E47" s="1163">
        <f ca="1">SUM(BS_IS!J58:J62)</f>
        <v>786.56722028206104</v>
      </c>
      <c r="F47" s="1163">
        <f ca="1">SUM(BS_IS!K58:K62)</f>
        <v>932.58828007502188</v>
      </c>
      <c r="G47" s="1163">
        <f ca="1">SUM(BS_IS!L58:L62)</f>
        <v>962.4428875052281</v>
      </c>
      <c r="H47" s="1163">
        <f ca="1">SUM(BS_IS!M58:M62)</f>
        <v>1000.215571519966</v>
      </c>
    </row>
    <row r="48" spans="1:8">
      <c r="A48" s="1170" t="s">
        <v>1056</v>
      </c>
      <c r="B48" s="1163">
        <v>0</v>
      </c>
      <c r="C48" s="1163">
        <v>0</v>
      </c>
      <c r="D48" s="1163">
        <v>0</v>
      </c>
      <c r="E48" s="1163">
        <v>0</v>
      </c>
      <c r="F48" s="1163">
        <v>0</v>
      </c>
      <c r="G48" s="1163">
        <v>0</v>
      </c>
      <c r="H48" s="1163">
        <v>0</v>
      </c>
    </row>
    <row r="49" spans="1:8">
      <c r="A49" s="1170" t="s">
        <v>1057</v>
      </c>
      <c r="B49" s="1172">
        <v>0</v>
      </c>
      <c r="C49" s="1172">
        <v>0</v>
      </c>
      <c r="D49" s="1172">
        <v>0</v>
      </c>
      <c r="E49" s="1172">
        <v>0</v>
      </c>
      <c r="F49" s="1172">
        <v>0</v>
      </c>
      <c r="G49" s="1172">
        <v>0</v>
      </c>
      <c r="H49" s="1172">
        <v>0</v>
      </c>
    </row>
    <row r="50" spans="1:8">
      <c r="A50" s="1173" t="s">
        <v>1058</v>
      </c>
      <c r="B50" s="1174">
        <f t="shared" ref="B50:H50" ca="1" si="10">SUM(B45:B49)</f>
        <v>-825.14307615655071</v>
      </c>
      <c r="C50" s="1174">
        <f t="shared" ca="1" si="10"/>
        <v>-5837.7026413862013</v>
      </c>
      <c r="D50" s="1174">
        <f t="shared" ca="1" si="10"/>
        <v>-5091.231203388932</v>
      </c>
      <c r="E50" s="1174">
        <f t="shared" ca="1" si="10"/>
        <v>12147.753365604605</v>
      </c>
      <c r="F50" s="1174">
        <f t="shared" ca="1" si="10"/>
        <v>21070.775602993683</v>
      </c>
      <c r="G50" s="1174">
        <f t="shared" ca="1" si="10"/>
        <v>20199.010908898537</v>
      </c>
      <c r="H50" s="1174">
        <f t="shared" ca="1" si="10"/>
        <v>21905.217072763135</v>
      </c>
    </row>
    <row r="51" spans="1:8">
      <c r="A51" s="1170"/>
      <c r="B51" s="1175"/>
      <c r="C51" s="1175"/>
      <c r="D51" s="1175"/>
      <c r="E51" s="1175"/>
      <c r="F51" s="1175"/>
      <c r="G51" s="1175"/>
      <c r="H51" s="1175"/>
    </row>
    <row r="52" spans="1:8">
      <c r="A52" s="1170" t="s">
        <v>413</v>
      </c>
      <c r="B52" s="1163">
        <f ca="1">BS_IS!G83</f>
        <v>0</v>
      </c>
      <c r="C52" s="1163">
        <f ca="1">BS_IS!H83</f>
        <v>0</v>
      </c>
      <c r="D52" s="1163">
        <f ca="1">BS_IS!I83</f>
        <v>0</v>
      </c>
      <c r="E52" s="1163">
        <f ca="1">BS_IS!J83</f>
        <v>0</v>
      </c>
      <c r="F52" s="1163">
        <f ca="1">BS_IS!K83</f>
        <v>-9.0949470177292824E-13</v>
      </c>
      <c r="G52" s="1163">
        <f ca="1">BS_IS!L83</f>
        <v>4.5474735088646412E-13</v>
      </c>
      <c r="H52" s="1163">
        <f ca="1">BS_IS!M83</f>
        <v>9.0949470177292824E-13</v>
      </c>
    </row>
    <row r="53" spans="1:8">
      <c r="A53" s="1170" t="s">
        <v>1059</v>
      </c>
      <c r="B53" s="1163">
        <f ca="1">BS_IS!G69+BS_IS!G70+SUM(BS_IS!G74:G83)</f>
        <v>0</v>
      </c>
      <c r="C53" s="1163">
        <f ca="1">BS_IS!H69+BS_IS!H70+SUM(BS_IS!H74:H83)</f>
        <v>0</v>
      </c>
      <c r="D53" s="1163">
        <f ca="1">BS_IS!I69+BS_IS!I70+SUM(BS_IS!I74:I83)</f>
        <v>91998.497448496521</v>
      </c>
      <c r="E53" s="1163">
        <f ca="1">BS_IS!J69+BS_IS!J70+SUM(BS_IS!J74:J83)</f>
        <v>-10655.823802746125</v>
      </c>
      <c r="F53" s="1163">
        <f ca="1">BS_IS!K69+BS_IS!K70+SUM(BS_IS!K74:K83)</f>
        <v>-20959.97562124208</v>
      </c>
      <c r="G53" s="1163">
        <f ca="1">BS_IS!L69+BS_IS!L70+SUM(BS_IS!L74:L83)</f>
        <v>-20073.338799596324</v>
      </c>
      <c r="H53" s="1163">
        <f ca="1">BS_IS!M69+BS_IS!M70+SUM(BS_IS!M74:M83)</f>
        <v>-21762.676624589825</v>
      </c>
    </row>
    <row r="54" spans="1:8">
      <c r="A54" s="1170" t="s">
        <v>1060</v>
      </c>
      <c r="B54" s="1172">
        <f ca="1">BS_IS!G66+BS_IS!G67+BS_IS!G68</f>
        <v>10372.336370000001</v>
      </c>
      <c r="C54" s="1172">
        <f ca="1">BS_IS!H66+BS_IS!H67+BS_IS!H68</f>
        <v>74319.105639574249</v>
      </c>
      <c r="D54" s="1172">
        <f ca="1">BS_IS!I66+BS_IS!I67+BS_IS!I68</f>
        <v>-24691.44199957425</v>
      </c>
      <c r="E54" s="1172">
        <f ca="1">BS_IS!J66+BS_IS!J67+BS_IS!J68</f>
        <v>0</v>
      </c>
      <c r="F54" s="1172">
        <f ca="1">BS_IS!K66+BS_IS!K67+BS_IS!K68</f>
        <v>0</v>
      </c>
      <c r="G54" s="1172">
        <f ca="1">BS_IS!L66+BS_IS!L67+BS_IS!L68</f>
        <v>0</v>
      </c>
      <c r="H54" s="1172">
        <f ca="1">BS_IS!M66+BS_IS!M67+BS_IS!M68</f>
        <v>0</v>
      </c>
    </row>
    <row r="55" spans="1:8">
      <c r="A55" s="1173" t="s">
        <v>1061</v>
      </c>
      <c r="B55" s="1176">
        <f t="shared" ref="B55:H55" ca="1" si="11">SUM(B52:B54)</f>
        <v>10372.336370000001</v>
      </c>
      <c r="C55" s="1176">
        <f t="shared" ca="1" si="11"/>
        <v>74319.105639574249</v>
      </c>
      <c r="D55" s="1176">
        <f t="shared" ca="1" si="11"/>
        <v>67307.05544892227</v>
      </c>
      <c r="E55" s="1176">
        <f t="shared" ca="1" si="11"/>
        <v>-10655.823802746125</v>
      </c>
      <c r="F55" s="1176">
        <f t="shared" ca="1" si="11"/>
        <v>-20959.97562124208</v>
      </c>
      <c r="G55" s="1176">
        <f t="shared" ca="1" si="11"/>
        <v>-20073.338799596324</v>
      </c>
      <c r="H55" s="1176">
        <f t="shared" ca="1" si="11"/>
        <v>-21762.676624589825</v>
      </c>
    </row>
    <row r="56" spans="1:8">
      <c r="A56" s="1170"/>
      <c r="B56" s="1177"/>
      <c r="C56" s="1152"/>
      <c r="D56" s="1152"/>
      <c r="E56" s="1152"/>
      <c r="F56" s="1152"/>
      <c r="G56" s="1152"/>
      <c r="H56" s="1152"/>
    </row>
    <row r="57" spans="1:8">
      <c r="A57" s="1170" t="s">
        <v>1062</v>
      </c>
      <c r="B57" s="1163">
        <f ca="1">BS_IS!G73</f>
        <v>-9547.1932938434511</v>
      </c>
      <c r="C57" s="1163">
        <f ca="1">BS_IS!H73</f>
        <v>-68481.402998188059</v>
      </c>
      <c r="D57" s="1163">
        <f ca="1">BS_IS!I73</f>
        <v>-64644.271377129699</v>
      </c>
      <c r="E57" s="1163">
        <f ca="1">BS_IS!J73</f>
        <v>-1537.1194274478185</v>
      </c>
      <c r="F57" s="1163">
        <f ca="1">BS_IS!K73</f>
        <v>0</v>
      </c>
      <c r="G57" s="1163">
        <f ca="1">BS_IS!L73</f>
        <v>0</v>
      </c>
      <c r="H57" s="1163">
        <f ca="1">BS_IS!M73</f>
        <v>0</v>
      </c>
    </row>
    <row r="58" spans="1:8">
      <c r="A58" s="1170" t="s">
        <v>1063</v>
      </c>
      <c r="B58" s="1163">
        <v>0</v>
      </c>
      <c r="C58" s="1163">
        <v>0</v>
      </c>
      <c r="D58" s="1163">
        <v>0</v>
      </c>
      <c r="E58" s="1163">
        <v>0</v>
      </c>
      <c r="F58" s="1163">
        <v>0</v>
      </c>
      <c r="G58" s="1163">
        <v>0</v>
      </c>
      <c r="H58" s="1163">
        <v>0</v>
      </c>
    </row>
    <row r="59" spans="1:8">
      <c r="A59" s="1170" t="s">
        <v>1064</v>
      </c>
      <c r="B59" s="1172">
        <v>0</v>
      </c>
      <c r="C59" s="1172">
        <v>0</v>
      </c>
      <c r="D59" s="1172">
        <v>0</v>
      </c>
      <c r="E59" s="1172">
        <v>0</v>
      </c>
      <c r="F59" s="1172">
        <v>0</v>
      </c>
      <c r="G59" s="1172">
        <v>0</v>
      </c>
      <c r="H59" s="1172">
        <v>0</v>
      </c>
    </row>
    <row r="60" spans="1:8">
      <c r="A60" s="1173" t="s">
        <v>1065</v>
      </c>
      <c r="B60" s="1176">
        <f t="shared" ref="B60:H60" ca="1" si="12">SUM(B57:B59)</f>
        <v>-9547.1932938434511</v>
      </c>
      <c r="C60" s="1176">
        <f t="shared" ca="1" si="12"/>
        <v>-68481.402998188059</v>
      </c>
      <c r="D60" s="1176">
        <f t="shared" ca="1" si="12"/>
        <v>-64644.271377129699</v>
      </c>
      <c r="E60" s="1176">
        <f t="shared" ca="1" si="12"/>
        <v>-1537.1194274478185</v>
      </c>
      <c r="F60" s="1176">
        <f t="shared" ca="1" si="12"/>
        <v>0</v>
      </c>
      <c r="G60" s="1176">
        <f t="shared" ca="1" si="12"/>
        <v>0</v>
      </c>
      <c r="H60" s="1176">
        <f t="shared" ca="1" si="12"/>
        <v>0</v>
      </c>
    </row>
    <row r="61" spans="1:8">
      <c r="A61" s="1170"/>
      <c r="B61" s="1171"/>
      <c r="C61" s="1171"/>
      <c r="D61" s="1171"/>
      <c r="E61" s="1171"/>
      <c r="F61" s="1171"/>
      <c r="G61" s="1171"/>
      <c r="H61" s="1171"/>
    </row>
    <row r="62" spans="1:8" ht="13.5" thickBot="1">
      <c r="A62" s="1173" t="s">
        <v>1066</v>
      </c>
      <c r="B62" s="1165">
        <f t="shared" ref="B62:H62" ca="1" si="13">B50+B55+B60</f>
        <v>0</v>
      </c>
      <c r="C62" s="1165">
        <f t="shared" ca="1" si="13"/>
        <v>0</v>
      </c>
      <c r="D62" s="1165">
        <f t="shared" ca="1" si="13"/>
        <v>-2428.4471315963601</v>
      </c>
      <c r="E62" s="1165">
        <f t="shared" ca="1" si="13"/>
        <v>-45.189864589337958</v>
      </c>
      <c r="F62" s="1165">
        <f t="shared" ca="1" si="13"/>
        <v>110.7999817516029</v>
      </c>
      <c r="G62" s="1165">
        <f t="shared" ca="1" si="13"/>
        <v>125.67210930221336</v>
      </c>
      <c r="H62" s="1165">
        <f t="shared" ca="1" si="13"/>
        <v>142.54044817330941</v>
      </c>
    </row>
    <row r="63" spans="1:8" ht="13.5" thickTop="1">
      <c r="A63" s="1170"/>
      <c r="B63" s="1175"/>
      <c r="C63" s="1175"/>
      <c r="D63" s="1175"/>
      <c r="E63" s="1175"/>
      <c r="F63" s="1175"/>
      <c r="G63" s="1175"/>
      <c r="H63" s="1175"/>
    </row>
    <row r="64" spans="1:8">
      <c r="A64" s="1170"/>
      <c r="B64" s="1175"/>
      <c r="C64" s="1175"/>
      <c r="D64" s="1175"/>
      <c r="E64" s="1175"/>
      <c r="F64" s="1175"/>
      <c r="G64" s="1175"/>
      <c r="H64" s="1175"/>
    </row>
    <row r="65" spans="1:8">
      <c r="A65" s="1178" t="s">
        <v>1067</v>
      </c>
      <c r="B65" s="1179"/>
      <c r="C65" s="1179"/>
      <c r="D65" s="1179"/>
      <c r="E65" s="1179"/>
      <c r="F65" s="1179"/>
      <c r="G65" s="1179"/>
      <c r="H65" s="1179"/>
    </row>
    <row r="66" spans="1:8">
      <c r="A66" s="1155"/>
      <c r="B66" s="1377" t="s">
        <v>1029</v>
      </c>
      <c r="C66" s="1378"/>
      <c r="D66" s="1179"/>
      <c r="E66" s="1179"/>
      <c r="F66" s="1179"/>
      <c r="G66" s="1179"/>
      <c r="H66" s="1179"/>
    </row>
    <row r="67" spans="1:8" ht="13.5" thickBot="1">
      <c r="A67" s="1156"/>
      <c r="B67" s="1157">
        <v>1998</v>
      </c>
      <c r="C67" s="1157">
        <v>1999</v>
      </c>
      <c r="D67" s="1175"/>
      <c r="E67" s="1175"/>
      <c r="F67" s="1175"/>
      <c r="G67" s="1175"/>
      <c r="H67" s="1175"/>
    </row>
    <row r="68" spans="1:8">
      <c r="A68" s="1173"/>
      <c r="B68" s="1179"/>
      <c r="C68" s="1179"/>
      <c r="D68" s="1179"/>
      <c r="E68" s="1179"/>
      <c r="F68" s="1179"/>
      <c r="G68" s="1179"/>
      <c r="H68" s="1179"/>
    </row>
    <row r="69" spans="1:8">
      <c r="A69" s="1178" t="s">
        <v>1068</v>
      </c>
      <c r="B69" s="1179"/>
      <c r="C69" s="1179"/>
      <c r="D69" s="1179"/>
      <c r="E69" s="1179"/>
      <c r="F69" s="1179"/>
      <c r="G69" s="1179"/>
      <c r="H69" s="1179"/>
    </row>
    <row r="70" spans="1:8">
      <c r="A70" s="1180" t="s">
        <v>389</v>
      </c>
      <c r="B70" s="1163">
        <v>0</v>
      </c>
      <c r="C70" s="1163">
        <v>0</v>
      </c>
      <c r="D70" s="1174"/>
      <c r="E70" s="1174"/>
      <c r="F70" s="1174"/>
      <c r="G70" s="1174"/>
      <c r="H70" s="1174"/>
    </row>
    <row r="71" spans="1:8">
      <c r="A71" s="1180" t="s">
        <v>1069</v>
      </c>
      <c r="B71" s="1163">
        <v>0</v>
      </c>
      <c r="C71" s="1163">
        <v>0</v>
      </c>
      <c r="D71" s="1153"/>
      <c r="E71" s="1153"/>
      <c r="F71" s="1153"/>
      <c r="G71" s="1153"/>
      <c r="H71" s="1153"/>
    </row>
    <row r="72" spans="1:8">
      <c r="A72" s="1180" t="s">
        <v>1070</v>
      </c>
      <c r="B72" s="1163">
        <v>0</v>
      </c>
      <c r="C72" s="1163">
        <v>0</v>
      </c>
    </row>
    <row r="73" spans="1:8">
      <c r="A73" s="1180" t="s">
        <v>1071</v>
      </c>
      <c r="B73" s="1172">
        <v>0</v>
      </c>
      <c r="C73" s="1172">
        <v>0</v>
      </c>
    </row>
    <row r="74" spans="1:8">
      <c r="A74" s="1181" t="s">
        <v>1072</v>
      </c>
      <c r="B74" s="1182">
        <f>SUM(B70:B73)</f>
        <v>0</v>
      </c>
      <c r="C74" s="1182">
        <f>SUM(C70:C73)</f>
        <v>0</v>
      </c>
    </row>
    <row r="75" spans="1:8">
      <c r="A75" s="1170"/>
    </row>
    <row r="76" spans="1:8">
      <c r="A76" s="1178" t="s">
        <v>1073</v>
      </c>
    </row>
    <row r="77" spans="1:8">
      <c r="A77" s="1180" t="s">
        <v>1074</v>
      </c>
      <c r="B77" s="1163">
        <v>0</v>
      </c>
      <c r="C77" s="1163">
        <v>0</v>
      </c>
    </row>
    <row r="78" spans="1:8">
      <c r="A78" s="1180" t="s">
        <v>1075</v>
      </c>
      <c r="B78" s="1163">
        <v>0</v>
      </c>
      <c r="C78" s="1163">
        <v>0</v>
      </c>
    </row>
    <row r="79" spans="1:8">
      <c r="A79" s="1180" t="s">
        <v>1076</v>
      </c>
      <c r="B79" s="1163">
        <v>0</v>
      </c>
      <c r="C79" s="1163">
        <v>0</v>
      </c>
    </row>
    <row r="80" spans="1:8">
      <c r="A80" s="1180" t="s">
        <v>1077</v>
      </c>
      <c r="B80" s="1172">
        <v>0</v>
      </c>
      <c r="C80" s="1172">
        <v>0</v>
      </c>
    </row>
    <row r="81" spans="1:3">
      <c r="A81" s="1181" t="s">
        <v>1078</v>
      </c>
      <c r="B81" s="1182">
        <f>SUM(B77:B80)</f>
        <v>0</v>
      </c>
      <c r="C81" s="1182">
        <f>SUM(C77:C80)</f>
        <v>0</v>
      </c>
    </row>
    <row r="82" spans="1:3">
      <c r="A82" s="1170"/>
    </row>
    <row r="83" spans="1:3">
      <c r="A83" s="1178" t="s">
        <v>1079</v>
      </c>
      <c r="B83" s="1163">
        <v>0</v>
      </c>
      <c r="C83" s="1163">
        <v>0</v>
      </c>
    </row>
    <row r="84" spans="1:3">
      <c r="A84" s="1170"/>
    </row>
    <row r="85" spans="1:3">
      <c r="A85" s="1183" t="s">
        <v>246</v>
      </c>
      <c r="B85" s="1164">
        <f>B74+B81+B83</f>
        <v>0</v>
      </c>
      <c r="C85" s="1164">
        <f>C74+C81+C83</f>
        <v>0</v>
      </c>
    </row>
    <row r="86" spans="1:3">
      <c r="A86" s="1170"/>
    </row>
    <row r="87" spans="1:3">
      <c r="A87" s="1178" t="s">
        <v>1080</v>
      </c>
    </row>
    <row r="88" spans="1:3">
      <c r="A88" s="1180" t="s">
        <v>1081</v>
      </c>
      <c r="B88" s="1163">
        <v>0</v>
      </c>
      <c r="C88" s="1163">
        <v>0</v>
      </c>
    </row>
    <row r="89" spans="1:3">
      <c r="A89" s="1180" t="s">
        <v>1082</v>
      </c>
      <c r="B89" s="1163">
        <v>0</v>
      </c>
      <c r="C89" s="1163">
        <v>0</v>
      </c>
    </row>
    <row r="90" spans="1:3">
      <c r="A90" s="1180" t="s">
        <v>1083</v>
      </c>
      <c r="B90" s="1163">
        <v>0</v>
      </c>
      <c r="C90" s="1163">
        <v>0</v>
      </c>
    </row>
    <row r="91" spans="1:3">
      <c r="A91" s="1180" t="s">
        <v>1084</v>
      </c>
      <c r="B91" s="1172">
        <v>0</v>
      </c>
      <c r="C91" s="1172">
        <v>0</v>
      </c>
    </row>
    <row r="92" spans="1:3">
      <c r="A92" s="1181" t="s">
        <v>1085</v>
      </c>
      <c r="B92" s="1182">
        <f>SUM(B88:B91)</f>
        <v>0</v>
      </c>
      <c r="C92" s="1182">
        <f>SUM(C88:C91)</f>
        <v>0</v>
      </c>
    </row>
    <row r="93" spans="1:3">
      <c r="A93" s="1170"/>
    </row>
    <row r="94" spans="1:3">
      <c r="A94" s="1178" t="s">
        <v>1086</v>
      </c>
    </row>
    <row r="95" spans="1:3">
      <c r="A95" s="1180" t="s">
        <v>1087</v>
      </c>
      <c r="B95" s="1163">
        <v>0</v>
      </c>
      <c r="C95" s="1163">
        <v>0</v>
      </c>
    </row>
    <row r="96" spans="1:3">
      <c r="A96" s="1180" t="s">
        <v>1088</v>
      </c>
      <c r="B96" s="1163">
        <v>0</v>
      </c>
      <c r="C96" s="1163">
        <v>0</v>
      </c>
    </row>
    <row r="97" spans="1:3">
      <c r="A97" s="1180" t="s">
        <v>1071</v>
      </c>
      <c r="B97" s="1172">
        <v>0</v>
      </c>
      <c r="C97" s="1172">
        <v>0</v>
      </c>
    </row>
    <row r="98" spans="1:3">
      <c r="A98" s="1181" t="s">
        <v>1089</v>
      </c>
      <c r="B98" s="1182">
        <f>SUM(B95:B97)</f>
        <v>0</v>
      </c>
      <c r="C98" s="1182">
        <f>SUM(C95:C97)</f>
        <v>0</v>
      </c>
    </row>
    <row r="99" spans="1:3">
      <c r="A99" s="1170"/>
    </row>
    <row r="100" spans="1:3">
      <c r="A100" s="1184" t="s">
        <v>395</v>
      </c>
      <c r="B100" s="1185">
        <f>B92+B98</f>
        <v>0</v>
      </c>
      <c r="C100" s="1185">
        <f>C92+C98</f>
        <v>0</v>
      </c>
    </row>
    <row r="101" spans="1:3">
      <c r="A101" s="1170"/>
    </row>
    <row r="102" spans="1:3">
      <c r="A102" s="1170" t="s">
        <v>1090</v>
      </c>
      <c r="B102" s="1163">
        <v>0</v>
      </c>
      <c r="C102" s="1163">
        <v>0</v>
      </c>
    </row>
    <row r="103" spans="1:3">
      <c r="A103" s="1170" t="s">
        <v>1091</v>
      </c>
      <c r="B103" s="1163">
        <v>0</v>
      </c>
      <c r="C103" s="1163">
        <v>0</v>
      </c>
    </row>
    <row r="104" spans="1:3">
      <c r="A104" s="1170"/>
    </row>
    <row r="105" spans="1:3">
      <c r="A105" s="1183" t="s">
        <v>1092</v>
      </c>
      <c r="B105" s="1164">
        <f>B100+SUM(B102:B103)</f>
        <v>0</v>
      </c>
      <c r="C105" s="1164">
        <f>C100+SUM(C102:C103)</f>
        <v>0</v>
      </c>
    </row>
    <row r="106" spans="1:3">
      <c r="A106" s="1170"/>
    </row>
    <row r="107" spans="1:3">
      <c r="A107" s="1170"/>
    </row>
    <row r="108" spans="1:3">
      <c r="A108" s="1170"/>
    </row>
    <row r="109" spans="1:3">
      <c r="A109" s="1170"/>
    </row>
    <row r="110" spans="1:3">
      <c r="A110" s="1170"/>
    </row>
    <row r="111" spans="1:3">
      <c r="A111" s="1170"/>
    </row>
    <row r="112" spans="1:3">
      <c r="A112" s="1170"/>
    </row>
    <row r="113" spans="1:1">
      <c r="A113" s="1170"/>
    </row>
    <row r="114" spans="1:1">
      <c r="A114" s="1170"/>
    </row>
    <row r="115" spans="1:1">
      <c r="A115" s="1170"/>
    </row>
    <row r="116" spans="1:1">
      <c r="A116" s="1170"/>
    </row>
    <row r="117" spans="1:1">
      <c r="A117" s="1170"/>
    </row>
    <row r="118" spans="1:1">
      <c r="A118" s="1170"/>
    </row>
    <row r="119" spans="1:1">
      <c r="A119" s="1170"/>
    </row>
    <row r="120" spans="1:1">
      <c r="A120" s="1170"/>
    </row>
    <row r="121" spans="1:1">
      <c r="A121" s="1170"/>
    </row>
    <row r="122" spans="1:1">
      <c r="A122" s="1170"/>
    </row>
    <row r="123" spans="1:1">
      <c r="A123" s="1170"/>
    </row>
    <row r="124" spans="1:1">
      <c r="A124" s="1170"/>
    </row>
    <row r="125" spans="1:1">
      <c r="A125" s="1170"/>
    </row>
    <row r="126" spans="1:1">
      <c r="A126" s="1170"/>
    </row>
    <row r="127" spans="1:1">
      <c r="A127" s="1170"/>
    </row>
    <row r="128" spans="1:1">
      <c r="A128" s="1170"/>
    </row>
    <row r="129" spans="1:1">
      <c r="A129" s="1170"/>
    </row>
    <row r="130" spans="1:1">
      <c r="A130" s="1170"/>
    </row>
    <row r="131" spans="1:1">
      <c r="A131" s="1170"/>
    </row>
    <row r="132" spans="1:1">
      <c r="A132" s="1170"/>
    </row>
    <row r="133" spans="1:1">
      <c r="A133" s="1170"/>
    </row>
    <row r="134" spans="1:1">
      <c r="A134" s="1170"/>
    </row>
    <row r="135" spans="1:1">
      <c r="A135" s="1170"/>
    </row>
    <row r="136" spans="1:1">
      <c r="A136" s="1170"/>
    </row>
    <row r="137" spans="1:1">
      <c r="A137" s="1170"/>
    </row>
    <row r="138" spans="1:1">
      <c r="A138" s="1170"/>
    </row>
    <row r="139" spans="1:1">
      <c r="A139" s="1170"/>
    </row>
    <row r="140" spans="1:1">
      <c r="A140" s="1170"/>
    </row>
    <row r="141" spans="1:1">
      <c r="A141" s="1170"/>
    </row>
    <row r="142" spans="1:1">
      <c r="A142" s="1170"/>
    </row>
    <row r="143" spans="1:1">
      <c r="A143" s="1170"/>
    </row>
    <row r="144" spans="1:1">
      <c r="A144" s="1170"/>
    </row>
    <row r="145" spans="1:1">
      <c r="A145" s="1170"/>
    </row>
    <row r="146" spans="1:1">
      <c r="A146" s="1170"/>
    </row>
    <row r="147" spans="1:1">
      <c r="A147" s="1170"/>
    </row>
    <row r="148" spans="1:1">
      <c r="A148" s="1170"/>
    </row>
    <row r="149" spans="1:1">
      <c r="A149" s="1170"/>
    </row>
    <row r="150" spans="1:1">
      <c r="A150" s="1170"/>
    </row>
    <row r="151" spans="1:1">
      <c r="A151" s="1170"/>
    </row>
    <row r="152" spans="1:1">
      <c r="A152" s="1170"/>
    </row>
    <row r="153" spans="1:1">
      <c r="A153" s="1170"/>
    </row>
    <row r="154" spans="1:1">
      <c r="A154" s="1170"/>
    </row>
    <row r="155" spans="1:1">
      <c r="A155" s="1170"/>
    </row>
    <row r="156" spans="1:1">
      <c r="A156" s="1170"/>
    </row>
    <row r="157" spans="1:1">
      <c r="A157" s="1170"/>
    </row>
    <row r="158" spans="1:1">
      <c r="A158" s="1170"/>
    </row>
    <row r="159" spans="1:1">
      <c r="A159" s="1170"/>
    </row>
    <row r="160" spans="1:1">
      <c r="A160" s="1170"/>
    </row>
    <row r="161" spans="1:1">
      <c r="A161" s="1170"/>
    </row>
    <row r="162" spans="1:1">
      <c r="A162" s="1170"/>
    </row>
    <row r="163" spans="1:1">
      <c r="A163" s="1170"/>
    </row>
    <row r="164" spans="1:1">
      <c r="A164" s="1170"/>
    </row>
    <row r="165" spans="1:1">
      <c r="A165" s="1170"/>
    </row>
    <row r="166" spans="1:1">
      <c r="A166" s="1170"/>
    </row>
    <row r="167" spans="1:1">
      <c r="A167" s="1170"/>
    </row>
    <row r="168" spans="1:1">
      <c r="A168" s="1170"/>
    </row>
    <row r="169" spans="1:1">
      <c r="A169" s="1170"/>
    </row>
    <row r="170" spans="1:1">
      <c r="A170" s="1170"/>
    </row>
    <row r="171" spans="1:1">
      <c r="A171" s="1170"/>
    </row>
    <row r="172" spans="1:1">
      <c r="A172" s="1170"/>
    </row>
    <row r="173" spans="1:1">
      <c r="A173" s="1170"/>
    </row>
    <row r="174" spans="1:1">
      <c r="A174" s="1170"/>
    </row>
    <row r="175" spans="1:1">
      <c r="A175" s="1170"/>
    </row>
    <row r="176" spans="1:1">
      <c r="A176" s="1170"/>
    </row>
    <row r="177" spans="1:1">
      <c r="A177" s="1170"/>
    </row>
    <row r="178" spans="1:1">
      <c r="A178" s="1170"/>
    </row>
    <row r="179" spans="1:1">
      <c r="A179" s="1170"/>
    </row>
    <row r="180" spans="1:1">
      <c r="A180" s="1170"/>
    </row>
    <row r="181" spans="1:1">
      <c r="A181" s="1170"/>
    </row>
    <row r="182" spans="1:1">
      <c r="A182" s="1170"/>
    </row>
    <row r="183" spans="1:1">
      <c r="A183" s="1170"/>
    </row>
    <row r="184" spans="1:1">
      <c r="A184" s="1170"/>
    </row>
    <row r="185" spans="1:1">
      <c r="A185" s="1170"/>
    </row>
    <row r="186" spans="1:1">
      <c r="A186" s="1170"/>
    </row>
    <row r="187" spans="1:1">
      <c r="A187" s="1170"/>
    </row>
    <row r="188" spans="1:1">
      <c r="A188" s="1170"/>
    </row>
    <row r="189" spans="1:1">
      <c r="A189" s="1170"/>
    </row>
    <row r="190" spans="1:1">
      <c r="A190" s="1170"/>
    </row>
    <row r="191" spans="1:1">
      <c r="A191" s="1170"/>
    </row>
    <row r="192" spans="1:1">
      <c r="A192" s="1170"/>
    </row>
    <row r="193" spans="1:1">
      <c r="A193" s="1170"/>
    </row>
    <row r="194" spans="1:1">
      <c r="A194" s="1170"/>
    </row>
    <row r="195" spans="1:1">
      <c r="A195" s="1170"/>
    </row>
    <row r="196" spans="1:1">
      <c r="A196" s="1170"/>
    </row>
    <row r="197" spans="1:1">
      <c r="A197" s="1170"/>
    </row>
    <row r="198" spans="1:1">
      <c r="A198" s="1170"/>
    </row>
    <row r="199" spans="1:1">
      <c r="A199" s="1170"/>
    </row>
    <row r="200" spans="1:1">
      <c r="A200" s="1170"/>
    </row>
    <row r="201" spans="1:1">
      <c r="A201" s="1170"/>
    </row>
    <row r="202" spans="1:1">
      <c r="A202" s="1170"/>
    </row>
    <row r="203" spans="1:1">
      <c r="A203" s="1170"/>
    </row>
    <row r="204" spans="1:1">
      <c r="A204" s="1170"/>
    </row>
    <row r="205" spans="1:1">
      <c r="A205" s="1170"/>
    </row>
    <row r="206" spans="1:1">
      <c r="A206" s="1170"/>
    </row>
    <row r="207" spans="1:1">
      <c r="A207" s="1170"/>
    </row>
    <row r="208" spans="1:1">
      <c r="A208" s="1170"/>
    </row>
    <row r="209" spans="1:1">
      <c r="A209" s="1170"/>
    </row>
    <row r="210" spans="1:1">
      <c r="A210" s="1170"/>
    </row>
    <row r="211" spans="1:1">
      <c r="A211" s="1170"/>
    </row>
    <row r="212" spans="1:1">
      <c r="A212" s="1170"/>
    </row>
    <row r="213" spans="1:1">
      <c r="A213" s="1170"/>
    </row>
    <row r="214" spans="1:1">
      <c r="A214" s="1170"/>
    </row>
    <row r="215" spans="1:1">
      <c r="A215" s="1170"/>
    </row>
    <row r="216" spans="1:1">
      <c r="A216" s="1170"/>
    </row>
    <row r="217" spans="1:1">
      <c r="A217" s="1170"/>
    </row>
    <row r="218" spans="1:1">
      <c r="A218" s="1170"/>
    </row>
    <row r="219" spans="1:1">
      <c r="A219" s="1170"/>
    </row>
    <row r="220" spans="1:1">
      <c r="A220" s="1170"/>
    </row>
    <row r="221" spans="1:1">
      <c r="A221" s="1170"/>
    </row>
    <row r="222" spans="1:1">
      <c r="A222" s="1170"/>
    </row>
    <row r="223" spans="1:1">
      <c r="A223" s="1170"/>
    </row>
    <row r="224" spans="1:1">
      <c r="A224" s="1170"/>
    </row>
    <row r="225" spans="1:1">
      <c r="A225" s="1170"/>
    </row>
    <row r="226" spans="1:1">
      <c r="A226" s="1170"/>
    </row>
    <row r="227" spans="1:1">
      <c r="A227" s="1170"/>
    </row>
    <row r="228" spans="1:1">
      <c r="A228" s="1170"/>
    </row>
    <row r="229" spans="1:1">
      <c r="A229" s="1170"/>
    </row>
    <row r="230" spans="1:1">
      <c r="A230" s="1170"/>
    </row>
    <row r="231" spans="1:1">
      <c r="A231" s="1170"/>
    </row>
    <row r="232" spans="1:1">
      <c r="A232" s="1170"/>
    </row>
    <row r="233" spans="1:1">
      <c r="A233" s="1170"/>
    </row>
    <row r="234" spans="1:1">
      <c r="A234" s="1170"/>
    </row>
    <row r="235" spans="1:1">
      <c r="A235" s="1170"/>
    </row>
    <row r="236" spans="1:1">
      <c r="A236" s="1170"/>
    </row>
    <row r="237" spans="1:1">
      <c r="A237" s="1170"/>
    </row>
    <row r="238" spans="1:1">
      <c r="A238" s="1170"/>
    </row>
    <row r="239" spans="1:1">
      <c r="A239" s="1170"/>
    </row>
    <row r="240" spans="1:1">
      <c r="A240" s="1170"/>
    </row>
    <row r="241" spans="1:1">
      <c r="A241" s="1170"/>
    </row>
    <row r="242" spans="1:1">
      <c r="A242" s="1170"/>
    </row>
    <row r="243" spans="1:1">
      <c r="A243" s="1170"/>
    </row>
    <row r="244" spans="1:1">
      <c r="A244" s="1170"/>
    </row>
    <row r="245" spans="1:1">
      <c r="A245" s="1170"/>
    </row>
    <row r="246" spans="1:1">
      <c r="A246" s="1170"/>
    </row>
    <row r="247" spans="1:1">
      <c r="A247" s="1170"/>
    </row>
    <row r="248" spans="1:1">
      <c r="A248" s="1170"/>
    </row>
    <row r="249" spans="1:1">
      <c r="A249" s="1170"/>
    </row>
    <row r="250" spans="1:1">
      <c r="A250" s="1170"/>
    </row>
    <row r="251" spans="1:1">
      <c r="A251" s="1170"/>
    </row>
    <row r="252" spans="1:1">
      <c r="A252" s="1170"/>
    </row>
    <row r="253" spans="1:1">
      <c r="A253" s="1170"/>
    </row>
    <row r="254" spans="1:1">
      <c r="A254" s="1170"/>
    </row>
    <row r="255" spans="1:1">
      <c r="A255" s="1170"/>
    </row>
    <row r="256" spans="1:1">
      <c r="A256" s="1170"/>
    </row>
    <row r="257" spans="1:1">
      <c r="A257" s="1170"/>
    </row>
    <row r="258" spans="1:1">
      <c r="A258" s="1170"/>
    </row>
    <row r="259" spans="1:1">
      <c r="A259" s="1170"/>
    </row>
    <row r="260" spans="1:1">
      <c r="A260" s="1170"/>
    </row>
    <row r="261" spans="1:1">
      <c r="A261" s="1170"/>
    </row>
    <row r="262" spans="1:1">
      <c r="A262" s="1170"/>
    </row>
    <row r="263" spans="1:1">
      <c r="A263" s="1170"/>
    </row>
    <row r="264" spans="1:1">
      <c r="A264" s="1170"/>
    </row>
    <row r="265" spans="1:1">
      <c r="A265" s="1170"/>
    </row>
    <row r="266" spans="1:1">
      <c r="A266" s="1170"/>
    </row>
    <row r="267" spans="1:1">
      <c r="A267" s="1170"/>
    </row>
    <row r="268" spans="1:1">
      <c r="A268" s="1170"/>
    </row>
    <row r="269" spans="1:1">
      <c r="A269" s="1170"/>
    </row>
    <row r="270" spans="1:1">
      <c r="A270" s="1170"/>
    </row>
    <row r="271" spans="1:1">
      <c r="A271" s="1170"/>
    </row>
    <row r="272" spans="1:1">
      <c r="A272" s="1170"/>
    </row>
    <row r="273" spans="1:1">
      <c r="A273" s="1170"/>
    </row>
    <row r="274" spans="1:1">
      <c r="A274" s="1170"/>
    </row>
    <row r="275" spans="1:1">
      <c r="A275" s="1170"/>
    </row>
    <row r="276" spans="1:1">
      <c r="A276" s="1170"/>
    </row>
    <row r="277" spans="1:1">
      <c r="A277" s="1170"/>
    </row>
    <row r="278" spans="1:1">
      <c r="A278" s="1170"/>
    </row>
    <row r="279" spans="1:1">
      <c r="A279" s="1170"/>
    </row>
    <row r="280" spans="1:1">
      <c r="A280" s="1170"/>
    </row>
    <row r="281" spans="1:1">
      <c r="A281" s="1170"/>
    </row>
    <row r="282" spans="1:1">
      <c r="A282" s="1170"/>
    </row>
    <row r="283" spans="1:1">
      <c r="A283" s="1170"/>
    </row>
    <row r="284" spans="1:1">
      <c r="A284" s="1170"/>
    </row>
    <row r="285" spans="1:1">
      <c r="A285" s="1170"/>
    </row>
    <row r="286" spans="1:1">
      <c r="A286" s="1170"/>
    </row>
    <row r="287" spans="1:1">
      <c r="A287" s="1170"/>
    </row>
    <row r="288" spans="1:1">
      <c r="A288" s="1170"/>
    </row>
    <row r="289" spans="1:1">
      <c r="A289" s="1170"/>
    </row>
    <row r="290" spans="1:1">
      <c r="A290" s="1170"/>
    </row>
    <row r="291" spans="1:1">
      <c r="A291" s="1170"/>
    </row>
    <row r="292" spans="1:1">
      <c r="A292" s="1170"/>
    </row>
    <row r="293" spans="1:1">
      <c r="A293" s="1170"/>
    </row>
    <row r="294" spans="1:1">
      <c r="A294" s="1170"/>
    </row>
    <row r="295" spans="1:1">
      <c r="A295" s="1170"/>
    </row>
    <row r="296" spans="1:1">
      <c r="A296" s="1170"/>
    </row>
    <row r="297" spans="1:1">
      <c r="A297" s="1170"/>
    </row>
    <row r="298" spans="1:1">
      <c r="A298" s="1170"/>
    </row>
    <row r="299" spans="1:1">
      <c r="A299" s="1170"/>
    </row>
    <row r="300" spans="1:1">
      <c r="A300" s="1170"/>
    </row>
    <row r="301" spans="1:1">
      <c r="A301" s="1170"/>
    </row>
    <row r="302" spans="1:1">
      <c r="A302" s="1170"/>
    </row>
    <row r="303" spans="1:1">
      <c r="A303" s="1170"/>
    </row>
    <row r="304" spans="1:1">
      <c r="A304" s="1170"/>
    </row>
    <row r="305" spans="1:1">
      <c r="A305" s="1170"/>
    </row>
    <row r="306" spans="1:1">
      <c r="A306" s="1170"/>
    </row>
    <row r="307" spans="1:1">
      <c r="A307" s="1170"/>
    </row>
    <row r="308" spans="1:1">
      <c r="A308" s="1170"/>
    </row>
    <row r="309" spans="1:1">
      <c r="A309" s="1170"/>
    </row>
    <row r="310" spans="1:1">
      <c r="A310" s="1170"/>
    </row>
    <row r="311" spans="1:1">
      <c r="A311" s="1170"/>
    </row>
    <row r="312" spans="1:1">
      <c r="A312" s="1170"/>
    </row>
    <row r="313" spans="1:1">
      <c r="A313" s="1170"/>
    </row>
    <row r="314" spans="1:1">
      <c r="A314" s="1170"/>
    </row>
    <row r="315" spans="1:1">
      <c r="A315" s="1170"/>
    </row>
    <row r="316" spans="1:1">
      <c r="A316" s="1170"/>
    </row>
    <row r="317" spans="1:1">
      <c r="A317" s="1170"/>
    </row>
    <row r="318" spans="1:1">
      <c r="A318" s="1170"/>
    </row>
    <row r="319" spans="1:1">
      <c r="A319" s="1170"/>
    </row>
    <row r="320" spans="1:1">
      <c r="A320" s="1170"/>
    </row>
    <row r="321" spans="1:1">
      <c r="A321" s="1170"/>
    </row>
    <row r="322" spans="1:1">
      <c r="A322" s="1170"/>
    </row>
    <row r="323" spans="1:1">
      <c r="A323" s="1170"/>
    </row>
    <row r="324" spans="1:1">
      <c r="A324" s="1170"/>
    </row>
    <row r="325" spans="1:1">
      <c r="A325" s="1170"/>
    </row>
    <row r="326" spans="1:1">
      <c r="A326" s="1170"/>
    </row>
    <row r="327" spans="1:1">
      <c r="A327" s="1170"/>
    </row>
    <row r="328" spans="1:1">
      <c r="A328" s="1170"/>
    </row>
    <row r="329" spans="1:1">
      <c r="A329" s="1170"/>
    </row>
    <row r="330" spans="1:1">
      <c r="A330" s="1170"/>
    </row>
    <row r="331" spans="1:1">
      <c r="A331" s="1170"/>
    </row>
    <row r="332" spans="1:1">
      <c r="A332" s="1170"/>
    </row>
  </sheetData>
  <mergeCells count="5">
    <mergeCell ref="B66:C66"/>
    <mergeCell ref="B7:C7"/>
    <mergeCell ref="D7:H7"/>
    <mergeCell ref="B43:C43"/>
    <mergeCell ref="D43:H43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71"/>
  <sheetViews>
    <sheetView showGridLines="0" zoomScale="90" workbookViewId="0">
      <selection activeCell="I16" sqref="I16"/>
    </sheetView>
  </sheetViews>
  <sheetFormatPr defaultRowHeight="12.75"/>
  <cols>
    <col min="1" max="1" width="1.7109375" style="8" customWidth="1"/>
    <col min="2" max="2" width="45.7109375" style="8" customWidth="1"/>
    <col min="3" max="4" width="9.7109375" style="5" customWidth="1"/>
    <col min="5" max="26" width="9.7109375" style="281" customWidth="1"/>
    <col min="27" max="27" width="11.7109375" style="152" customWidth="1"/>
    <col min="28" max="16384" width="9.140625" style="5"/>
  </cols>
  <sheetData>
    <row r="1" spans="1:28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  <c r="AB1" s="23"/>
    </row>
    <row r="2" spans="1:28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  <c r="AB2" s="23"/>
    </row>
    <row r="3" spans="1:28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  <c r="AB3" s="23"/>
    </row>
    <row r="4" spans="1:28" s="240" customFormat="1" ht="15.75">
      <c r="A4" s="820" t="s">
        <v>900</v>
      </c>
      <c r="B4" s="820"/>
      <c r="C4" s="134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  <c r="AB4" s="23"/>
    </row>
    <row r="5" spans="1:28" s="240" customFormat="1" ht="13.5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</row>
    <row r="6" spans="1:28" s="8" customFormat="1">
      <c r="A6" s="411" t="s">
        <v>150</v>
      </c>
      <c r="B6" s="73"/>
      <c r="C6" s="73"/>
      <c r="D6" s="73"/>
      <c r="E6" s="462">
        <f>Returns!E6</f>
        <v>0</v>
      </c>
      <c r="F6" s="462">
        <f>Returns!F6</f>
        <v>0</v>
      </c>
      <c r="G6" s="462">
        <f>Returns!G6</f>
        <v>0</v>
      </c>
      <c r="H6" s="462">
        <f>Returns!H6</f>
        <v>1</v>
      </c>
      <c r="I6" s="462">
        <f>Returns!I6</f>
        <v>2</v>
      </c>
      <c r="J6" s="462">
        <f>Returns!J6</f>
        <v>3</v>
      </c>
      <c r="K6" s="462">
        <f>Returns!K6</f>
        <v>4</v>
      </c>
      <c r="L6" s="462">
        <f>Returns!L6</f>
        <v>5</v>
      </c>
      <c r="M6" s="462">
        <f>Returns!M6</f>
        <v>6</v>
      </c>
      <c r="N6" s="462">
        <f>Returns!N6</f>
        <v>7</v>
      </c>
      <c r="O6" s="462">
        <f>Returns!O6</f>
        <v>8</v>
      </c>
      <c r="P6" s="462">
        <f>Returns!P6</f>
        <v>9</v>
      </c>
      <c r="Q6" s="462">
        <f>Returns!Q6</f>
        <v>10</v>
      </c>
      <c r="R6" s="462">
        <f>Returns!R6</f>
        <v>11</v>
      </c>
      <c r="S6" s="462">
        <f>Returns!S6</f>
        <v>12</v>
      </c>
      <c r="T6" s="462">
        <f>Returns!T6</f>
        <v>13</v>
      </c>
      <c r="U6" s="462">
        <f>Returns!U6</f>
        <v>14</v>
      </c>
      <c r="V6" s="462">
        <f>Returns!V6</f>
        <v>15</v>
      </c>
      <c r="W6" s="462">
        <f>Returns!W6</f>
        <v>16</v>
      </c>
      <c r="X6" s="462">
        <f>Returns!X6</f>
        <v>17</v>
      </c>
      <c r="Y6" s="462">
        <f>Returns!Y6</f>
        <v>18</v>
      </c>
      <c r="Z6" s="462">
        <f>Returns!Z6</f>
        <v>19</v>
      </c>
      <c r="AA6" s="470"/>
    </row>
    <row r="7" spans="1:28" s="8" customFormat="1" ht="13.5" thickBot="1">
      <c r="A7" s="75" t="s">
        <v>151</v>
      </c>
      <c r="B7" s="76"/>
      <c r="C7" s="76"/>
      <c r="D7" s="76"/>
      <c r="E7" s="284">
        <f>Returns!E7</f>
        <v>1998</v>
      </c>
      <c r="F7" s="284">
        <f>Returns!F7</f>
        <v>1999</v>
      </c>
      <c r="G7" s="284">
        <f>Returns!G7</f>
        <v>2000</v>
      </c>
      <c r="H7" s="284">
        <f>Returns!H7</f>
        <v>2001</v>
      </c>
      <c r="I7" s="284">
        <f>Returns!I7</f>
        <v>2002</v>
      </c>
      <c r="J7" s="284">
        <f>Returns!J7</f>
        <v>2003</v>
      </c>
      <c r="K7" s="284">
        <f>Returns!K7</f>
        <v>2004</v>
      </c>
      <c r="L7" s="284">
        <f>Returns!L7</f>
        <v>2005</v>
      </c>
      <c r="M7" s="284">
        <f>Returns!M7</f>
        <v>2006</v>
      </c>
      <c r="N7" s="284">
        <f>Returns!N7</f>
        <v>2007</v>
      </c>
      <c r="O7" s="284">
        <f>Returns!O7</f>
        <v>2008</v>
      </c>
      <c r="P7" s="284">
        <f>Returns!P7</f>
        <v>2009</v>
      </c>
      <c r="Q7" s="284">
        <f>Returns!Q7</f>
        <v>2010</v>
      </c>
      <c r="R7" s="284">
        <f>Returns!R7</f>
        <v>2011</v>
      </c>
      <c r="S7" s="284">
        <f>Returns!S7</f>
        <v>2012</v>
      </c>
      <c r="T7" s="284">
        <f>Returns!T7</f>
        <v>2013</v>
      </c>
      <c r="U7" s="284">
        <f>Returns!U7</f>
        <v>2014</v>
      </c>
      <c r="V7" s="284">
        <f>Returns!V7</f>
        <v>2015</v>
      </c>
      <c r="W7" s="284">
        <f>Returns!W7</f>
        <v>2016</v>
      </c>
      <c r="X7" s="284">
        <f>Returns!X7</f>
        <v>2017</v>
      </c>
      <c r="Y7" s="284">
        <f>Returns!Y7</f>
        <v>2018</v>
      </c>
      <c r="Z7" s="284">
        <f>Returns!Z7</f>
        <v>2019</v>
      </c>
      <c r="AA7" s="414" t="str">
        <f>Returns!AA7</f>
        <v>Totals</v>
      </c>
    </row>
    <row r="8" spans="1:28" s="8" customFormat="1">
      <c r="A8" s="463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471"/>
    </row>
    <row r="9" spans="1:28" s="8" customFormat="1">
      <c r="A9" s="139" t="s">
        <v>323</v>
      </c>
      <c r="E9" s="152">
        <f ca="1">IF(E$7&lt;YEAR(Startops1),0,HLOOKUP(E$7,CF_Table,CF!$AB$9))</f>
        <v>0</v>
      </c>
      <c r="F9" s="152">
        <f ca="1">IF(F$7&lt;YEAR(Startops1),0,HLOOKUP(F$7,CF_Table,CF!$AB$9))</f>
        <v>0</v>
      </c>
      <c r="G9" s="152">
        <f ca="1">IF(G$7&lt;YEAR(Startops1),0,HLOOKUP(G$7,CF_Table,CF!$AB$9))</f>
        <v>0</v>
      </c>
      <c r="H9" s="152">
        <f ca="1">IF(H$7&lt;YEAR(Startops1),0,HLOOKUP(H$7,CF_Table,CF!$AB$9))</f>
        <v>10</v>
      </c>
      <c r="I9" s="152">
        <f ca="1">IF(I$7&lt;YEAR(Startops1),0,HLOOKUP(I$7,CF_Table,CF!$AB$9))</f>
        <v>12</v>
      </c>
      <c r="J9" s="152">
        <f ca="1">IF(J$7&lt;YEAR(Startops1),0,HLOOKUP(J$7,CF_Table,CF!$AB$9))</f>
        <v>12</v>
      </c>
      <c r="K9" s="152">
        <f ca="1">IF(K$7&lt;YEAR(Startops1),0,HLOOKUP(K$7,CF_Table,CF!$AB$9))</f>
        <v>12</v>
      </c>
      <c r="L9" s="152">
        <f ca="1">IF(L$7&lt;YEAR(Startops1),0,HLOOKUP(L$7,CF_Table,CF!$AB$9))</f>
        <v>12</v>
      </c>
      <c r="M9" s="152">
        <f ca="1">IF(M$7&lt;YEAR(Startops1),0,HLOOKUP(M$7,CF_Table,CF!$AB$9))</f>
        <v>12</v>
      </c>
      <c r="N9" s="152">
        <f ca="1">IF(N$7&lt;YEAR(Startops1),0,HLOOKUP(N$7,CF_Table,CF!$AB$9))</f>
        <v>12</v>
      </c>
      <c r="O9" s="152">
        <f ca="1">IF(O$7&lt;YEAR(Startops1),0,HLOOKUP(O$7,CF_Table,CF!$AB$9))</f>
        <v>12</v>
      </c>
      <c r="P9" s="152">
        <f ca="1">IF(P$7&lt;YEAR(Startops1),0,HLOOKUP(P$7,CF_Table,CF!$AB$9))</f>
        <v>12</v>
      </c>
      <c r="Q9" s="152">
        <f ca="1">IF(Q$7&lt;YEAR(Startops1),0,HLOOKUP(Q$7,CF_Table,CF!$AB$9))</f>
        <v>12</v>
      </c>
      <c r="R9" s="152">
        <f ca="1">IF(R$7&lt;YEAR(Startops1),0,HLOOKUP(R$7,CF_Table,CF!$AB$9))</f>
        <v>12</v>
      </c>
      <c r="S9" s="152">
        <f ca="1">IF(S$7&lt;YEAR(Startops1),0,HLOOKUP(S$7,CF_Table,CF!$AB$9))</f>
        <v>12</v>
      </c>
      <c r="T9" s="152">
        <f ca="1">IF(T$7&lt;YEAR(Startops1),0,HLOOKUP(T$7,CF_Table,CF!$AB$9))</f>
        <v>12</v>
      </c>
      <c r="U9" s="152">
        <f ca="1">IF(U$7&lt;YEAR(Startops1),0,HLOOKUP(U$7,CF_Table,CF!$AB$9))</f>
        <v>12</v>
      </c>
      <c r="V9" s="152">
        <f ca="1">IF(V$7&lt;YEAR(Startops1),0,HLOOKUP(V$7,CF_Table,CF!$AB$9))</f>
        <v>12</v>
      </c>
      <c r="W9" s="152">
        <f ca="1">IF(W$7&lt;YEAR(Startops1),0,HLOOKUP(W$7,CF_Table,CF!$AB$9))</f>
        <v>12</v>
      </c>
      <c r="X9" s="152">
        <f ca="1">IF(X$7&lt;YEAR(Startops1),0,HLOOKUP(X$7,CF_Table,CF!$AB$9))</f>
        <v>12</v>
      </c>
      <c r="Y9" s="152">
        <f ca="1">IF(Y$7&lt;YEAR(Startops1),0,HLOOKUP(Y$7,CF_Table,CF!$AB$9))</f>
        <v>12</v>
      </c>
      <c r="Z9" s="152">
        <f ca="1">IF(Z$7&lt;YEAR(Startops1),0,HLOOKUP(Z$7,CF_Table,CF!$AB$9))</f>
        <v>4</v>
      </c>
      <c r="AA9" s="472">
        <f ca="1">SUM(E9:Z9)</f>
        <v>218</v>
      </c>
    </row>
    <row r="10" spans="1:28" s="8" customFormat="1">
      <c r="A10" s="139"/>
      <c r="E10" s="152"/>
      <c r="F10" s="152"/>
      <c r="G10" s="152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473"/>
    </row>
    <row r="11" spans="1:28" s="8" customFormat="1">
      <c r="A11" s="146" t="s">
        <v>508</v>
      </c>
      <c r="E11" s="152"/>
      <c r="F11" s="152"/>
      <c r="G11" s="152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473"/>
    </row>
    <row r="12" spans="1:28" s="8" customFormat="1">
      <c r="A12" s="139" t="s">
        <v>355</v>
      </c>
      <c r="E12" s="156">
        <f ca="1">IF(E$7&lt;YEAR(Startops1),0,HLOOKUP(E$7,CF_Table,CF!$AB$46))</f>
        <v>0</v>
      </c>
      <c r="F12" s="156">
        <f ca="1">IF(F$7&lt;YEAR(Startops1),0,HLOOKUP(F$7,CF_Table,CF!$AB$46))</f>
        <v>0</v>
      </c>
      <c r="G12" s="156">
        <f ca="1">IF(G$7&lt;YEAR(Startops1),0,HLOOKUP(G$7,CF_Table,CF!$AB$46))</f>
        <v>0</v>
      </c>
      <c r="H12" s="156">
        <f ca="1">IF(H$7&lt;YEAR(Startops1),0,HLOOKUP(H$7,CF_Table,CF!$AB$46))</f>
        <v>8604.1962980564422</v>
      </c>
      <c r="I12" s="156">
        <f ca="1">IF(I$7&lt;YEAR(Startops1),0,HLOOKUP(I$7,CF_Table,CF!$AB$46))</f>
        <v>14220.938045161965</v>
      </c>
      <c r="J12" s="156">
        <f ca="1">IF(J$7&lt;YEAR(Startops1),0,HLOOKUP(J$7,CF_Table,CF!$AB$46))</f>
        <v>13565.64099964267</v>
      </c>
      <c r="K12" s="156">
        <f ca="1">IF(K$7&lt;YEAR(Startops1),0,HLOOKUP(K$7,CF_Table,CF!$AB$46))</f>
        <v>19099.431253024326</v>
      </c>
      <c r="L12" s="156">
        <f ca="1">IF(L$7&lt;YEAR(Startops1),0,HLOOKUP(L$7,CF_Table,CF!$AB$46))</f>
        <v>19379.61484794068</v>
      </c>
      <c r="M12" s="156">
        <f ca="1">IF(M$7&lt;YEAR(Startops1),0,HLOOKUP(M$7,CF_Table,CF!$AB$46))</f>
        <v>23437.1491854552</v>
      </c>
      <c r="N12" s="156">
        <f ca="1">IF(N$7&lt;YEAR(Startops1),0,HLOOKUP(N$7,CF_Table,CF!$AB$46))</f>
        <v>24344.707667100865</v>
      </c>
      <c r="O12" s="156">
        <f ca="1">IF(O$7&lt;YEAR(Startops1),0,HLOOKUP(O$7,CF_Table,CF!$AB$46))</f>
        <v>24485.488092459338</v>
      </c>
      <c r="P12" s="156">
        <f ca="1">IF(P$7&lt;YEAR(Startops1),0,HLOOKUP(P$7,CF_Table,CF!$AB$46))</f>
        <v>25830.153415031691</v>
      </c>
      <c r="Q12" s="156">
        <f ca="1">IF(Q$7&lt;YEAR(Startops1),0,HLOOKUP(Q$7,CF_Table,CF!$AB$46))</f>
        <v>26597.155621630889</v>
      </c>
      <c r="R12" s="156">
        <f ca="1">IF(R$7&lt;YEAR(Startops1),0,HLOOKUP(R$7,CF_Table,CF!$AB$46))</f>
        <v>27679.458534726189</v>
      </c>
      <c r="S12" s="156">
        <f ca="1">IF(S$7&lt;YEAR(Startops1),0,HLOOKUP(S$7,CF_Table,CF!$AB$46))</f>
        <v>29538.859488661044</v>
      </c>
      <c r="T12" s="156">
        <f ca="1">IF(T$7&lt;YEAR(Startops1),0,HLOOKUP(T$7,CF_Table,CF!$AB$46))</f>
        <v>28010.230908751848</v>
      </c>
      <c r="U12" s="156">
        <f ca="1">IF(U$7&lt;YEAR(Startops1),0,HLOOKUP(U$7,CF_Table,CF!$AB$46))</f>
        <v>30595.117817383754</v>
      </c>
      <c r="V12" s="156">
        <f ca="1">IF(V$7&lt;YEAR(Startops1),0,HLOOKUP(V$7,CF_Table,CF!$AB$46))</f>
        <v>31458.567262612829</v>
      </c>
      <c r="W12" s="156">
        <f ca="1">IF(W$7&lt;YEAR(Startops1),0,HLOOKUP(W$7,CF_Table,CF!$AB$46))</f>
        <v>32306.082879734346</v>
      </c>
      <c r="X12" s="156">
        <f ca="1">IF(X$7&lt;YEAR(Startops1),0,HLOOKUP(X$7,CF_Table,CF!$AB$46))</f>
        <v>33381.813610301098</v>
      </c>
      <c r="Y12" s="156">
        <f ca="1">IF(Y$7&lt;YEAR(Startops1),0,HLOOKUP(Y$7,CF_Table,CF!$AB$46))</f>
        <v>34547.704037227639</v>
      </c>
      <c r="Z12" s="156">
        <f ca="1">IF(Z$7&lt;YEAR(Startops1),0,HLOOKUP(Z$7,CF_Table,CF!$AB$46))</f>
        <v>11528.791954895343</v>
      </c>
      <c r="AA12" s="474">
        <f ca="1">SUM(E12:Z12)</f>
        <v>458611.10191979818</v>
      </c>
      <c r="AB12" s="302" t="str">
        <f ca="1">IF(SUM(AA12-CF!Z46)=0," ","Check")</f>
        <v>Check</v>
      </c>
    </row>
    <row r="13" spans="1:28">
      <c r="A13" s="139" t="s">
        <v>1137</v>
      </c>
      <c r="C13" s="8"/>
      <c r="D13" s="8"/>
      <c r="E13" s="156">
        <f ca="1">IF(E$7&lt;YEAR(Startops1),0,HLOOKUP(E$7,CF_Table,CF!$AB$50))</f>
        <v>0</v>
      </c>
      <c r="F13" s="156">
        <f ca="1">IF(F$7&lt;YEAR(Startops1),0,HLOOKUP(F$7,CF_Table,CF!$AB$50))</f>
        <v>0</v>
      </c>
      <c r="G13" s="156">
        <f ca="1">IF(G$7&lt;YEAR(Startops1),0,HLOOKUP(G$7,CF_Table,CF!$AB$50))</f>
        <v>0</v>
      </c>
      <c r="H13" s="156">
        <f ca="1">IF(H$7&lt;YEAR(Startops1),0,HLOOKUP(H$7,CF_Table,CF!$AB$50))</f>
        <v>-4298.9671464881521</v>
      </c>
      <c r="I13" s="156">
        <f ca="1">IF(I$7&lt;YEAR(Startops1),0,HLOOKUP(I$7,CF_Table,CF!$AB$50))</f>
        <v>-10278.834132082155</v>
      </c>
      <c r="J13" s="156">
        <f ca="1">IF(J$7&lt;YEAR(Startops1),0,HLOOKUP(J$7,CF_Table,CF!$AB$50))</f>
        <v>-10097.18311772179</v>
      </c>
      <c r="K13" s="156">
        <f ca="1">IF(K$7&lt;YEAR(Startops1),0,HLOOKUP(K$7,CF_Table,CF!$AB$50))</f>
        <v>-9716.1718009101805</v>
      </c>
      <c r="L13" s="156">
        <f ca="1">IF(L$7&lt;YEAR(Startops1),0,HLOOKUP(L$7,CF_Table,CF!$AB$50))</f>
        <v>-8941.2866575846747</v>
      </c>
      <c r="M13" s="156">
        <f ca="1">IF(M$7&lt;YEAR(Startops1),0,HLOOKUP(M$7,CF_Table,CF!$AB$50))</f>
        <v>-7982.2263920456498</v>
      </c>
      <c r="N13" s="156">
        <f ca="1">IF(N$7&lt;YEAR(Startops1),0,HLOOKUP(N$7,CF_Table,CF!$AB$50))</f>
        <v>-6883.6216529316207</v>
      </c>
      <c r="O13" s="156">
        <f ca="1">IF(O$7&lt;YEAR(Startops1),0,HLOOKUP(O$7,CF_Table,CF!$AB$50))</f>
        <v>-5746.3262094991969</v>
      </c>
      <c r="P13" s="156">
        <f ca="1">IF(P$7&lt;YEAR(Startops1),0,HLOOKUP(P$7,CF_Table,CF!$AB$50))</f>
        <v>-5020.6998600144798</v>
      </c>
      <c r="Q13" s="156">
        <f ca="1">IF(Q$7&lt;YEAR(Startops1),0,HLOOKUP(Q$7,CF_Table,CF!$AB$50))</f>
        <v>-4432.2965418456652</v>
      </c>
      <c r="R13" s="156">
        <f ca="1">IF(R$7&lt;YEAR(Startops1),0,HLOOKUP(R$7,CF_Table,CF!$AB$50))</f>
        <v>-3843.8932236768501</v>
      </c>
      <c r="S13" s="156">
        <f ca="1">IF(S$7&lt;YEAR(Startops1),0,HLOOKUP(S$7,CF_Table,CF!$AB$50))</f>
        <v>-3049.6553585341817</v>
      </c>
      <c r="T13" s="156">
        <f ca="1">IF(T$7&lt;YEAR(Startops1),0,HLOOKUP(T$7,CF_Table,CF!$AB$50))</f>
        <v>-2186.805977733562</v>
      </c>
      <c r="U13" s="156">
        <f ca="1">IF(U$7&lt;YEAR(Startops1),0,HLOOKUP(U$7,CF_Table,CF!$AB$50))</f>
        <v>-1323.9565969329419</v>
      </c>
      <c r="V13" s="156">
        <f ca="1">IF(V$7&lt;YEAR(Startops1),0,HLOOKUP(V$7,CF_Table,CF!$AB$50))</f>
        <v>-403.0711596547298</v>
      </c>
      <c r="W13" s="156">
        <f ca="1">IF(W$7&lt;YEAR(Startops1),0,HLOOKUP(W$7,CF_Table,CF!$AB$50))</f>
        <v>0</v>
      </c>
      <c r="X13" s="156">
        <f ca="1">IF(X$7&lt;YEAR(Startops1),0,HLOOKUP(X$7,CF_Table,CF!$AB$50))</f>
        <v>0</v>
      </c>
      <c r="Y13" s="156">
        <f ca="1">IF(Y$7&lt;YEAR(Startops1),0,HLOOKUP(Y$7,CF_Table,CF!$AB$50))</f>
        <v>0</v>
      </c>
      <c r="Z13" s="156">
        <f ca="1">IF(Z$7&lt;YEAR(Startops1),0,HLOOKUP(Z$7,CF_Table,CF!$AB$50))</f>
        <v>0</v>
      </c>
      <c r="AA13" s="474">
        <f ca="1">SUM(E13:Z13)</f>
        <v>-84204.995827655803</v>
      </c>
      <c r="AB13" s="302" t="str">
        <f ca="1">IF(SUM(AA13+'Debt Amort'!AD12)=0," ","Check")</f>
        <v xml:space="preserve"> </v>
      </c>
    </row>
    <row r="14" spans="1:28">
      <c r="A14" s="139" t="s">
        <v>1138</v>
      </c>
      <c r="C14" s="8"/>
      <c r="D14" s="8"/>
      <c r="E14" s="156">
        <f ca="1">IF(E$7&lt;YEAR(Startops1),0,HLOOKUP(E$7,CF_Table,CF!$AB$51))</f>
        <v>0</v>
      </c>
      <c r="F14" s="156">
        <f ca="1">IF(F$7&lt;YEAR(Startops1),0,HLOOKUP(F$7,CF_Table,CF!$AB$51))</f>
        <v>0</v>
      </c>
      <c r="G14" s="156">
        <f ca="1">IF(G$7&lt;YEAR(Startops1),0,HLOOKUP(G$7,CF_Table,CF!$AB$51))</f>
        <v>0</v>
      </c>
      <c r="H14" s="156">
        <f ca="1">IF(H$7&lt;YEAR(Startops1),0,HLOOKUP(H$7,CF_Table,CF!$AB$51))</f>
        <v>-133.98867062672454</v>
      </c>
      <c r="I14" s="156">
        <f ca="1">IF(I$7&lt;YEAR(Startops1),0,HLOOKUP(I$7,CF_Table,CF!$AB$51))</f>
        <v>-318.08515874682439</v>
      </c>
      <c r="J14" s="156">
        <f ca="1">IF(J$7&lt;YEAR(Startops1),0,HLOOKUP(J$7,CF_Table,CF!$AB$51))</f>
        <v>-303.21303119621513</v>
      </c>
      <c r="K14" s="156">
        <f ca="1">IF(K$7&lt;YEAR(Startops1),0,HLOOKUP(K$7,CF_Table,CF!$AB$51))</f>
        <v>-286.34469232512527</v>
      </c>
      <c r="L14" s="156">
        <f ca="1">IF(L$7&lt;YEAR(Startops1),0,HLOOKUP(L$7,CF_Table,CF!$AB$51))</f>
        <v>-267.21220066906335</v>
      </c>
      <c r="M14" s="156">
        <f ca="1">IF(M$7&lt;YEAR(Startops1),0,HLOOKUP(M$7,CF_Table,CF!$AB$51))</f>
        <v>-245.51165032046663</v>
      </c>
      <c r="N14" s="156">
        <f ca="1">IF(N$7&lt;YEAR(Startops1),0,HLOOKUP(N$7,CF_Table,CF!$AB$51))</f>
        <v>-220.89834360132943</v>
      </c>
      <c r="O14" s="156">
        <f ca="1">IF(O$7&lt;YEAR(Startops1),0,HLOOKUP(O$7,CF_Table,CF!$AB$51))</f>
        <v>-192.9813157878161</v>
      </c>
      <c r="P14" s="156">
        <f ca="1">IF(P$7&lt;YEAR(Startops1),0,HLOOKUP(P$7,CF_Table,CF!$AB$51))</f>
        <v>-161.31712491603395</v>
      </c>
      <c r="Q14" s="156">
        <f ca="1">IF(Q$7&lt;YEAR(Startops1),0,HLOOKUP(Q$7,CF_Table,CF!$AB$51))</f>
        <v>-125.40280802448683</v>
      </c>
      <c r="R14" s="156">
        <f ca="1">IF(R$7&lt;YEAR(Startops1),0,HLOOKUP(R$7,CF_Table,CF!$AB$51))</f>
        <v>-84.667891948171842</v>
      </c>
      <c r="S14" s="156">
        <f ca="1">IF(S$7&lt;YEAR(Startops1),0,HLOOKUP(S$7,CF_Table,CF!$AB$51))</f>
        <v>-38.465331761513497</v>
      </c>
      <c r="T14" s="156">
        <f ca="1">IF(T$7&lt;YEAR(Startops1),0,HLOOKUP(T$7,CF_Table,CF!$AB$51))</f>
        <v>0</v>
      </c>
      <c r="U14" s="156">
        <f ca="1">IF(U$7&lt;YEAR(Startops1),0,HLOOKUP(U$7,CF_Table,CF!$AB$51))</f>
        <v>0</v>
      </c>
      <c r="V14" s="156">
        <f ca="1">IF(V$7&lt;YEAR(Startops1),0,HLOOKUP(V$7,CF_Table,CF!$AB$51))</f>
        <v>0</v>
      </c>
      <c r="W14" s="156">
        <f ca="1">IF(W$7&lt;YEAR(Startops1),0,HLOOKUP(W$7,CF_Table,CF!$AB$51))</f>
        <v>0</v>
      </c>
      <c r="X14" s="156">
        <f ca="1">IF(X$7&lt;YEAR(Startops1),0,HLOOKUP(X$7,CF_Table,CF!$AB$51))</f>
        <v>0</v>
      </c>
      <c r="Y14" s="156">
        <f ca="1">IF(Y$7&lt;YEAR(Startops1),0,HLOOKUP(Y$7,CF_Table,CF!$AB$51))</f>
        <v>0</v>
      </c>
      <c r="Z14" s="156">
        <f ca="1">IF(Z$7&lt;YEAR(Startops1),0,HLOOKUP(Z$7,CF_Table,CF!$AB$51))</f>
        <v>0</v>
      </c>
      <c r="AA14" s="474">
        <f ca="1">SUM(E14:Z14)</f>
        <v>-2378.0882199237717</v>
      </c>
      <c r="AB14" s="302" t="str">
        <f ca="1">IF(SUM(AA14+'Debt Amort'!AD20)=0," ","Check")</f>
        <v xml:space="preserve"> </v>
      </c>
    </row>
    <row r="15" spans="1:28">
      <c r="A15" s="139" t="s">
        <v>187</v>
      </c>
      <c r="C15" s="8"/>
      <c r="D15" s="8"/>
      <c r="E15" s="298">
        <f ca="1">IF(E$7&lt;YEAR(Startops1),0,-HLOOKUP(E$7,Depr_Table,Depr!$AE$44))</f>
        <v>0</v>
      </c>
      <c r="F15" s="298">
        <f ca="1">IF(F$7&lt;YEAR(Startops1),0,-HLOOKUP(F$7,Depr_Table,Depr!$AE$44))</f>
        <v>0</v>
      </c>
      <c r="G15" s="298">
        <f ca="1">IF(G$7&lt;YEAR(Startops1),0,-HLOOKUP(G$7,Depr_Table,Depr!$AE$44))</f>
        <v>0</v>
      </c>
      <c r="H15" s="298">
        <f ca="1">IF(H$7&lt;YEAR(Startops1),0,-HLOOKUP(H$7,Depr_Table,Depr!$AE$44))</f>
        <v>-6008.749462358709</v>
      </c>
      <c r="I15" s="298">
        <f ca="1">IF(I$7&lt;YEAR(Startops1),0,-HLOOKUP(I$7,Depr_Table,Depr!$AE$44))</f>
        <v>-7210.499354830451</v>
      </c>
      <c r="J15" s="298">
        <f ca="1">IF(J$7&lt;YEAR(Startops1),0,-HLOOKUP(J$7,Depr_Table,Depr!$AE$44))</f>
        <v>-7210.499354830451</v>
      </c>
      <c r="K15" s="298">
        <f ca="1">IF(K$7&lt;YEAR(Startops1),0,-HLOOKUP(K$7,Depr_Table,Depr!$AE$44))</f>
        <v>-7210.499354830451</v>
      </c>
      <c r="L15" s="298">
        <f ca="1">IF(L$7&lt;YEAR(Startops1),0,-HLOOKUP(L$7,Depr_Table,Depr!$AE$44))</f>
        <v>-7210.499354830451</v>
      </c>
      <c r="M15" s="298">
        <f ca="1">IF(M$7&lt;YEAR(Startops1),0,-HLOOKUP(M$7,Depr_Table,Depr!$AE$44))</f>
        <v>-7210.499354830451</v>
      </c>
      <c r="N15" s="298">
        <f ca="1">IF(N$7&lt;YEAR(Startops1),0,-HLOOKUP(N$7,Depr_Table,Depr!$AE$44))</f>
        <v>-7210.499354830451</v>
      </c>
      <c r="O15" s="298">
        <f ca="1">IF(O$7&lt;YEAR(Startops1),0,-HLOOKUP(O$7,Depr_Table,Depr!$AE$44))</f>
        <v>-7210.499354830451</v>
      </c>
      <c r="P15" s="298">
        <f ca="1">IF(P$7&lt;YEAR(Startops1),0,-HLOOKUP(P$7,Depr_Table,Depr!$AE$44))</f>
        <v>-7210.499354830451</v>
      </c>
      <c r="Q15" s="298">
        <f ca="1">IF(Q$7&lt;YEAR(Startops1),0,-HLOOKUP(Q$7,Depr_Table,Depr!$AE$44))</f>
        <v>-7210.499354830451</v>
      </c>
      <c r="R15" s="298">
        <f ca="1">IF(R$7&lt;YEAR(Startops1),0,-HLOOKUP(R$7,Depr_Table,Depr!$AE$44))</f>
        <v>-7210.499354830451</v>
      </c>
      <c r="S15" s="298">
        <f ca="1">IF(S$7&lt;YEAR(Startops1),0,-HLOOKUP(S$7,Depr_Table,Depr!$AE$44))</f>
        <v>-7210.499354830451</v>
      </c>
      <c r="T15" s="298">
        <f ca="1">IF(T$7&lt;YEAR(Startops1),0,-HLOOKUP(T$7,Depr_Table,Depr!$AE$44))</f>
        <v>-7210.499354830451</v>
      </c>
      <c r="U15" s="298">
        <f ca="1">IF(U$7&lt;YEAR(Startops1),0,-HLOOKUP(U$7,Depr_Table,Depr!$AE$44))</f>
        <v>-7210.499354830451</v>
      </c>
      <c r="V15" s="298">
        <f ca="1">IF(V$7&lt;YEAR(Startops1),0,-HLOOKUP(V$7,Depr_Table,Depr!$AE$44))</f>
        <v>-7210.499354830451</v>
      </c>
      <c r="W15" s="298">
        <f ca="1">IF(W$7&lt;YEAR(Startops1),0,-HLOOKUP(W$7,Depr_Table,Depr!$AE$44))</f>
        <v>-7210.499354830451</v>
      </c>
      <c r="X15" s="298">
        <f ca="1">IF(X$7&lt;YEAR(Startops1),0,-HLOOKUP(X$7,Depr_Table,Depr!$AE$44))</f>
        <v>-7210.499354830451</v>
      </c>
      <c r="Y15" s="298">
        <f ca="1">IF(Y$7&lt;YEAR(Startops1),0,-HLOOKUP(Y$7,Depr_Table,Depr!$AE$44))</f>
        <v>-7210.499354830451</v>
      </c>
      <c r="Z15" s="298">
        <f ca="1">IF(Z$7&lt;YEAR(Startops1),0,-HLOOKUP(Z$7,Depr_Table,Depr!$AE$44))</f>
        <v>-2403.4997849434835</v>
      </c>
      <c r="AA15" s="475">
        <f ca="1">SUM(E15:Z15)</f>
        <v>-130990.73827941983</v>
      </c>
      <c r="AB15" s="302" t="str">
        <f ca="1">IF(SUM(AA15+Depr!AC44)=0," ","Check")</f>
        <v xml:space="preserve"> </v>
      </c>
    </row>
    <row r="16" spans="1:28">
      <c r="A16" s="139" t="s">
        <v>359</v>
      </c>
      <c r="C16" s="8"/>
      <c r="D16" s="8"/>
      <c r="E16" s="299">
        <f ca="1">SUM(E11:E15)</f>
        <v>0</v>
      </c>
      <c r="F16" s="299">
        <f t="shared" ref="F16:X16" ca="1" si="0">SUM(F11:F15)</f>
        <v>0</v>
      </c>
      <c r="G16" s="299">
        <f t="shared" ca="1" si="0"/>
        <v>0</v>
      </c>
      <c r="H16" s="299">
        <f t="shared" ca="1" si="0"/>
        <v>-1837.5089814171433</v>
      </c>
      <c r="I16" s="299">
        <f t="shared" ca="1" si="0"/>
        <v>-3586.4806004974644</v>
      </c>
      <c r="J16" s="299">
        <f t="shared" ca="1" si="0"/>
        <v>-4045.2545041057861</v>
      </c>
      <c r="K16" s="299">
        <f t="shared" ca="1" si="0"/>
        <v>1886.4154049585695</v>
      </c>
      <c r="L16" s="299">
        <f t="shared" ca="1" si="0"/>
        <v>2960.6166348564921</v>
      </c>
      <c r="M16" s="299">
        <f t="shared" ca="1" si="0"/>
        <v>7998.9117882586334</v>
      </c>
      <c r="N16" s="299">
        <f t="shared" ca="1" si="0"/>
        <v>10029.688315737465</v>
      </c>
      <c r="O16" s="299">
        <f t="shared" ca="1" si="0"/>
        <v>11335.681212341875</v>
      </c>
      <c r="P16" s="299">
        <f t="shared" ca="1" si="0"/>
        <v>13437.637075270726</v>
      </c>
      <c r="Q16" s="299">
        <f t="shared" ca="1" si="0"/>
        <v>14828.956916930285</v>
      </c>
      <c r="R16" s="299">
        <f t="shared" ca="1" si="0"/>
        <v>16540.398064270717</v>
      </c>
      <c r="S16" s="299">
        <f t="shared" ca="1" si="0"/>
        <v>19240.239443534898</v>
      </c>
      <c r="T16" s="299">
        <f t="shared" ca="1" si="0"/>
        <v>18612.925576187834</v>
      </c>
      <c r="U16" s="299">
        <f t="shared" ca="1" si="0"/>
        <v>22060.661865620361</v>
      </c>
      <c r="V16" s="299">
        <f t="shared" ca="1" si="0"/>
        <v>23844.996748127647</v>
      </c>
      <c r="W16" s="299">
        <f t="shared" ca="1" si="0"/>
        <v>25095.583524903894</v>
      </c>
      <c r="X16" s="299">
        <f t="shared" ca="1" si="0"/>
        <v>26171.314255470646</v>
      </c>
      <c r="Y16" s="299">
        <f ca="1">SUM(Y11:Y15)</f>
        <v>27337.204682397187</v>
      </c>
      <c r="Z16" s="299">
        <f ca="1">SUM(Z11:Z15)</f>
        <v>9125.2921699518593</v>
      </c>
      <c r="AA16" s="474">
        <f ca="1">SUM(E16:Z16)</f>
        <v>241037.2795927987</v>
      </c>
    </row>
    <row r="17" spans="1:28">
      <c r="A17" s="139" t="s">
        <v>360</v>
      </c>
      <c r="C17" s="17">
        <f>Corp_Tax</f>
        <v>0.25</v>
      </c>
      <c r="D17" s="8"/>
      <c r="E17" s="708">
        <f>$C17</f>
        <v>0.25</v>
      </c>
      <c r="F17" s="709">
        <f t="shared" ref="F17:AA17" si="1">$C17</f>
        <v>0.25</v>
      </c>
      <c r="G17" s="709">
        <f t="shared" si="1"/>
        <v>0.25</v>
      </c>
      <c r="H17" s="709">
        <f t="shared" si="1"/>
        <v>0.25</v>
      </c>
      <c r="I17" s="709">
        <f t="shared" si="1"/>
        <v>0.25</v>
      </c>
      <c r="J17" s="709">
        <f t="shared" si="1"/>
        <v>0.25</v>
      </c>
      <c r="K17" s="709">
        <f t="shared" si="1"/>
        <v>0.25</v>
      </c>
      <c r="L17" s="709">
        <f t="shared" si="1"/>
        <v>0.25</v>
      </c>
      <c r="M17" s="709">
        <f t="shared" si="1"/>
        <v>0.25</v>
      </c>
      <c r="N17" s="709">
        <f t="shared" si="1"/>
        <v>0.25</v>
      </c>
      <c r="O17" s="709">
        <f t="shared" si="1"/>
        <v>0.25</v>
      </c>
      <c r="P17" s="709">
        <f t="shared" si="1"/>
        <v>0.25</v>
      </c>
      <c r="Q17" s="709">
        <f t="shared" si="1"/>
        <v>0.25</v>
      </c>
      <c r="R17" s="709">
        <f t="shared" si="1"/>
        <v>0.25</v>
      </c>
      <c r="S17" s="709">
        <f t="shared" si="1"/>
        <v>0.25</v>
      </c>
      <c r="T17" s="709">
        <f t="shared" si="1"/>
        <v>0.25</v>
      </c>
      <c r="U17" s="709">
        <f t="shared" si="1"/>
        <v>0.25</v>
      </c>
      <c r="V17" s="709">
        <f t="shared" si="1"/>
        <v>0.25</v>
      </c>
      <c r="W17" s="709">
        <f t="shared" si="1"/>
        <v>0.25</v>
      </c>
      <c r="X17" s="709">
        <f t="shared" si="1"/>
        <v>0.25</v>
      </c>
      <c r="Y17" s="709">
        <f t="shared" si="1"/>
        <v>0.25</v>
      </c>
      <c r="Z17" s="709">
        <f t="shared" si="1"/>
        <v>0.25</v>
      </c>
      <c r="AA17" s="710">
        <f t="shared" si="1"/>
        <v>0.25</v>
      </c>
    </row>
    <row r="18" spans="1:28">
      <c r="A18" s="139" t="s">
        <v>188</v>
      </c>
      <c r="C18" s="8"/>
      <c r="D18" s="8"/>
      <c r="E18" s="300">
        <f ca="1">-E16*E17</f>
        <v>0</v>
      </c>
      <c r="F18" s="300">
        <f t="shared" ref="F18:X18" ca="1" si="2">-F16*F17</f>
        <v>0</v>
      </c>
      <c r="G18" s="300">
        <f t="shared" ca="1" si="2"/>
        <v>0</v>
      </c>
      <c r="H18" s="300">
        <f t="shared" ca="1" si="2"/>
        <v>459.37724535428583</v>
      </c>
      <c r="I18" s="300">
        <f t="shared" ca="1" si="2"/>
        <v>896.62015012436609</v>
      </c>
      <c r="J18" s="300">
        <f t="shared" ca="1" si="2"/>
        <v>1011.3136260264465</v>
      </c>
      <c r="K18" s="300">
        <f t="shared" ca="1" si="2"/>
        <v>-471.60385123964238</v>
      </c>
      <c r="L18" s="300">
        <f t="shared" ca="1" si="2"/>
        <v>-740.15415871412301</v>
      </c>
      <c r="M18" s="300">
        <f t="shared" ca="1" si="2"/>
        <v>-1999.7279470646583</v>
      </c>
      <c r="N18" s="300">
        <f t="shared" ca="1" si="2"/>
        <v>-2507.4220789343663</v>
      </c>
      <c r="O18" s="300">
        <f t="shared" ca="1" si="2"/>
        <v>-2833.9203030854687</v>
      </c>
      <c r="P18" s="300">
        <f t="shared" ca="1" si="2"/>
        <v>-3359.4092688176815</v>
      </c>
      <c r="Q18" s="300">
        <f t="shared" ca="1" si="2"/>
        <v>-3707.2392292325712</v>
      </c>
      <c r="R18" s="300">
        <f t="shared" ca="1" si="2"/>
        <v>-4135.0995160676794</v>
      </c>
      <c r="S18" s="300">
        <f t="shared" ca="1" si="2"/>
        <v>-4810.0598608837245</v>
      </c>
      <c r="T18" s="300">
        <f t="shared" ca="1" si="2"/>
        <v>-4653.2313940469585</v>
      </c>
      <c r="U18" s="300">
        <f t="shared" ca="1" si="2"/>
        <v>-5515.1654664050902</v>
      </c>
      <c r="V18" s="300">
        <f t="shared" ca="1" si="2"/>
        <v>-5961.2491870319118</v>
      </c>
      <c r="W18" s="300">
        <f t="shared" ca="1" si="2"/>
        <v>-6273.8958812259734</v>
      </c>
      <c r="X18" s="300">
        <f t="shared" ca="1" si="2"/>
        <v>-6542.8285638676616</v>
      </c>
      <c r="Y18" s="300">
        <f ca="1">-Y16*Y17</f>
        <v>-6834.3011705992967</v>
      </c>
      <c r="Z18" s="300">
        <f ca="1">-Z16*Z17</f>
        <v>-2281.3230424879648</v>
      </c>
      <c r="AA18" s="475">
        <f ca="1">SUM(E18:Z18)</f>
        <v>-60259.319898199676</v>
      </c>
    </row>
    <row r="19" spans="1:28">
      <c r="A19" s="139" t="s">
        <v>361</v>
      </c>
      <c r="C19" s="8"/>
      <c r="D19" s="8"/>
      <c r="E19" s="156">
        <f ca="1">SUM(E16,E18)</f>
        <v>0</v>
      </c>
      <c r="F19" s="156">
        <f t="shared" ref="F19:X19" ca="1" si="3">SUM(F16,F18)</f>
        <v>0</v>
      </c>
      <c r="G19" s="156">
        <f t="shared" ca="1" si="3"/>
        <v>0</v>
      </c>
      <c r="H19" s="156">
        <f t="shared" ca="1" si="3"/>
        <v>-1378.1317360628575</v>
      </c>
      <c r="I19" s="156">
        <f t="shared" ca="1" si="3"/>
        <v>-2689.8604503730985</v>
      </c>
      <c r="J19" s="156">
        <f t="shared" ca="1" si="3"/>
        <v>-3033.9408780793397</v>
      </c>
      <c r="K19" s="156">
        <f t="shared" ca="1" si="3"/>
        <v>1414.8115537189271</v>
      </c>
      <c r="L19" s="156">
        <f t="shared" ca="1" si="3"/>
        <v>2220.4624761423693</v>
      </c>
      <c r="M19" s="156">
        <f t="shared" ca="1" si="3"/>
        <v>5999.1838411939752</v>
      </c>
      <c r="N19" s="156">
        <f t="shared" ca="1" si="3"/>
        <v>7522.2662368030988</v>
      </c>
      <c r="O19" s="156">
        <f t="shared" ca="1" si="3"/>
        <v>8501.7609092564053</v>
      </c>
      <c r="P19" s="156">
        <f t="shared" ca="1" si="3"/>
        <v>10078.227806453044</v>
      </c>
      <c r="Q19" s="156">
        <f t="shared" ca="1" si="3"/>
        <v>11121.717687697714</v>
      </c>
      <c r="R19" s="156">
        <f t="shared" ca="1" si="3"/>
        <v>12405.298548203038</v>
      </c>
      <c r="S19" s="156">
        <f t="shared" ca="1" si="3"/>
        <v>14430.179582651173</v>
      </c>
      <c r="T19" s="156">
        <f t="shared" ca="1" si="3"/>
        <v>13959.694182140876</v>
      </c>
      <c r="U19" s="156">
        <f t="shared" ca="1" si="3"/>
        <v>16545.49639921527</v>
      </c>
      <c r="V19" s="156">
        <f t="shared" ca="1" si="3"/>
        <v>17883.747561095734</v>
      </c>
      <c r="W19" s="156">
        <f t="shared" ca="1" si="3"/>
        <v>18821.68764367792</v>
      </c>
      <c r="X19" s="156">
        <f t="shared" ca="1" si="3"/>
        <v>19628.485691602986</v>
      </c>
      <c r="Y19" s="156">
        <f ca="1">SUM(Y16,Y18)</f>
        <v>20502.903511797889</v>
      </c>
      <c r="Z19" s="156">
        <f ca="1">SUM(Z16,Z18)</f>
        <v>6843.9691274638944</v>
      </c>
      <c r="AA19" s="474">
        <f ca="1">SUM(E19:Z19)</f>
        <v>180777.95969459903</v>
      </c>
    </row>
    <row r="20" spans="1:28">
      <c r="A20" s="139" t="s">
        <v>356</v>
      </c>
      <c r="C20" s="8"/>
      <c r="D20" s="8"/>
      <c r="E20" s="294">
        <f>Assm!$L$61</f>
        <v>0.29999999999999993</v>
      </c>
      <c r="F20" s="294">
        <f>Assm!$L$61</f>
        <v>0.29999999999999993</v>
      </c>
      <c r="G20" s="294">
        <f>Assm!$L$61</f>
        <v>0.29999999999999993</v>
      </c>
      <c r="H20" s="294">
        <f>Assm!$L$61</f>
        <v>0.29999999999999993</v>
      </c>
      <c r="I20" s="294">
        <f>Assm!$L$61</f>
        <v>0.29999999999999993</v>
      </c>
      <c r="J20" s="294">
        <f>Assm!$L$61</f>
        <v>0.29999999999999993</v>
      </c>
      <c r="K20" s="294">
        <f>Assm!$L$61</f>
        <v>0.29999999999999993</v>
      </c>
      <c r="L20" s="294">
        <f>Assm!$L$61</f>
        <v>0.29999999999999993</v>
      </c>
      <c r="M20" s="294">
        <f>Assm!$L$61</f>
        <v>0.29999999999999993</v>
      </c>
      <c r="N20" s="294">
        <f>Assm!$L$61</f>
        <v>0.29999999999999993</v>
      </c>
      <c r="O20" s="294">
        <f>Assm!$L$61</f>
        <v>0.29999999999999993</v>
      </c>
      <c r="P20" s="294">
        <f>Assm!$L$61</f>
        <v>0.29999999999999993</v>
      </c>
      <c r="Q20" s="294">
        <f>Assm!$L$61</f>
        <v>0.29999999999999993</v>
      </c>
      <c r="R20" s="294">
        <f>Assm!$L$61</f>
        <v>0.29999999999999993</v>
      </c>
      <c r="S20" s="294">
        <f>Assm!$L$61</f>
        <v>0.29999999999999993</v>
      </c>
      <c r="T20" s="294">
        <f>Assm!$L$61</f>
        <v>0.29999999999999993</v>
      </c>
      <c r="U20" s="294">
        <f>Assm!$L$61</f>
        <v>0.29999999999999993</v>
      </c>
      <c r="V20" s="294">
        <f>Assm!$L$61</f>
        <v>0.29999999999999993</v>
      </c>
      <c r="W20" s="294">
        <f>Assm!$L$61</f>
        <v>0.29999999999999993</v>
      </c>
      <c r="X20" s="294">
        <f>Assm!$L$61</f>
        <v>0.29999999999999993</v>
      </c>
      <c r="Y20" s="294">
        <f>Assm!$L$61</f>
        <v>0.29999999999999993</v>
      </c>
      <c r="Z20" s="294">
        <f>Assm!$L$61</f>
        <v>0.29999999999999993</v>
      </c>
      <c r="AA20" s="476"/>
    </row>
    <row r="21" spans="1:28">
      <c r="A21" s="464"/>
      <c r="B21" s="8" t="s">
        <v>509</v>
      </c>
      <c r="C21" s="8"/>
      <c r="D21" s="8"/>
      <c r="E21" s="299">
        <f ca="1">E19*E20</f>
        <v>0</v>
      </c>
      <c r="F21" s="299">
        <f t="shared" ref="F21:X21" ca="1" si="4">F19*F20</f>
        <v>0</v>
      </c>
      <c r="G21" s="299">
        <f t="shared" ca="1" si="4"/>
        <v>0</v>
      </c>
      <c r="H21" s="299">
        <f t="shared" ca="1" si="4"/>
        <v>-413.43952081885715</v>
      </c>
      <c r="I21" s="299">
        <f t="shared" ca="1" si="4"/>
        <v>-806.95813511192932</v>
      </c>
      <c r="J21" s="299">
        <f t="shared" ca="1" si="4"/>
        <v>-910.18226342380171</v>
      </c>
      <c r="K21" s="299">
        <f t="shared" ca="1" si="4"/>
        <v>424.44346611567806</v>
      </c>
      <c r="L21" s="299">
        <f t="shared" ca="1" si="4"/>
        <v>666.1387428427106</v>
      </c>
      <c r="M21" s="299">
        <f t="shared" ca="1" si="4"/>
        <v>1799.7551523581922</v>
      </c>
      <c r="N21" s="299">
        <f t="shared" ca="1" si="4"/>
        <v>2256.6798710409289</v>
      </c>
      <c r="O21" s="299">
        <f t="shared" ca="1" si="4"/>
        <v>2550.5282727769209</v>
      </c>
      <c r="P21" s="299">
        <f t="shared" ca="1" si="4"/>
        <v>3023.4683419359126</v>
      </c>
      <c r="Q21" s="299">
        <f t="shared" ca="1" si="4"/>
        <v>3336.5153063093135</v>
      </c>
      <c r="R21" s="299">
        <f t="shared" ca="1" si="4"/>
        <v>3721.5895644609104</v>
      </c>
      <c r="S21" s="299">
        <f t="shared" ca="1" si="4"/>
        <v>4329.0538747953515</v>
      </c>
      <c r="T21" s="299">
        <f t="shared" ca="1" si="4"/>
        <v>4187.9082546422624</v>
      </c>
      <c r="U21" s="299">
        <f t="shared" ca="1" si="4"/>
        <v>4963.6489197645797</v>
      </c>
      <c r="V21" s="299">
        <f t="shared" ca="1" si="4"/>
        <v>5365.1242683287192</v>
      </c>
      <c r="W21" s="299">
        <f t="shared" ca="1" si="4"/>
        <v>5646.5062931033744</v>
      </c>
      <c r="X21" s="299">
        <f t="shared" ca="1" si="4"/>
        <v>5888.5457074808946</v>
      </c>
      <c r="Y21" s="299">
        <f ca="1">Y19*Y20</f>
        <v>6150.8710535393657</v>
      </c>
      <c r="Z21" s="299">
        <f ca="1">Z19*Z20</f>
        <v>2053.1907382391678</v>
      </c>
      <c r="AA21" s="474">
        <f ca="1">SUM(E21:Z21)</f>
        <v>54233.387908379693</v>
      </c>
    </row>
    <row r="22" spans="1:28">
      <c r="A22" s="464"/>
      <c r="C22" s="8"/>
      <c r="D22" s="8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476"/>
    </row>
    <row r="23" spans="1:28">
      <c r="A23" s="146" t="s">
        <v>510</v>
      </c>
      <c r="C23" s="8"/>
      <c r="D23" s="8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476"/>
    </row>
    <row r="24" spans="1:28">
      <c r="A24" s="139" t="s">
        <v>350</v>
      </c>
      <c r="C24" s="8"/>
      <c r="D24" s="282" t="s">
        <v>182</v>
      </c>
      <c r="E24" s="299">
        <f ca="1">Returns!E26</f>
        <v>0</v>
      </c>
      <c r="F24" s="299">
        <f ca="1">Returns!F26</f>
        <v>0</v>
      </c>
      <c r="G24" s="299">
        <f ca="1">Returns!G26</f>
        <v>0</v>
      </c>
      <c r="H24" s="299">
        <f ca="1">Returns!H26</f>
        <v>0</v>
      </c>
      <c r="I24" s="299">
        <f ca="1">Returns!I26</f>
        <v>-3.4106051316484801E-14</v>
      </c>
      <c r="J24" s="299">
        <f ca="1">Returns!J26</f>
        <v>1.7053025658242401E-14</v>
      </c>
      <c r="K24" s="299">
        <f ca="1">Returns!K26</f>
        <v>3.4106051316484801E-14</v>
      </c>
      <c r="L24" s="299">
        <f ca="1">Returns!L26</f>
        <v>1.7053025658242401E-14</v>
      </c>
      <c r="M24" s="299">
        <f ca="1">Returns!M26</f>
        <v>-72.086752948473276</v>
      </c>
      <c r="N24" s="299">
        <f ca="1">Returns!N26</f>
        <v>-267.98073468611034</v>
      </c>
      <c r="O24" s="299">
        <f ca="1">Returns!O26</f>
        <v>-302.87523239225948</v>
      </c>
      <c r="P24" s="299">
        <f ca="1">Returns!P26</f>
        <v>-359.03686560488978</v>
      </c>
      <c r="Q24" s="299">
        <f ca="1">Returns!Q26</f>
        <v>-396.21119262423088</v>
      </c>
      <c r="R24" s="299">
        <f ca="1">Returns!R26</f>
        <v>-441.938760779733</v>
      </c>
      <c r="S24" s="299">
        <f ca="1">Returns!S26</f>
        <v>-514.07514763194808</v>
      </c>
      <c r="T24" s="299">
        <f ca="1">Returns!T26</f>
        <v>-497.31410523876872</v>
      </c>
      <c r="U24" s="299">
        <f ca="1">Returns!U26</f>
        <v>-589.43330922204359</v>
      </c>
      <c r="V24" s="299">
        <f ca="1">Returns!V26</f>
        <v>-637.10850686403523</v>
      </c>
      <c r="W24" s="299">
        <f ca="1">Returns!W26</f>
        <v>-670.52262230602571</v>
      </c>
      <c r="X24" s="299">
        <f ca="1">Returns!X26</f>
        <v>-699.2648027633561</v>
      </c>
      <c r="Y24" s="299">
        <f ca="1">Returns!Y26</f>
        <v>-730.41593760779972</v>
      </c>
      <c r="Z24" s="299">
        <f ca="1">Returns!Z26</f>
        <v>-2448.200180709302</v>
      </c>
      <c r="AA24" s="474">
        <f t="shared" ref="AA24:AA37" ca="1" si="5">SUM(E24:Z24)</f>
        <v>-8626.4641513789757</v>
      </c>
      <c r="AB24" s="302" t="str">
        <f ca="1">IF(SUM(AA24-Returns!AA26)=0," ","Check")</f>
        <v xml:space="preserve"> </v>
      </c>
    </row>
    <row r="25" spans="1:28">
      <c r="A25" s="139" t="s">
        <v>358</v>
      </c>
      <c r="C25" s="8"/>
      <c r="D25" s="282" t="s">
        <v>182</v>
      </c>
      <c r="E25" s="299">
        <f ca="1">IF(E$7&lt;YEAR(Startops1),0,Returns!E30)*E$9/12</f>
        <v>0</v>
      </c>
      <c r="F25" s="299">
        <f ca="1">IF(F$7&lt;YEAR(Startops1),0,Returns!F30)*F$9/12</f>
        <v>0</v>
      </c>
      <c r="G25" s="299">
        <f ca="1">IF(G$7&lt;YEAR(Startops1),0,Returns!G30)*G$9/12</f>
        <v>0</v>
      </c>
      <c r="H25" s="299">
        <f ca="1">IF(H$7&lt;YEAR(Startops1),0,Returns!H30)*H$9/12</f>
        <v>-148.46874254048572</v>
      </c>
      <c r="I25" s="299">
        <f ca="1">IF(I$7&lt;YEAR(Startops1),0,Returns!I30)*I$9/12</f>
        <v>-170.90099248525109</v>
      </c>
      <c r="J25" s="299">
        <f ca="1">IF(J$7&lt;YEAR(Startops1),0,Returns!J30)*J$9/12</f>
        <v>-159.68277678015039</v>
      </c>
      <c r="K25" s="299">
        <f ca="1">IF(K$7&lt;YEAR(Startops1),0,Returns!K30)*K$9/12</f>
        <v>-155.36509858185593</v>
      </c>
      <c r="L25" s="299">
        <f ca="1">IF(L$7&lt;YEAR(Startops1),0,Returns!L30)*L$9/12</f>
        <v>-163.17274725652751</v>
      </c>
      <c r="M25" s="299">
        <f ca="1">IF(M$7&lt;YEAR(Startops1),0,Returns!M30)*M$9/12</f>
        <v>-176.60484877292501</v>
      </c>
      <c r="N25" s="299">
        <f ca="1">IF(N$7&lt;YEAR(Startops1),0,Returns!N30)*N$9/12</f>
        <v>-182.59281783737575</v>
      </c>
      <c r="O25" s="299">
        <f ca="1">IF(O$7&lt;YEAR(Startops1),0,Returns!O30)*O$9/12</f>
        <v>-183.81910724014156</v>
      </c>
      <c r="P25" s="299">
        <f ca="1">IF(P$7&lt;YEAR(Startops1),0,Returns!P30)*P$9/12</f>
        <v>-185.25201806624966</v>
      </c>
      <c r="Q25" s="299">
        <f ca="1">IF(Q$7&lt;YEAR(Startops1),0,Returns!Q30)*Q$9/12</f>
        <v>-186.86810122534209</v>
      </c>
      <c r="R25" s="299">
        <f ca="1">IF(R$7&lt;YEAR(Startops1),0,Returns!R30)*R$9/12</f>
        <v>-188.66471696454724</v>
      </c>
      <c r="S25" s="299">
        <f ca="1">IF(S$7&lt;YEAR(Startops1),0,Returns!S30)*S$9/12</f>
        <v>-190.72799985022255</v>
      </c>
      <c r="T25" s="299">
        <f ca="1">IF(T$7&lt;YEAR(Startops1),0,Returns!T30)*T$9/12</f>
        <v>-192.84547824756919</v>
      </c>
      <c r="U25" s="299">
        <f ca="1">IF(U$7&lt;YEAR(Startops1),0,Returns!U30)*U$9/12</f>
        <v>-195.19801259659778</v>
      </c>
      <c r="V25" s="299">
        <f ca="1">IF(V$7&lt;YEAR(Startops1),0,Returns!V30)*V$9/12</f>
        <v>-197.81366217266813</v>
      </c>
      <c r="W25" s="299">
        <f ca="1">IF(W$7&lt;YEAR(Startops1),0,Returns!W30)*W$9/12</f>
        <v>-200.5900183150907</v>
      </c>
      <c r="X25" s="299">
        <f ca="1">IF(X$7&lt;YEAR(Startops1),0,Returns!X30)*X$9/12</f>
        <v>-203.49395126643492</v>
      </c>
      <c r="Y25" s="299">
        <f ca="1">IF(Y$7&lt;YEAR(Startops1),0,Returns!Y30)*Y$9/12</f>
        <v>-206.5256659021949</v>
      </c>
      <c r="Z25" s="299">
        <f ca="1">IF(Z$7&lt;YEAR(Startops1),0,Returns!Z30)*Z$9/12</f>
        <v>-49.703147351000212</v>
      </c>
      <c r="AA25" s="474">
        <f t="shared" ca="1" si="5"/>
        <v>-3338.2899034526304</v>
      </c>
    </row>
    <row r="26" spans="1:28">
      <c r="A26" s="139" t="s">
        <v>357</v>
      </c>
      <c r="C26" s="8"/>
      <c r="D26" s="282" t="s">
        <v>182</v>
      </c>
      <c r="E26" s="299">
        <f ca="1">IF(E$7&lt;YEAR(Startops1),0,(Returns!$AA$30-$AA25)*E$9/$AA$9)</f>
        <v>0</v>
      </c>
      <c r="F26" s="299">
        <f ca="1">IF(F$7&lt;YEAR(Startops1),0,(Returns!$AA$30-$AA25)*F$9/$AA$9)</f>
        <v>0</v>
      </c>
      <c r="G26" s="299">
        <f ca="1">IF(G$7&lt;YEAR(Startops1),0,(Returns!$AA$30-$AA25)*G$9/$AA$9)</f>
        <v>0</v>
      </c>
      <c r="H26" s="299">
        <f ca="1">IF(H$7&lt;YEAR(Startops1),0,(Returns!$AA$30-$AA25)*H$9/$AA$9)</f>
        <v>-18.358580383949445</v>
      </c>
      <c r="I26" s="299">
        <f ca="1">IF(I$7&lt;YEAR(Startops1),0,(Returns!$AA$30-$AA25)*I$9/$AA$9)</f>
        <v>-22.030296460739336</v>
      </c>
      <c r="J26" s="299">
        <f ca="1">IF(J$7&lt;YEAR(Startops1),0,(Returns!$AA$30-$AA25)*J$9/$AA$9)</f>
        <v>-22.030296460739336</v>
      </c>
      <c r="K26" s="299">
        <f ca="1">IF(K$7&lt;YEAR(Startops1),0,(Returns!$AA$30-$AA25)*K$9/$AA$9)</f>
        <v>-22.030296460739336</v>
      </c>
      <c r="L26" s="299">
        <f ca="1">IF(L$7&lt;YEAR(Startops1),0,(Returns!$AA$30-$AA25)*L$9/$AA$9)</f>
        <v>-22.030296460739336</v>
      </c>
      <c r="M26" s="299">
        <f ca="1">IF(M$7&lt;YEAR(Startops1),0,(Returns!$AA$30-$AA25)*M$9/$AA$9)</f>
        <v>-22.030296460739336</v>
      </c>
      <c r="N26" s="299">
        <f ca="1">IF(N$7&lt;YEAR(Startops1),0,(Returns!$AA$30-$AA25)*N$9/$AA$9)</f>
        <v>-22.030296460739336</v>
      </c>
      <c r="O26" s="299">
        <f ca="1">IF(O$7&lt;YEAR(Startops1),0,(Returns!$AA$30-$AA25)*O$9/$AA$9)</f>
        <v>-22.030296460739336</v>
      </c>
      <c r="P26" s="299">
        <f ca="1">IF(P$7&lt;YEAR(Startops1),0,(Returns!$AA$30-$AA25)*P$9/$AA$9)</f>
        <v>-22.030296460739336</v>
      </c>
      <c r="Q26" s="299">
        <f ca="1">IF(Q$7&lt;YEAR(Startops1),0,(Returns!$AA$30-$AA25)*Q$9/$AA$9)</f>
        <v>-22.030296460739336</v>
      </c>
      <c r="R26" s="299">
        <f ca="1">IF(R$7&lt;YEAR(Startops1),0,(Returns!$AA$30-$AA25)*R$9/$AA$9)</f>
        <v>-22.030296460739336</v>
      </c>
      <c r="S26" s="299">
        <f ca="1">IF(S$7&lt;YEAR(Startops1),0,(Returns!$AA$30-$AA25)*S$9/$AA$9)</f>
        <v>-22.030296460739336</v>
      </c>
      <c r="T26" s="299">
        <f ca="1">IF(T$7&lt;YEAR(Startops1),0,(Returns!$AA$30-$AA25)*T$9/$AA$9)</f>
        <v>-22.030296460739336</v>
      </c>
      <c r="U26" s="299">
        <f ca="1">IF(U$7&lt;YEAR(Startops1),0,(Returns!$AA$30-$AA25)*U$9/$AA$9)</f>
        <v>-22.030296460739336</v>
      </c>
      <c r="V26" s="299">
        <f ca="1">IF(V$7&lt;YEAR(Startops1),0,(Returns!$AA$30-$AA25)*V$9/$AA$9)</f>
        <v>-22.030296460739336</v>
      </c>
      <c r="W26" s="299">
        <f ca="1">IF(W$7&lt;YEAR(Startops1),0,(Returns!$AA$30-$AA25)*W$9/$AA$9)</f>
        <v>-22.030296460739336</v>
      </c>
      <c r="X26" s="299">
        <f ca="1">IF(X$7&lt;YEAR(Startops1),0,(Returns!$AA$30-$AA25)*X$9/$AA$9)</f>
        <v>-22.030296460739336</v>
      </c>
      <c r="Y26" s="299">
        <f ca="1">IF(Y$7&lt;YEAR(Startops1),0,(Returns!$AA$30-$AA25)*Y$9/$AA$9)</f>
        <v>-22.030296460739336</v>
      </c>
      <c r="Z26" s="299">
        <f ca="1">IF(Z$7&lt;YEAR(Startops1),0,(Returns!$AA$30-$AA25)*Z$9/$AA$9)</f>
        <v>-7.3434321535797782</v>
      </c>
      <c r="AA26" s="477">
        <f t="shared" ca="1" si="5"/>
        <v>-400.21705237009809</v>
      </c>
      <c r="AB26" s="302" t="str">
        <f ca="1">IF(SUM(AA26+AA25-Returns!AA30)=0," ","Check")</f>
        <v xml:space="preserve"> </v>
      </c>
    </row>
    <row r="27" spans="1:28">
      <c r="A27" s="139" t="s">
        <v>190</v>
      </c>
      <c r="C27" s="8"/>
      <c r="D27" s="282" t="s">
        <v>182</v>
      </c>
      <c r="E27" s="156">
        <f ca="1">Returns!E31*(1-Returns!$A$25)</f>
        <v>748.71223187580858</v>
      </c>
      <c r="F27" s="156">
        <f ca="1">Returns!F31*(1-Returns!$A$25)</f>
        <v>3165.0875463710936</v>
      </c>
      <c r="G27" s="156">
        <f ca="1">Returns!G31*(1-Returns!$A$25)</f>
        <v>447.66362175309808</v>
      </c>
      <c r="H27" s="156">
        <f ca="1">Returns!H31*(1-Returns!$A$25)</f>
        <v>0</v>
      </c>
      <c r="I27" s="156">
        <f ca="1">Returns!I31*(1-Returns!$A$25)</f>
        <v>0</v>
      </c>
      <c r="J27" s="156">
        <f ca="1">Returns!J31*(1-Returns!$A$25)</f>
        <v>0</v>
      </c>
      <c r="K27" s="156">
        <f ca="1">Returns!K31*(1-Returns!$A$25)</f>
        <v>0</v>
      </c>
      <c r="L27" s="156">
        <f ca="1">Returns!L31*(1-Returns!$A$25)</f>
        <v>0</v>
      </c>
      <c r="M27" s="156">
        <f ca="1">Returns!M31*(1-Returns!$A$25)</f>
        <v>0</v>
      </c>
      <c r="N27" s="156">
        <f ca="1">Returns!N31*(1-Returns!$A$25)</f>
        <v>0</v>
      </c>
      <c r="O27" s="156">
        <f ca="1">Returns!O31*(1-Returns!$A$25)</f>
        <v>0</v>
      </c>
      <c r="P27" s="156">
        <f ca="1">Returns!P31*(1-Returns!$A$25)</f>
        <v>0</v>
      </c>
      <c r="Q27" s="156">
        <f ca="1">Returns!Q31*(1-Returns!$A$25)</f>
        <v>0</v>
      </c>
      <c r="R27" s="156">
        <f ca="1">Returns!R31*(1-Returns!$A$25)</f>
        <v>0</v>
      </c>
      <c r="S27" s="156">
        <f ca="1">Returns!S31*(1-Returns!$A$25)</f>
        <v>0</v>
      </c>
      <c r="T27" s="156">
        <f ca="1">Returns!T31*(1-Returns!$A$25)</f>
        <v>0</v>
      </c>
      <c r="U27" s="156">
        <f ca="1">Returns!U31*(1-Returns!$A$25)</f>
        <v>0</v>
      </c>
      <c r="V27" s="156">
        <f ca="1">Returns!V31*(1-Returns!$A$25)</f>
        <v>0</v>
      </c>
      <c r="W27" s="156">
        <f ca="1">Returns!W31*(1-Returns!$A$25)</f>
        <v>0</v>
      </c>
      <c r="X27" s="156">
        <f ca="1">Returns!X31*(1-Returns!$A$25)</f>
        <v>0</v>
      </c>
      <c r="Y27" s="156">
        <f ca="1">Returns!Y31*(1-Returns!$A$25)</f>
        <v>0</v>
      </c>
      <c r="Z27" s="156">
        <f ca="1">Returns!Z31*(1-Returns!$A$25)</f>
        <v>0</v>
      </c>
      <c r="AA27" s="474">
        <f t="shared" ca="1" si="5"/>
        <v>4361.4633999999996</v>
      </c>
      <c r="AB27" s="302" t="str">
        <f ca="1">IF(ROUND(AA27+AA28-Returns!AA31,2)=0," ","Check")</f>
        <v xml:space="preserve"> </v>
      </c>
    </row>
    <row r="28" spans="1:28">
      <c r="A28" s="139" t="s">
        <v>191</v>
      </c>
      <c r="C28" s="8"/>
      <c r="D28" s="282" t="s">
        <v>182</v>
      </c>
      <c r="E28" s="156">
        <f ca="1">(Returns!$AA$31-$AA27)*E$9/$AA$9</f>
        <v>0</v>
      </c>
      <c r="F28" s="156">
        <f ca="1">(Returns!$AA$31-$AA27)*F$9/$AA$9</f>
        <v>0</v>
      </c>
      <c r="G28" s="156">
        <f ca="1">(Returns!$AA$31-$AA27)*G$9/$AA$9</f>
        <v>0</v>
      </c>
      <c r="H28" s="156">
        <f ca="1">(Returns!$AA$31-$AA27)*H$9/$AA$9</f>
        <v>85.743055045871586</v>
      </c>
      <c r="I28" s="156">
        <f ca="1">(Returns!$AA$31-$AA27)*I$9/$AA$9</f>
        <v>102.8916660550459</v>
      </c>
      <c r="J28" s="156">
        <f ca="1">(Returns!$AA$31-$AA27)*J$9/$AA$9</f>
        <v>102.8916660550459</v>
      </c>
      <c r="K28" s="156">
        <f ca="1">(Returns!$AA$31-$AA27)*K$9/$AA$9</f>
        <v>102.8916660550459</v>
      </c>
      <c r="L28" s="156">
        <f ca="1">(Returns!$AA$31-$AA27)*L$9/$AA$9</f>
        <v>102.8916660550459</v>
      </c>
      <c r="M28" s="156">
        <f ca="1">(Returns!$AA$31-$AA27)*M$9/$AA$9</f>
        <v>102.8916660550459</v>
      </c>
      <c r="N28" s="156">
        <f ca="1">(Returns!$AA$31-$AA27)*N$9/$AA$9</f>
        <v>102.8916660550459</v>
      </c>
      <c r="O28" s="156">
        <f ca="1">(Returns!$AA$31-$AA27)*O$9/$AA$9</f>
        <v>102.8916660550459</v>
      </c>
      <c r="P28" s="156">
        <f ca="1">(Returns!$AA$31-$AA27)*P$9/$AA$9</f>
        <v>102.8916660550459</v>
      </c>
      <c r="Q28" s="156">
        <f ca="1">(Returns!$AA$31-$AA27)*Q$9/$AA$9</f>
        <v>102.8916660550459</v>
      </c>
      <c r="R28" s="156">
        <f ca="1">(Returns!$AA$31-$AA27)*R$9/$AA$9</f>
        <v>102.8916660550459</v>
      </c>
      <c r="S28" s="156">
        <f ca="1">(Returns!$AA$31-$AA27)*S$9/$AA$9</f>
        <v>102.8916660550459</v>
      </c>
      <c r="T28" s="156">
        <f ca="1">(Returns!$AA$31-$AA27)*T$9/$AA$9</f>
        <v>102.8916660550459</v>
      </c>
      <c r="U28" s="156">
        <f ca="1">(Returns!$AA$31-$AA27)*U$9/$AA$9</f>
        <v>102.8916660550459</v>
      </c>
      <c r="V28" s="156">
        <f ca="1">(Returns!$AA$31-$AA27)*V$9/$AA$9</f>
        <v>102.8916660550459</v>
      </c>
      <c r="W28" s="156">
        <f ca="1">(Returns!$AA$31-$AA27)*W$9/$AA$9</f>
        <v>102.8916660550459</v>
      </c>
      <c r="X28" s="156">
        <f ca="1">(Returns!$AA$31-$AA27)*X$9/$AA$9</f>
        <v>102.8916660550459</v>
      </c>
      <c r="Y28" s="156">
        <f ca="1">(Returns!$AA$31-$AA27)*Y$9/$AA$9</f>
        <v>102.8916660550459</v>
      </c>
      <c r="Z28" s="156">
        <f ca="1">(Returns!$AA$31-$AA27)*Z$9/$AA$9</f>
        <v>34.297222018348634</v>
      </c>
      <c r="AA28" s="474">
        <f t="shared" ca="1" si="5"/>
        <v>1869.1985999999997</v>
      </c>
      <c r="AB28" s="69"/>
    </row>
    <row r="29" spans="1:28">
      <c r="A29" s="139" t="s">
        <v>656</v>
      </c>
      <c r="C29" s="8"/>
      <c r="D29" s="282" t="s">
        <v>182</v>
      </c>
      <c r="E29" s="383">
        <f ca="1">-SUM(E27:E28)*Wh_Serv</f>
        <v>-93.589028984476073</v>
      </c>
      <c r="F29" s="383">
        <f t="shared" ref="F29:X29" ca="1" si="6">-SUM(F27:F28)*Wh_Serv</f>
        <v>-395.6359432963867</v>
      </c>
      <c r="G29" s="383">
        <f t="shared" ca="1" si="6"/>
        <v>-55.957952719137261</v>
      </c>
      <c r="H29" s="383">
        <f t="shared" ca="1" si="6"/>
        <v>-10.717881880733948</v>
      </c>
      <c r="I29" s="383">
        <f t="shared" ca="1" si="6"/>
        <v>-12.861458256880738</v>
      </c>
      <c r="J29" s="383">
        <f t="shared" ca="1" si="6"/>
        <v>-12.861458256880738</v>
      </c>
      <c r="K29" s="383">
        <f t="shared" ca="1" si="6"/>
        <v>-12.861458256880738</v>
      </c>
      <c r="L29" s="383">
        <f t="shared" ca="1" si="6"/>
        <v>-12.861458256880738</v>
      </c>
      <c r="M29" s="383">
        <f t="shared" ca="1" si="6"/>
        <v>-12.861458256880738</v>
      </c>
      <c r="N29" s="383">
        <f t="shared" ca="1" si="6"/>
        <v>-12.861458256880738</v>
      </c>
      <c r="O29" s="383">
        <f t="shared" ca="1" si="6"/>
        <v>-12.861458256880738</v>
      </c>
      <c r="P29" s="383">
        <f t="shared" ca="1" si="6"/>
        <v>-12.861458256880738</v>
      </c>
      <c r="Q29" s="383">
        <f t="shared" ca="1" si="6"/>
        <v>-12.861458256880738</v>
      </c>
      <c r="R29" s="383">
        <f t="shared" ca="1" si="6"/>
        <v>-12.861458256880738</v>
      </c>
      <c r="S29" s="383">
        <f t="shared" ca="1" si="6"/>
        <v>-12.861458256880738</v>
      </c>
      <c r="T29" s="383">
        <f t="shared" ca="1" si="6"/>
        <v>-12.861458256880738</v>
      </c>
      <c r="U29" s="383">
        <f t="shared" ca="1" si="6"/>
        <v>-12.861458256880738</v>
      </c>
      <c r="V29" s="383">
        <f t="shared" ca="1" si="6"/>
        <v>-12.861458256880738</v>
      </c>
      <c r="W29" s="383">
        <f t="shared" ca="1" si="6"/>
        <v>-12.861458256880738</v>
      </c>
      <c r="X29" s="383">
        <f t="shared" ca="1" si="6"/>
        <v>-12.861458256880738</v>
      </c>
      <c r="Y29" s="383">
        <f ca="1">-SUM(Y27:Y28)*Wh_Serv</f>
        <v>-12.861458256880738</v>
      </c>
      <c r="Z29" s="383">
        <f ca="1">-SUM(Z27:Z28)*Wh_Serv</f>
        <v>-4.2871527522935793</v>
      </c>
      <c r="AA29" s="478">
        <f t="shared" ca="1" si="5"/>
        <v>-778.83274999999969</v>
      </c>
      <c r="AB29" s="302" t="str">
        <f ca="1">IF(ROUND(AA29-Returns!AA32,5)=0," ","Check")</f>
        <v xml:space="preserve"> </v>
      </c>
    </row>
    <row r="30" spans="1:28" s="240" customFormat="1">
      <c r="A30" s="163" t="s">
        <v>999</v>
      </c>
      <c r="B30" s="23"/>
      <c r="C30" s="23"/>
      <c r="D30" s="1112" t="s">
        <v>182</v>
      </c>
      <c r="E30" s="383">
        <f ca="1">IF(E$7&gt;=YEAR(Startops1),-Assm!$R$80/$AA$9*E9,0)</f>
        <v>0</v>
      </c>
      <c r="F30" s="383">
        <f ca="1">IF(F$7&gt;=YEAR(Startops1),-Assm!$R$80/$AA$9*F9,0)</f>
        <v>0</v>
      </c>
      <c r="G30" s="383">
        <f ca="1">IF(G$7&gt;=YEAR(Startops1),-Assm!$R$80/$AA$9*G9,0)</f>
        <v>0</v>
      </c>
      <c r="H30" s="383">
        <f ca="1">IF(H$7&gt;=YEAR(Startops1),-Assm!$R$80/$AA$9*H9,0)</f>
        <v>-7.7136807286246469</v>
      </c>
      <c r="I30" s="383">
        <f ca="1">IF(I$7&gt;=YEAR(Startops1),-Assm!$R$80/$AA$9*I9,0)</f>
        <v>-9.2564168743495756</v>
      </c>
      <c r="J30" s="383">
        <f ca="1">IF(J$7&gt;=YEAR(Startops1),-Assm!$R$80/$AA$9*J9,0)</f>
        <v>-9.2564168743495756</v>
      </c>
      <c r="K30" s="383">
        <f ca="1">IF(K$7&gt;=YEAR(Startops1),-Assm!$R$80/$AA$9*K9,0)</f>
        <v>-9.2564168743495756</v>
      </c>
      <c r="L30" s="383">
        <f ca="1">IF(L$7&gt;=YEAR(Startops1),-Assm!$R$80/$AA$9*L9,0)</f>
        <v>-9.2564168743495756</v>
      </c>
      <c r="M30" s="383">
        <f ca="1">IF(M$7&gt;=YEAR(Startops1),-Assm!$R$80/$AA$9*M9,0)</f>
        <v>-9.2564168743495756</v>
      </c>
      <c r="N30" s="383">
        <f ca="1">IF(N$7&gt;=YEAR(Startops1),-Assm!$R$80/$AA$9*N9,0)</f>
        <v>-9.2564168743495756</v>
      </c>
      <c r="O30" s="383">
        <f ca="1">IF(O$7&gt;=YEAR(Startops1),-Assm!$R$80/$AA$9*O9,0)</f>
        <v>-9.2564168743495756</v>
      </c>
      <c r="P30" s="383">
        <f ca="1">IF(P$7&gt;=YEAR(Startops1),-Assm!$R$80/$AA$9*P9,0)</f>
        <v>-9.2564168743495756</v>
      </c>
      <c r="Q30" s="383">
        <f ca="1">IF(Q$7&gt;=YEAR(Startops1),-Assm!$R$80/$AA$9*Q9,0)</f>
        <v>-9.2564168743495756</v>
      </c>
      <c r="R30" s="383">
        <f ca="1">IF(R$7&gt;=YEAR(Startops1),-Assm!$R$80/$AA$9*R9,0)</f>
        <v>-9.2564168743495756</v>
      </c>
      <c r="S30" s="383">
        <f ca="1">IF(S$7&gt;=YEAR(Startops1),-Assm!$R$80/$AA$9*S9,0)</f>
        <v>-9.2564168743495756</v>
      </c>
      <c r="T30" s="383">
        <f ca="1">IF(T$7&gt;=YEAR(Startops1),-Assm!$R$80/$AA$9*T9,0)</f>
        <v>-9.2564168743495756</v>
      </c>
      <c r="U30" s="383">
        <f ca="1">IF(U$7&gt;=YEAR(Startops1),-Assm!$R$80/$AA$9*U9,0)</f>
        <v>-9.2564168743495756</v>
      </c>
      <c r="V30" s="383">
        <f ca="1">IF(V$7&gt;=YEAR(Startops1),-Assm!$R$80/$AA$9*V9,0)</f>
        <v>-9.2564168743495756</v>
      </c>
      <c r="W30" s="383">
        <f ca="1">IF(W$7&gt;=YEAR(Startops1),-Assm!$R$80/$AA$9*W9,0)</f>
        <v>-9.2564168743495756</v>
      </c>
      <c r="X30" s="383">
        <f ca="1">IF(X$7&gt;=YEAR(Startops1),-Assm!$R$80/$AA$9*X9,0)</f>
        <v>-9.2564168743495756</v>
      </c>
      <c r="Y30" s="383">
        <f ca="1">IF(Y$7&gt;=YEAR(Startops1),-Assm!$R$80/$AA$9*Y9,0)</f>
        <v>-9.2564168743495756</v>
      </c>
      <c r="Z30" s="383">
        <f ca="1">IF(Z$7&gt;=YEAR(Startops1),-Assm!$R$80/$AA$9*Z9,0)</f>
        <v>-3.0854722914498587</v>
      </c>
      <c r="AA30" s="478">
        <f ca="1">SUM(E30:Z30)</f>
        <v>-168.15823988401735</v>
      </c>
      <c r="AB30" s="302"/>
    </row>
    <row r="31" spans="1:28" s="240" customFormat="1">
      <c r="A31" s="163" t="s">
        <v>1000</v>
      </c>
      <c r="B31" s="23"/>
      <c r="C31" s="23"/>
      <c r="D31" s="1112" t="s">
        <v>182</v>
      </c>
      <c r="E31" s="383">
        <f ca="1">IF(E$7&gt;=YEAR(Startops1),-Assm!$R$81/$AA$9*E9,0)</f>
        <v>0</v>
      </c>
      <c r="F31" s="383">
        <f ca="1">IF(F$7&gt;=YEAR(Startops1),-Assm!$R$81/$AA$9*F9,0)</f>
        <v>0</v>
      </c>
      <c r="G31" s="383">
        <f ca="1">IF(G$7&gt;=YEAR(Startops1),-Assm!$R$81/$AA$9*G9,0)</f>
        <v>0</v>
      </c>
      <c r="H31" s="383">
        <f ca="1">IF(H$7&gt;=YEAR(Startops1),-Assm!$R$81/$AA$9*H9,0)</f>
        <v>-31.100917431192659</v>
      </c>
      <c r="I31" s="383">
        <f ca="1">IF(I$7&gt;=YEAR(Startops1),-Assm!$R$81/$AA$9*I9,0)</f>
        <v>-37.321100917431188</v>
      </c>
      <c r="J31" s="383">
        <f ca="1">IF(J$7&gt;=YEAR(Startops1),-Assm!$R$81/$AA$9*J9,0)</f>
        <v>-37.321100917431188</v>
      </c>
      <c r="K31" s="383">
        <f ca="1">IF(K$7&gt;=YEAR(Startops1),-Assm!$R$81/$AA$9*K9,0)</f>
        <v>-37.321100917431188</v>
      </c>
      <c r="L31" s="383">
        <f ca="1">IF(L$7&gt;=YEAR(Startops1),-Assm!$R$81/$AA$9*L9,0)</f>
        <v>-37.321100917431188</v>
      </c>
      <c r="M31" s="383">
        <f ca="1">IF(M$7&gt;=YEAR(Startops1),-Assm!$R$81/$AA$9*M9,0)</f>
        <v>-37.321100917431188</v>
      </c>
      <c r="N31" s="383">
        <f ca="1">IF(N$7&gt;=YEAR(Startops1),-Assm!$R$81/$AA$9*N9,0)</f>
        <v>-37.321100917431188</v>
      </c>
      <c r="O31" s="383">
        <f ca="1">IF(O$7&gt;=YEAR(Startops1),-Assm!$R$81/$AA$9*O9,0)</f>
        <v>-37.321100917431188</v>
      </c>
      <c r="P31" s="383">
        <f ca="1">IF(P$7&gt;=YEAR(Startops1),-Assm!$R$81/$AA$9*P9,0)</f>
        <v>-37.321100917431188</v>
      </c>
      <c r="Q31" s="383">
        <f ca="1">IF(Q$7&gt;=YEAR(Startops1),-Assm!$R$81/$AA$9*Q9,0)</f>
        <v>-37.321100917431188</v>
      </c>
      <c r="R31" s="383">
        <f ca="1">IF(R$7&gt;=YEAR(Startops1),-Assm!$R$81/$AA$9*R9,0)</f>
        <v>-37.321100917431188</v>
      </c>
      <c r="S31" s="383">
        <f ca="1">IF(S$7&gt;=YEAR(Startops1),-Assm!$R$81/$AA$9*S9,0)</f>
        <v>-37.321100917431188</v>
      </c>
      <c r="T31" s="383">
        <f ca="1">IF(T$7&gt;=YEAR(Startops1),-Assm!$R$81/$AA$9*T9,0)</f>
        <v>-37.321100917431188</v>
      </c>
      <c r="U31" s="383">
        <f ca="1">IF(U$7&gt;=YEAR(Startops1),-Assm!$R$81/$AA$9*U9,0)</f>
        <v>-37.321100917431188</v>
      </c>
      <c r="V31" s="383">
        <f ca="1">IF(V$7&gt;=YEAR(Startops1),-Assm!$R$81/$AA$9*V9,0)</f>
        <v>-37.321100917431188</v>
      </c>
      <c r="W31" s="383">
        <f ca="1">IF(W$7&gt;=YEAR(Startops1),-Assm!$R$81/$AA$9*W9,0)</f>
        <v>-37.321100917431188</v>
      </c>
      <c r="X31" s="383">
        <f ca="1">IF(X$7&gt;=YEAR(Startops1),-Assm!$R$81/$AA$9*X9,0)</f>
        <v>-37.321100917431188</v>
      </c>
      <c r="Y31" s="383">
        <f ca="1">IF(Y$7&gt;=YEAR(Startops1),-Assm!$R$81/$AA$9*Y9,0)</f>
        <v>-37.321100917431188</v>
      </c>
      <c r="Z31" s="383">
        <f ca="1">IF(Z$7&gt;=YEAR(Startops1),-Assm!$R$81/$AA$9*Z9,0)</f>
        <v>-12.440366972477063</v>
      </c>
      <c r="AA31" s="478">
        <f ca="1">SUM(E31:Z31)</f>
        <v>-677.99999999999977</v>
      </c>
      <c r="AB31" s="302"/>
    </row>
    <row r="32" spans="1:28">
      <c r="A32" s="139" t="s">
        <v>362</v>
      </c>
      <c r="C32" s="8"/>
      <c r="D32" s="282" t="s">
        <v>182</v>
      </c>
      <c r="E32" s="156">
        <f>Returns!E35*(1-Returns!$A$25)</f>
        <v>0</v>
      </c>
      <c r="F32" s="156">
        <f>Returns!F35*(1-Returns!$A$25)</f>
        <v>0</v>
      </c>
      <c r="G32" s="156">
        <f>Returns!G35*(1-Returns!$A$25)</f>
        <v>0</v>
      </c>
      <c r="H32" s="156">
        <f>Returns!H35*(1-Returns!$A$25)</f>
        <v>0</v>
      </c>
      <c r="I32" s="156">
        <f>Returns!I35*(1-Returns!$A$25)</f>
        <v>0</v>
      </c>
      <c r="J32" s="156">
        <f>Returns!J35*(1-Returns!$A$25)</f>
        <v>0</v>
      </c>
      <c r="K32" s="156">
        <f>Returns!K35*(1-Returns!$A$25)</f>
        <v>0</v>
      </c>
      <c r="L32" s="156">
        <f>Returns!L35*(1-Returns!$A$25)</f>
        <v>0</v>
      </c>
      <c r="M32" s="156">
        <f>Returns!M35*(1-Returns!$A$25)</f>
        <v>0</v>
      </c>
      <c r="N32" s="156">
        <f>Returns!N35*(1-Returns!$A$25)</f>
        <v>0</v>
      </c>
      <c r="O32" s="156">
        <f>Returns!O35*(1-Returns!$A$25)</f>
        <v>0</v>
      </c>
      <c r="P32" s="156">
        <f>Returns!P35*(1-Returns!$A$25)</f>
        <v>0</v>
      </c>
      <c r="Q32" s="156">
        <f>Returns!Q35*(1-Returns!$A$25)</f>
        <v>0</v>
      </c>
      <c r="R32" s="156">
        <f>Returns!R35*(1-Returns!$A$25)</f>
        <v>0</v>
      </c>
      <c r="S32" s="156">
        <f>Returns!S35*(1-Returns!$A$25)</f>
        <v>0</v>
      </c>
      <c r="T32" s="156">
        <f>Returns!T35*(1-Returns!$A$25)</f>
        <v>0</v>
      </c>
      <c r="U32" s="156">
        <f>Returns!U35*(1-Returns!$A$25)</f>
        <v>0</v>
      </c>
      <c r="V32" s="156">
        <f>Returns!V35*(1-Returns!$A$25)</f>
        <v>0</v>
      </c>
      <c r="W32" s="156">
        <f>Returns!W35*(1-Returns!$A$25)</f>
        <v>0</v>
      </c>
      <c r="X32" s="156">
        <f>Returns!X35*(1-Returns!$A$25)</f>
        <v>0</v>
      </c>
      <c r="Y32" s="156">
        <f>Returns!Y35*(1-Returns!$A$25)</f>
        <v>0</v>
      </c>
      <c r="Z32" s="156">
        <f>Returns!Z35*(1-Returns!$A$25)</f>
        <v>0</v>
      </c>
      <c r="AA32" s="474">
        <f t="shared" si="5"/>
        <v>0</v>
      </c>
      <c r="AB32" s="302" t="str">
        <f ca="1">IF(SUM(AA32+AA33-Returns!AA35)=0," ","Check")</f>
        <v xml:space="preserve"> </v>
      </c>
    </row>
    <row r="33" spans="1:28">
      <c r="A33" s="139" t="s">
        <v>363</v>
      </c>
      <c r="C33" s="8"/>
      <c r="D33" s="282" t="s">
        <v>182</v>
      </c>
      <c r="E33" s="301">
        <f ca="1">(Returns!$AA$35-$AA32)/Term*E$9/12</f>
        <v>0</v>
      </c>
      <c r="F33" s="301">
        <f ca="1">(Returns!$AA$35-$AA32)/Term*F$9/12</f>
        <v>0</v>
      </c>
      <c r="G33" s="301">
        <f ca="1">(Returns!$AA$35-$AA32)/Term*G$9/12</f>
        <v>0</v>
      </c>
      <c r="H33" s="301">
        <f ca="1">(Returns!$AA$35-$AA32)/Term*H$9/12</f>
        <v>0</v>
      </c>
      <c r="I33" s="301">
        <f ca="1">(Returns!$AA$35-$AA32)/Term*I$9/12</f>
        <v>0</v>
      </c>
      <c r="J33" s="301">
        <f ca="1">(Returns!$AA$35-$AA32)/Term*J$9/12</f>
        <v>0</v>
      </c>
      <c r="K33" s="301">
        <f ca="1">(Returns!$AA$35-$AA32)/Term*K$9/12</f>
        <v>0</v>
      </c>
      <c r="L33" s="301">
        <f ca="1">(Returns!$AA$35-$AA32)/Term*L$9/12</f>
        <v>0</v>
      </c>
      <c r="M33" s="301">
        <f ca="1">(Returns!$AA$35-$AA32)/Term*M$9/12</f>
        <v>0</v>
      </c>
      <c r="N33" s="301">
        <f ca="1">(Returns!$AA$35-$AA32)/Term*N$9/12</f>
        <v>0</v>
      </c>
      <c r="O33" s="301">
        <f ca="1">(Returns!$AA$35-$AA32)/Term*O$9/12</f>
        <v>0</v>
      </c>
      <c r="P33" s="301">
        <f ca="1">(Returns!$AA$35-$AA32)/Term*P$9/12</f>
        <v>0</v>
      </c>
      <c r="Q33" s="301">
        <f ca="1">(Returns!$AA$35-$AA32)/Term*Q$9/12</f>
        <v>0</v>
      </c>
      <c r="R33" s="301">
        <f ca="1">(Returns!$AA$35-$AA32)/Term*R$9/12</f>
        <v>0</v>
      </c>
      <c r="S33" s="301">
        <f ca="1">(Returns!$AA$35-$AA32)/Term*S$9/12</f>
        <v>0</v>
      </c>
      <c r="T33" s="301">
        <f ca="1">(Returns!$AA$35-$AA32)/Term*T$9/12</f>
        <v>0</v>
      </c>
      <c r="U33" s="301">
        <f ca="1">(Returns!$AA$35-$AA32)/Term*U$9/12</f>
        <v>0</v>
      </c>
      <c r="V33" s="301">
        <f ca="1">(Returns!$AA$35-$AA32)/Term*V$9/12</f>
        <v>0</v>
      </c>
      <c r="W33" s="301">
        <f ca="1">(Returns!$AA$35-$AA32)/Term*W$9/12</f>
        <v>0</v>
      </c>
      <c r="X33" s="301">
        <f ca="1">(Returns!$AA$35-$AA32)/Term*X$9/12</f>
        <v>0</v>
      </c>
      <c r="Y33" s="301">
        <f ca="1">(Returns!$AA$35-$AA32)/Term*Y$9/12</f>
        <v>0</v>
      </c>
      <c r="Z33" s="301">
        <f ca="1">(Returns!$AA$35-$AA32)/Term*Z$9/12</f>
        <v>0</v>
      </c>
      <c r="AA33" s="474">
        <f t="shared" ca="1" si="5"/>
        <v>0</v>
      </c>
      <c r="AB33" s="26"/>
    </row>
    <row r="34" spans="1:28">
      <c r="A34" s="465" t="s">
        <v>587</v>
      </c>
      <c r="C34" s="70"/>
      <c r="D34" s="282" t="s">
        <v>182</v>
      </c>
      <c r="E34" s="299">
        <f ca="1">Returns!E36</f>
        <v>0</v>
      </c>
      <c r="F34" s="299">
        <f ca="1">Returns!F36</f>
        <v>0</v>
      </c>
      <c r="G34" s="299">
        <f ca="1">Returns!G36</f>
        <v>0</v>
      </c>
      <c r="H34" s="299">
        <f ca="1">Returns!H36</f>
        <v>0</v>
      </c>
      <c r="I34" s="299">
        <f ca="1">Returns!I36</f>
        <v>0</v>
      </c>
      <c r="J34" s="299">
        <f ca="1">Returns!J36</f>
        <v>0</v>
      </c>
      <c r="K34" s="299">
        <f ca="1">Returns!K36</f>
        <v>0</v>
      </c>
      <c r="L34" s="299">
        <f ca="1">Returns!L36</f>
        <v>0</v>
      </c>
      <c r="M34" s="299">
        <f ca="1">Returns!M36</f>
        <v>0</v>
      </c>
      <c r="N34" s="299">
        <f ca="1">Returns!N36</f>
        <v>0</v>
      </c>
      <c r="O34" s="299">
        <f ca="1">Returns!O36</f>
        <v>0</v>
      </c>
      <c r="P34" s="299">
        <f ca="1">Returns!P36</f>
        <v>0</v>
      </c>
      <c r="Q34" s="299">
        <f ca="1">Returns!Q36</f>
        <v>0</v>
      </c>
      <c r="R34" s="299">
        <f ca="1">Returns!R36</f>
        <v>0</v>
      </c>
      <c r="S34" s="299">
        <f ca="1">Returns!S36</f>
        <v>0</v>
      </c>
      <c r="T34" s="299">
        <f ca="1">Returns!T36</f>
        <v>0</v>
      </c>
      <c r="U34" s="299">
        <f ca="1">Returns!U36</f>
        <v>0</v>
      </c>
      <c r="V34" s="299">
        <f ca="1">Returns!V36</f>
        <v>0</v>
      </c>
      <c r="W34" s="299">
        <f ca="1">Returns!W36</f>
        <v>0</v>
      </c>
      <c r="X34" s="299">
        <f ca="1">Returns!X36</f>
        <v>0</v>
      </c>
      <c r="Y34" s="299">
        <f ca="1">Returns!Y36</f>
        <v>0</v>
      </c>
      <c r="Z34" s="299">
        <f ca="1">Returns!Z36</f>
        <v>0</v>
      </c>
      <c r="AA34" s="474">
        <f t="shared" ca="1" si="5"/>
        <v>0</v>
      </c>
      <c r="AB34" s="302" t="str">
        <f ca="1">IF(SUM(AA34-Returns!AA36)=0," ","Check")</f>
        <v xml:space="preserve"> </v>
      </c>
    </row>
    <row r="35" spans="1:28">
      <c r="A35" s="465" t="s">
        <v>353</v>
      </c>
      <c r="C35" s="70"/>
      <c r="D35" s="282" t="s">
        <v>182</v>
      </c>
      <c r="E35" s="301">
        <f ca="1">Returns!E29</f>
        <v>0</v>
      </c>
      <c r="F35" s="301">
        <f ca="1">Returns!F29</f>
        <v>0</v>
      </c>
      <c r="G35" s="301">
        <f ca="1">Returns!G29</f>
        <v>0</v>
      </c>
      <c r="H35" s="301">
        <f ca="1">Returns!H29</f>
        <v>0</v>
      </c>
      <c r="I35" s="301">
        <f ca="1">Returns!I29</f>
        <v>-90.221171230796756</v>
      </c>
      <c r="J35" s="301">
        <f ca="1">Returns!J29</f>
        <v>-168.74395788198595</v>
      </c>
      <c r="K35" s="301">
        <f ca="1">Returns!K29</f>
        <v>-226.94076872631044</v>
      </c>
      <c r="L35" s="301">
        <f ca="1">Returns!L29</f>
        <v>-310.75931670261826</v>
      </c>
      <c r="M35" s="301">
        <f ca="1">Returns!M29</f>
        <v>-336.73514035126476</v>
      </c>
      <c r="N35" s="301">
        <f ca="1">Returns!N29</f>
        <v>-388.88854690891606</v>
      </c>
      <c r="O35" s="301">
        <f ca="1">Returns!O29</f>
        <v>-388.88854690891606</v>
      </c>
      <c r="P35" s="301">
        <f ca="1">Returns!P29</f>
        <v>-418.18402946491801</v>
      </c>
      <c r="Q35" s="301">
        <f ca="1">Returns!Q29</f>
        <v>-500.11386963572795</v>
      </c>
      <c r="R35" s="301">
        <f ca="1">Returns!R29</f>
        <v>-587.5050618703217</v>
      </c>
      <c r="S35" s="301">
        <f ca="1">Returns!S29</f>
        <v>-641.29871895426436</v>
      </c>
      <c r="T35" s="301">
        <f ca="1">Returns!T29</f>
        <v>-641.29871895426436</v>
      </c>
      <c r="U35" s="301">
        <f ca="1">Returns!U29</f>
        <v>-609.68451770471802</v>
      </c>
      <c r="V35" s="301">
        <f ca="1">Returns!V29</f>
        <v>-583.71799452994821</v>
      </c>
      <c r="W35" s="301">
        <f ca="1">Returns!W29</f>
        <v>-562.01200193031138</v>
      </c>
      <c r="X35" s="301">
        <f ca="1">Returns!X29</f>
        <v>-657.2463854049123</v>
      </c>
      <c r="Y35" s="301">
        <f ca="1">Returns!Y29</f>
        <v>-753.08586741545719</v>
      </c>
      <c r="Z35" s="301">
        <f ca="1">Returns!Z29</f>
        <v>-283.19372093038271</v>
      </c>
      <c r="AA35" s="474">
        <f t="shared" ca="1" si="5"/>
        <v>-8148.5183355060335</v>
      </c>
      <c r="AB35" s="302" t="str">
        <f ca="1">IF(SUM(AA35-Returns!AA29)=0," ","Check")</f>
        <v xml:space="preserve"> </v>
      </c>
    </row>
    <row r="36" spans="1:28">
      <c r="A36" s="139" t="s">
        <v>533</v>
      </c>
      <c r="C36" s="8"/>
      <c r="D36" s="8"/>
      <c r="E36" s="298">
        <f ca="1">-SUM(E23:E35)*USTax</f>
        <v>-242.39558506979304</v>
      </c>
      <c r="F36" s="298">
        <f t="shared" ref="F36:X36" ca="1" si="7">-SUM(F23:F35)*USTax</f>
        <v>-1024.6970931376416</v>
      </c>
      <c r="G36" s="298">
        <f t="shared" ca="1" si="7"/>
        <v>-144.93109754256551</v>
      </c>
      <c r="H36" s="298">
        <f t="shared" ca="1" si="7"/>
        <v>48.328196730072499</v>
      </c>
      <c r="I36" s="298">
        <f t="shared" ca="1" si="7"/>
        <v>88.688914963049029</v>
      </c>
      <c r="J36" s="298">
        <f t="shared" ca="1" si="7"/>
        <v>113.59160621310176</v>
      </c>
      <c r="K36" s="298">
        <f t="shared" ca="1" si="7"/>
        <v>133.52688529213287</v>
      </c>
      <c r="L36" s="298">
        <f t="shared" ca="1" si="7"/>
        <v>167.42857805299525</v>
      </c>
      <c r="M36" s="298">
        <f t="shared" ca="1" si="7"/>
        <v>208.68160895499665</v>
      </c>
      <c r="N36" s="298">
        <f t="shared" ca="1" si="7"/>
        <v>302.67469117810009</v>
      </c>
      <c r="O36" s="298">
        <f t="shared" ca="1" si="7"/>
        <v>316.03938240839864</v>
      </c>
      <c r="P36" s="298">
        <f t="shared" ca="1" si="7"/>
        <v>348.18869224845264</v>
      </c>
      <c r="Q36" s="298">
        <f t="shared" ca="1" si="7"/>
        <v>392.85518487767274</v>
      </c>
      <c r="R36" s="298">
        <f t="shared" ca="1" si="7"/>
        <v>442.77387404551411</v>
      </c>
      <c r="S36" s="298">
        <f t="shared" ca="1" si="7"/>
        <v>490.13140496959221</v>
      </c>
      <c r="T36" s="298">
        <f t="shared" ca="1" si="7"/>
        <v>484.71328629113412</v>
      </c>
      <c r="U36" s="298">
        <f t="shared" ca="1" si="7"/>
        <v>507.97057501175425</v>
      </c>
      <c r="V36" s="298">
        <f t="shared" ca="1" si="7"/>
        <v>516.9705749077724</v>
      </c>
      <c r="W36" s="298">
        <f t="shared" ca="1" si="7"/>
        <v>522.32983213213959</v>
      </c>
      <c r="X36" s="298">
        <f t="shared" ca="1" si="7"/>
        <v>569.27561597895158</v>
      </c>
      <c r="Y36" s="298">
        <f ca="1">-SUM(Y23:Y35)*USTax</f>
        <v>617.38387863052844</v>
      </c>
      <c r="Z36" s="298">
        <f ca="1">-SUM(Z23:Z35)*USTax</f>
        <v>1026.3638129225903</v>
      </c>
      <c r="AA36" s="475">
        <f t="shared" ca="1" si="5"/>
        <v>5885.8928200589489</v>
      </c>
    </row>
    <row r="37" spans="1:28">
      <c r="A37" s="139"/>
      <c r="B37" s="8" t="s">
        <v>512</v>
      </c>
      <c r="C37" s="8"/>
      <c r="D37" s="8"/>
      <c r="E37" s="156">
        <f ca="1">SUM(E23:E36)</f>
        <v>412.72761782153952</v>
      </c>
      <c r="F37" s="156">
        <f t="shared" ref="F37:X37" ca="1" si="8">SUM(F23:F36)</f>
        <v>1744.7545099370652</v>
      </c>
      <c r="G37" s="156">
        <f t="shared" ca="1" si="8"/>
        <v>246.77457149139531</v>
      </c>
      <c r="H37" s="156">
        <f t="shared" ca="1" si="8"/>
        <v>-82.288551189042352</v>
      </c>
      <c r="I37" s="156">
        <f t="shared" ca="1" si="8"/>
        <v>-151.01085520735376</v>
      </c>
      <c r="J37" s="156">
        <f t="shared" ca="1" si="8"/>
        <v>-193.41273490338946</v>
      </c>
      <c r="K37" s="156">
        <f t="shared" ca="1" si="8"/>
        <v>-227.35658847038837</v>
      </c>
      <c r="L37" s="156">
        <f t="shared" ca="1" si="8"/>
        <v>-285.08109236050541</v>
      </c>
      <c r="M37" s="156">
        <f t="shared" ca="1" si="8"/>
        <v>-355.32273957202136</v>
      </c>
      <c r="N37" s="156">
        <f t="shared" ca="1" si="8"/>
        <v>-515.36501470865687</v>
      </c>
      <c r="O37" s="156">
        <f t="shared" ca="1" si="8"/>
        <v>-538.12111058727339</v>
      </c>
      <c r="P37" s="156">
        <f t="shared" ca="1" si="8"/>
        <v>-592.86182734195984</v>
      </c>
      <c r="Q37" s="156">
        <f t="shared" ca="1" si="8"/>
        <v>-668.91558506198328</v>
      </c>
      <c r="R37" s="156">
        <f t="shared" ca="1" si="8"/>
        <v>-753.91227202344294</v>
      </c>
      <c r="S37" s="156">
        <f t="shared" ca="1" si="8"/>
        <v>-834.54806792119757</v>
      </c>
      <c r="T37" s="156">
        <f t="shared" ca="1" si="8"/>
        <v>-825.32262260382299</v>
      </c>
      <c r="U37" s="156">
        <f t="shared" ca="1" si="8"/>
        <v>-864.92287096595999</v>
      </c>
      <c r="V37" s="156">
        <f t="shared" ca="1" si="8"/>
        <v>-880.24719511323417</v>
      </c>
      <c r="W37" s="156">
        <f t="shared" ca="1" si="8"/>
        <v>-889.37241687364315</v>
      </c>
      <c r="X37" s="156">
        <f t="shared" ca="1" si="8"/>
        <v>-969.30712991010671</v>
      </c>
      <c r="Y37" s="156">
        <f ca="1">SUM(Y23:Y36)</f>
        <v>-1051.2211987492783</v>
      </c>
      <c r="Z37" s="156">
        <f ca="1">SUM(Z23:Z36)</f>
        <v>-1747.592438219546</v>
      </c>
      <c r="AA37" s="474">
        <f t="shared" ca="1" si="5"/>
        <v>-10021.925612532805</v>
      </c>
    </row>
    <row r="38" spans="1:28">
      <c r="A38" s="139"/>
      <c r="C38" s="8"/>
      <c r="D38" s="8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476"/>
    </row>
    <row r="39" spans="1:28">
      <c r="A39" s="146" t="s">
        <v>511</v>
      </c>
      <c r="C39" s="8"/>
      <c r="D39" s="8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476"/>
    </row>
    <row r="40" spans="1:28">
      <c r="A40" s="139" t="str">
        <f>CONCATENATE("Plus: Interest Income - ",TEXT(Int_BL,"0.00%"))</f>
        <v>Plus: Interest Income - 6.00%</v>
      </c>
      <c r="C40" s="8"/>
      <c r="D40" s="282" t="s">
        <v>354</v>
      </c>
      <c r="E40" s="156">
        <f ca="1">Returns!E50</f>
        <v>0</v>
      </c>
      <c r="F40" s="156">
        <f ca="1">Returns!F50</f>
        <v>246.0009798955337</v>
      </c>
      <c r="G40" s="156">
        <f ca="1">Returns!G50</f>
        <v>709.89911847209873</v>
      </c>
      <c r="H40" s="156">
        <f ca="1">Returns!H50</f>
        <v>0</v>
      </c>
      <c r="I40" s="156">
        <f ca="1">Returns!I50</f>
        <v>0</v>
      </c>
      <c r="J40" s="156">
        <f ca="1">Returns!J50</f>
        <v>0</v>
      </c>
      <c r="K40" s="156">
        <f ca="1">Returns!K50</f>
        <v>0</v>
      </c>
      <c r="L40" s="156">
        <f ca="1">Returns!L50</f>
        <v>0</v>
      </c>
      <c r="M40" s="156">
        <f ca="1">Returns!M50</f>
        <v>0</v>
      </c>
      <c r="N40" s="156">
        <f ca="1">Returns!N50</f>
        <v>0</v>
      </c>
      <c r="O40" s="156">
        <f ca="1">Returns!O50</f>
        <v>0</v>
      </c>
      <c r="P40" s="156">
        <f ca="1">Returns!P50</f>
        <v>0</v>
      </c>
      <c r="Q40" s="156">
        <f ca="1">Returns!Q50</f>
        <v>0</v>
      </c>
      <c r="R40" s="156">
        <f ca="1">Returns!R50</f>
        <v>0</v>
      </c>
      <c r="S40" s="156">
        <f ca="1">Returns!S50</f>
        <v>0</v>
      </c>
      <c r="T40" s="156">
        <f ca="1">Returns!T50</f>
        <v>0</v>
      </c>
      <c r="U40" s="156">
        <f ca="1">Returns!U50</f>
        <v>0</v>
      </c>
      <c r="V40" s="156">
        <f ca="1">Returns!V50</f>
        <v>0</v>
      </c>
      <c r="W40" s="156">
        <f ca="1">Returns!W50</f>
        <v>0</v>
      </c>
      <c r="X40" s="156">
        <f ca="1">Returns!X50</f>
        <v>0</v>
      </c>
      <c r="Y40" s="156">
        <f ca="1">Returns!Y50</f>
        <v>0</v>
      </c>
      <c r="Z40" s="156">
        <f ca="1">Returns!Z50</f>
        <v>0</v>
      </c>
      <c r="AA40" s="474">
        <f ca="1">SUM(E40:Z40)</f>
        <v>955.90009836763238</v>
      </c>
    </row>
    <row r="41" spans="1:28">
      <c r="A41" s="139" t="str">
        <f>CONCATENATE("Less: Enron Cost Of Funds - ",TEXT(Ecf,"0.00%"))</f>
        <v>Less: Enron Cost Of Funds - 6.50%</v>
      </c>
      <c r="C41" s="8"/>
      <c r="D41" s="282" t="s">
        <v>354</v>
      </c>
      <c r="E41" s="156">
        <f ca="1">-E40/Int_BL*Ecf</f>
        <v>0</v>
      </c>
      <c r="F41" s="156">
        <f t="shared" ref="F41:X41" ca="1" si="9">-F40/Int_BL*Ecf</f>
        <v>-266.50106155349482</v>
      </c>
      <c r="G41" s="156">
        <f t="shared" ca="1" si="9"/>
        <v>-769.05737834477372</v>
      </c>
      <c r="H41" s="156">
        <f t="shared" ca="1" si="9"/>
        <v>0</v>
      </c>
      <c r="I41" s="156">
        <f t="shared" ca="1" si="9"/>
        <v>0</v>
      </c>
      <c r="J41" s="156">
        <f t="shared" ca="1" si="9"/>
        <v>0</v>
      </c>
      <c r="K41" s="156">
        <f t="shared" ca="1" si="9"/>
        <v>0</v>
      </c>
      <c r="L41" s="156">
        <f t="shared" ca="1" si="9"/>
        <v>0</v>
      </c>
      <c r="M41" s="156">
        <f t="shared" ca="1" si="9"/>
        <v>0</v>
      </c>
      <c r="N41" s="156">
        <f t="shared" ca="1" si="9"/>
        <v>0</v>
      </c>
      <c r="O41" s="156">
        <f t="shared" ca="1" si="9"/>
        <v>0</v>
      </c>
      <c r="P41" s="156">
        <f t="shared" ca="1" si="9"/>
        <v>0</v>
      </c>
      <c r="Q41" s="156">
        <f t="shared" ca="1" si="9"/>
        <v>0</v>
      </c>
      <c r="R41" s="156">
        <f t="shared" ca="1" si="9"/>
        <v>0</v>
      </c>
      <c r="S41" s="156">
        <f t="shared" ca="1" si="9"/>
        <v>0</v>
      </c>
      <c r="T41" s="156">
        <f t="shared" ca="1" si="9"/>
        <v>0</v>
      </c>
      <c r="U41" s="156">
        <f t="shared" ca="1" si="9"/>
        <v>0</v>
      </c>
      <c r="V41" s="156">
        <f t="shared" ca="1" si="9"/>
        <v>0</v>
      </c>
      <c r="W41" s="156">
        <f t="shared" ca="1" si="9"/>
        <v>0</v>
      </c>
      <c r="X41" s="156">
        <f t="shared" ca="1" si="9"/>
        <v>0</v>
      </c>
      <c r="Y41" s="156">
        <f ca="1">-Y40/Int_BL*Ecf</f>
        <v>0</v>
      </c>
      <c r="Z41" s="156">
        <f ca="1">-Z40/Int_BL*Ecf</f>
        <v>0</v>
      </c>
      <c r="AA41" s="474">
        <f ca="1">SUM(E41:Z41)</f>
        <v>-1035.5584398982685</v>
      </c>
    </row>
    <row r="42" spans="1:28">
      <c r="A42" s="139" t="str">
        <f>CONCATENATE("Less: Political Risk Insurance - ",TEXT(Opic,"0.00%"))</f>
        <v>Less: Political Risk Insurance - 1.00%</v>
      </c>
      <c r="C42" s="8"/>
      <c r="D42" s="282" t="s">
        <v>354</v>
      </c>
      <c r="E42" s="156">
        <f ca="1">Returns!E52</f>
        <v>0</v>
      </c>
      <c r="F42" s="156">
        <f ca="1">Returns!F52</f>
        <v>-89.38288399914849</v>
      </c>
      <c r="G42" s="156">
        <f ca="1">Returns!G52</f>
        <v>-89.38288399914849</v>
      </c>
      <c r="H42" s="156">
        <f ca="1">Returns!H52</f>
        <v>0</v>
      </c>
      <c r="I42" s="156">
        <f ca="1">Returns!I52</f>
        <v>0</v>
      </c>
      <c r="J42" s="156">
        <f ca="1">Returns!J52</f>
        <v>0</v>
      </c>
      <c r="K42" s="156">
        <f ca="1">Returns!K52</f>
        <v>0</v>
      </c>
      <c r="L42" s="156">
        <f ca="1">Returns!L52</f>
        <v>0</v>
      </c>
      <c r="M42" s="156">
        <f ca="1">Returns!M52</f>
        <v>0</v>
      </c>
      <c r="N42" s="156">
        <f ca="1">Returns!N52</f>
        <v>0</v>
      </c>
      <c r="O42" s="156">
        <f ca="1">Returns!O52</f>
        <v>0</v>
      </c>
      <c r="P42" s="156">
        <f ca="1">Returns!P52</f>
        <v>0</v>
      </c>
      <c r="Q42" s="156">
        <f ca="1">Returns!Q52</f>
        <v>0</v>
      </c>
      <c r="R42" s="156">
        <f ca="1">Returns!R52</f>
        <v>0</v>
      </c>
      <c r="S42" s="156">
        <f ca="1">Returns!S52</f>
        <v>0</v>
      </c>
      <c r="T42" s="156">
        <f ca="1">Returns!T52</f>
        <v>0</v>
      </c>
      <c r="U42" s="156">
        <f ca="1">Returns!U52</f>
        <v>0</v>
      </c>
      <c r="V42" s="156">
        <f ca="1">Returns!V52</f>
        <v>0</v>
      </c>
      <c r="W42" s="156">
        <f ca="1">Returns!W52</f>
        <v>0</v>
      </c>
      <c r="X42" s="156">
        <f ca="1">Returns!X52</f>
        <v>0</v>
      </c>
      <c r="Y42" s="156">
        <f ca="1">Returns!Y52</f>
        <v>0</v>
      </c>
      <c r="Z42" s="156">
        <f ca="1">Returns!Z52</f>
        <v>0</v>
      </c>
      <c r="AA42" s="474">
        <f ca="1">SUM(E42:Z42)</f>
        <v>-178.76576799829698</v>
      </c>
    </row>
    <row r="43" spans="1:28">
      <c r="A43" s="139" t="s">
        <v>534</v>
      </c>
      <c r="C43" s="8"/>
      <c r="D43" s="8"/>
      <c r="E43" s="298">
        <f ca="1">USTax*-SUM(E39:E42)</f>
        <v>0</v>
      </c>
      <c r="F43" s="298">
        <f t="shared" ref="F43:X43" ca="1" si="10">USTax*-SUM(F39:F42)</f>
        <v>40.656697293130556</v>
      </c>
      <c r="G43" s="298">
        <f t="shared" ca="1" si="10"/>
        <v>54.960223232574684</v>
      </c>
      <c r="H43" s="298">
        <f t="shared" ca="1" si="10"/>
        <v>0</v>
      </c>
      <c r="I43" s="298">
        <f t="shared" ca="1" si="10"/>
        <v>0</v>
      </c>
      <c r="J43" s="298">
        <f t="shared" ca="1" si="10"/>
        <v>0</v>
      </c>
      <c r="K43" s="298">
        <f t="shared" ca="1" si="10"/>
        <v>0</v>
      </c>
      <c r="L43" s="298">
        <f t="shared" ca="1" si="10"/>
        <v>0</v>
      </c>
      <c r="M43" s="298">
        <f t="shared" ca="1" si="10"/>
        <v>0</v>
      </c>
      <c r="N43" s="298">
        <f t="shared" ca="1" si="10"/>
        <v>0</v>
      </c>
      <c r="O43" s="298">
        <f t="shared" ca="1" si="10"/>
        <v>0</v>
      </c>
      <c r="P43" s="298">
        <f t="shared" ca="1" si="10"/>
        <v>0</v>
      </c>
      <c r="Q43" s="298">
        <f t="shared" ca="1" si="10"/>
        <v>0</v>
      </c>
      <c r="R43" s="298">
        <f t="shared" ca="1" si="10"/>
        <v>0</v>
      </c>
      <c r="S43" s="298">
        <f t="shared" ca="1" si="10"/>
        <v>0</v>
      </c>
      <c r="T43" s="298">
        <f t="shared" ca="1" si="10"/>
        <v>0</v>
      </c>
      <c r="U43" s="298">
        <f t="shared" ca="1" si="10"/>
        <v>0</v>
      </c>
      <c r="V43" s="298">
        <f t="shared" ca="1" si="10"/>
        <v>0</v>
      </c>
      <c r="W43" s="298">
        <f t="shared" ca="1" si="10"/>
        <v>0</v>
      </c>
      <c r="X43" s="298">
        <f t="shared" ca="1" si="10"/>
        <v>0</v>
      </c>
      <c r="Y43" s="298">
        <f ca="1">USTax*-SUM(Y39:Y42)</f>
        <v>0</v>
      </c>
      <c r="Z43" s="298">
        <f ca="1">USTax*-SUM(Z39:Z42)</f>
        <v>0</v>
      </c>
      <c r="AA43" s="475">
        <f ca="1">SUM(E43:Z43)</f>
        <v>95.61692052570524</v>
      </c>
    </row>
    <row r="44" spans="1:28">
      <c r="A44" s="139"/>
      <c r="B44" s="8" t="s">
        <v>513</v>
      </c>
      <c r="C44" s="8"/>
      <c r="D44" s="8"/>
      <c r="E44" s="156">
        <f ca="1">SUM(E39:E43)</f>
        <v>0</v>
      </c>
      <c r="F44" s="156">
        <f t="shared" ref="F44:X44" ca="1" si="11">SUM(F39:F43)</f>
        <v>-69.226268363979045</v>
      </c>
      <c r="G44" s="156">
        <f t="shared" ca="1" si="11"/>
        <v>-93.580920639248774</v>
      </c>
      <c r="H44" s="156">
        <f t="shared" ca="1" si="11"/>
        <v>0</v>
      </c>
      <c r="I44" s="156">
        <f t="shared" ca="1" si="11"/>
        <v>0</v>
      </c>
      <c r="J44" s="156">
        <f t="shared" ca="1" si="11"/>
        <v>0</v>
      </c>
      <c r="K44" s="156">
        <f t="shared" ca="1" si="11"/>
        <v>0</v>
      </c>
      <c r="L44" s="156">
        <f t="shared" ca="1" si="11"/>
        <v>0</v>
      </c>
      <c r="M44" s="156">
        <f t="shared" ca="1" si="11"/>
        <v>0</v>
      </c>
      <c r="N44" s="156">
        <f t="shared" ca="1" si="11"/>
        <v>0</v>
      </c>
      <c r="O44" s="156">
        <f t="shared" ca="1" si="11"/>
        <v>0</v>
      </c>
      <c r="P44" s="156">
        <f t="shared" ca="1" si="11"/>
        <v>0</v>
      </c>
      <c r="Q44" s="156">
        <f t="shared" ca="1" si="11"/>
        <v>0</v>
      </c>
      <c r="R44" s="156">
        <f t="shared" ca="1" si="11"/>
        <v>0</v>
      </c>
      <c r="S44" s="156">
        <f t="shared" ca="1" si="11"/>
        <v>0</v>
      </c>
      <c r="T44" s="156">
        <f t="shared" ca="1" si="11"/>
        <v>0</v>
      </c>
      <c r="U44" s="156">
        <f t="shared" ca="1" si="11"/>
        <v>0</v>
      </c>
      <c r="V44" s="156">
        <f t="shared" ca="1" si="11"/>
        <v>0</v>
      </c>
      <c r="W44" s="156">
        <f t="shared" ca="1" si="11"/>
        <v>0</v>
      </c>
      <c r="X44" s="156">
        <f t="shared" ca="1" si="11"/>
        <v>0</v>
      </c>
      <c r="Y44" s="156">
        <f ca="1">SUM(Y39:Y43)</f>
        <v>0</v>
      </c>
      <c r="Z44" s="156">
        <f ca="1">SUM(Z39:Z43)</f>
        <v>0</v>
      </c>
      <c r="AA44" s="474">
        <f ca="1">SUM(E44:Z44)</f>
        <v>-162.80718900322782</v>
      </c>
    </row>
    <row r="45" spans="1:28">
      <c r="A45" s="139"/>
      <c r="C45" s="8"/>
      <c r="D45" s="8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476"/>
    </row>
    <row r="46" spans="1:28">
      <c r="A46" s="146" t="s">
        <v>535</v>
      </c>
      <c r="C46" s="8"/>
      <c r="D46" s="8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476"/>
    </row>
    <row r="47" spans="1:28">
      <c r="A47" s="139"/>
      <c r="B47" s="8" t="s">
        <v>509</v>
      </c>
      <c r="C47" s="8"/>
      <c r="D47" s="8"/>
      <c r="E47" s="156">
        <f t="shared" ref="E47:X47" ca="1" si="12">E21</f>
        <v>0</v>
      </c>
      <c r="F47" s="156">
        <f t="shared" ca="1" si="12"/>
        <v>0</v>
      </c>
      <c r="G47" s="156">
        <f t="shared" ca="1" si="12"/>
        <v>0</v>
      </c>
      <c r="H47" s="156">
        <f t="shared" ca="1" si="12"/>
        <v>-413.43952081885715</v>
      </c>
      <c r="I47" s="156">
        <f t="shared" ca="1" si="12"/>
        <v>-806.95813511192932</v>
      </c>
      <c r="J47" s="156">
        <f t="shared" ca="1" si="12"/>
        <v>-910.18226342380171</v>
      </c>
      <c r="K47" s="156">
        <f t="shared" ca="1" si="12"/>
        <v>424.44346611567806</v>
      </c>
      <c r="L47" s="156">
        <f t="shared" ca="1" si="12"/>
        <v>666.1387428427106</v>
      </c>
      <c r="M47" s="156">
        <f t="shared" ca="1" si="12"/>
        <v>1799.7551523581922</v>
      </c>
      <c r="N47" s="156">
        <f t="shared" ca="1" si="12"/>
        <v>2256.6798710409289</v>
      </c>
      <c r="O47" s="156">
        <f t="shared" ca="1" si="12"/>
        <v>2550.5282727769209</v>
      </c>
      <c r="P47" s="156">
        <f t="shared" ca="1" si="12"/>
        <v>3023.4683419359126</v>
      </c>
      <c r="Q47" s="156">
        <f t="shared" ca="1" si="12"/>
        <v>3336.5153063093135</v>
      </c>
      <c r="R47" s="156">
        <f t="shared" ca="1" si="12"/>
        <v>3721.5895644609104</v>
      </c>
      <c r="S47" s="156">
        <f t="shared" ca="1" si="12"/>
        <v>4329.0538747953515</v>
      </c>
      <c r="T47" s="156">
        <f t="shared" ca="1" si="12"/>
        <v>4187.9082546422624</v>
      </c>
      <c r="U47" s="156">
        <f t="shared" ca="1" si="12"/>
        <v>4963.6489197645797</v>
      </c>
      <c r="V47" s="156">
        <f t="shared" ca="1" si="12"/>
        <v>5365.1242683287192</v>
      </c>
      <c r="W47" s="156">
        <f t="shared" ca="1" si="12"/>
        <v>5646.5062931033744</v>
      </c>
      <c r="X47" s="156">
        <f t="shared" ca="1" si="12"/>
        <v>5888.5457074808946</v>
      </c>
      <c r="Y47" s="156">
        <f ca="1">Y21</f>
        <v>6150.8710535393657</v>
      </c>
      <c r="Z47" s="156">
        <f ca="1">Z21</f>
        <v>2053.1907382391678</v>
      </c>
      <c r="AA47" s="474">
        <f t="shared" ref="AA47:AA54" ca="1" si="13">SUM(E47:Z47)</f>
        <v>54233.387908379693</v>
      </c>
    </row>
    <row r="48" spans="1:28">
      <c r="A48" s="139"/>
      <c r="B48" s="8" t="s">
        <v>512</v>
      </c>
      <c r="C48" s="8"/>
      <c r="D48" s="8"/>
      <c r="E48" s="156">
        <f t="shared" ref="E48:X48" ca="1" si="14">E37</f>
        <v>412.72761782153952</v>
      </c>
      <c r="F48" s="156">
        <f t="shared" ca="1" si="14"/>
        <v>1744.7545099370652</v>
      </c>
      <c r="G48" s="156">
        <f t="shared" ca="1" si="14"/>
        <v>246.77457149139531</v>
      </c>
      <c r="H48" s="156">
        <f t="shared" ca="1" si="14"/>
        <v>-82.288551189042352</v>
      </c>
      <c r="I48" s="156">
        <f t="shared" ca="1" si="14"/>
        <v>-151.01085520735376</v>
      </c>
      <c r="J48" s="156">
        <f t="shared" ca="1" si="14"/>
        <v>-193.41273490338946</v>
      </c>
      <c r="K48" s="156">
        <f t="shared" ca="1" si="14"/>
        <v>-227.35658847038837</v>
      </c>
      <c r="L48" s="156">
        <f t="shared" ca="1" si="14"/>
        <v>-285.08109236050541</v>
      </c>
      <c r="M48" s="156">
        <f t="shared" ca="1" si="14"/>
        <v>-355.32273957202136</v>
      </c>
      <c r="N48" s="156">
        <f t="shared" ca="1" si="14"/>
        <v>-515.36501470865687</v>
      </c>
      <c r="O48" s="156">
        <f t="shared" ca="1" si="14"/>
        <v>-538.12111058727339</v>
      </c>
      <c r="P48" s="156">
        <f t="shared" ca="1" si="14"/>
        <v>-592.86182734195984</v>
      </c>
      <c r="Q48" s="156">
        <f t="shared" ca="1" si="14"/>
        <v>-668.91558506198328</v>
      </c>
      <c r="R48" s="156">
        <f t="shared" ca="1" si="14"/>
        <v>-753.91227202344294</v>
      </c>
      <c r="S48" s="156">
        <f t="shared" ca="1" si="14"/>
        <v>-834.54806792119757</v>
      </c>
      <c r="T48" s="156">
        <f t="shared" ca="1" si="14"/>
        <v>-825.32262260382299</v>
      </c>
      <c r="U48" s="156">
        <f t="shared" ca="1" si="14"/>
        <v>-864.92287096595999</v>
      </c>
      <c r="V48" s="156">
        <f t="shared" ca="1" si="14"/>
        <v>-880.24719511323417</v>
      </c>
      <c r="W48" s="156">
        <f t="shared" ca="1" si="14"/>
        <v>-889.37241687364315</v>
      </c>
      <c r="X48" s="156">
        <f t="shared" ca="1" si="14"/>
        <v>-969.30712991010671</v>
      </c>
      <c r="Y48" s="156">
        <f ca="1">Y37</f>
        <v>-1051.2211987492783</v>
      </c>
      <c r="Z48" s="156">
        <f ca="1">Z37</f>
        <v>-1747.592438219546</v>
      </c>
      <c r="AA48" s="474">
        <f t="shared" ca="1" si="13"/>
        <v>-10021.925612532805</v>
      </c>
    </row>
    <row r="49" spans="1:28">
      <c r="A49" s="139"/>
      <c r="B49" s="8" t="s">
        <v>513</v>
      </c>
      <c r="C49" s="8"/>
      <c r="D49" s="8"/>
      <c r="E49" s="298">
        <f t="shared" ref="E49:X49" ca="1" si="15">E44</f>
        <v>0</v>
      </c>
      <c r="F49" s="298">
        <f t="shared" ca="1" si="15"/>
        <v>-69.226268363979045</v>
      </c>
      <c r="G49" s="298">
        <f t="shared" ca="1" si="15"/>
        <v>-93.580920639248774</v>
      </c>
      <c r="H49" s="298">
        <f t="shared" ca="1" si="15"/>
        <v>0</v>
      </c>
      <c r="I49" s="298">
        <f t="shared" ca="1" si="15"/>
        <v>0</v>
      </c>
      <c r="J49" s="298">
        <f t="shared" ca="1" si="15"/>
        <v>0</v>
      </c>
      <c r="K49" s="298">
        <f t="shared" ca="1" si="15"/>
        <v>0</v>
      </c>
      <c r="L49" s="298">
        <f t="shared" ca="1" si="15"/>
        <v>0</v>
      </c>
      <c r="M49" s="298">
        <f t="shared" ca="1" si="15"/>
        <v>0</v>
      </c>
      <c r="N49" s="298">
        <f t="shared" ca="1" si="15"/>
        <v>0</v>
      </c>
      <c r="O49" s="298">
        <f t="shared" ca="1" si="15"/>
        <v>0</v>
      </c>
      <c r="P49" s="298">
        <f t="shared" ca="1" si="15"/>
        <v>0</v>
      </c>
      <c r="Q49" s="298">
        <f t="shared" ca="1" si="15"/>
        <v>0</v>
      </c>
      <c r="R49" s="298">
        <f t="shared" ca="1" si="15"/>
        <v>0</v>
      </c>
      <c r="S49" s="298">
        <f t="shared" ca="1" si="15"/>
        <v>0</v>
      </c>
      <c r="T49" s="298">
        <f t="shared" ca="1" si="15"/>
        <v>0</v>
      </c>
      <c r="U49" s="298">
        <f t="shared" ca="1" si="15"/>
        <v>0</v>
      </c>
      <c r="V49" s="298">
        <f t="shared" ca="1" si="15"/>
        <v>0</v>
      </c>
      <c r="W49" s="298">
        <f t="shared" ca="1" si="15"/>
        <v>0</v>
      </c>
      <c r="X49" s="298">
        <f t="shared" ca="1" si="15"/>
        <v>0</v>
      </c>
      <c r="Y49" s="298">
        <f ca="1">Y44</f>
        <v>0</v>
      </c>
      <c r="Z49" s="298">
        <f ca="1">Z44</f>
        <v>0</v>
      </c>
      <c r="AA49" s="475">
        <f t="shared" ca="1" si="13"/>
        <v>-162.80718900322782</v>
      </c>
    </row>
    <row r="50" spans="1:28">
      <c r="A50" s="139"/>
      <c r="B50" s="32" t="s">
        <v>543</v>
      </c>
      <c r="C50" s="8"/>
      <c r="D50" s="8"/>
      <c r="E50" s="156">
        <f ca="1">SUM(E47:E49)</f>
        <v>412.72761782153952</v>
      </c>
      <c r="F50" s="156">
        <f t="shared" ref="F50:X50" ca="1" si="16">SUM(F47:F49)</f>
        <v>1675.5282415730862</v>
      </c>
      <c r="G50" s="156">
        <f t="shared" ca="1" si="16"/>
        <v>153.19365085214653</v>
      </c>
      <c r="H50" s="156">
        <f t="shared" ca="1" si="16"/>
        <v>-495.72807200789953</v>
      </c>
      <c r="I50" s="156">
        <f t="shared" ca="1" si="16"/>
        <v>-957.96899031928308</v>
      </c>
      <c r="J50" s="156">
        <f t="shared" ca="1" si="16"/>
        <v>-1103.5949983271912</v>
      </c>
      <c r="K50" s="156">
        <f t="shared" ca="1" si="16"/>
        <v>197.08687764528969</v>
      </c>
      <c r="L50" s="156">
        <f t="shared" ca="1" si="16"/>
        <v>381.05765048220519</v>
      </c>
      <c r="M50" s="156">
        <f t="shared" ca="1" si="16"/>
        <v>1444.4324127861707</v>
      </c>
      <c r="N50" s="156">
        <f t="shared" ca="1" si="16"/>
        <v>1741.314856332272</v>
      </c>
      <c r="O50" s="156">
        <f t="shared" ca="1" si="16"/>
        <v>2012.4071621896474</v>
      </c>
      <c r="P50" s="156">
        <f t="shared" ca="1" si="16"/>
        <v>2430.6065145939529</v>
      </c>
      <c r="Q50" s="156">
        <f t="shared" ca="1" si="16"/>
        <v>2667.5997212473303</v>
      </c>
      <c r="R50" s="156">
        <f t="shared" ca="1" si="16"/>
        <v>2967.6772924374673</v>
      </c>
      <c r="S50" s="156">
        <f t="shared" ca="1" si="16"/>
        <v>3494.5058068741537</v>
      </c>
      <c r="T50" s="156">
        <f t="shared" ca="1" si="16"/>
        <v>3362.5856320384391</v>
      </c>
      <c r="U50" s="156">
        <f t="shared" ca="1" si="16"/>
        <v>4098.7260487986196</v>
      </c>
      <c r="V50" s="156">
        <f t="shared" ca="1" si="16"/>
        <v>4484.8770732154853</v>
      </c>
      <c r="W50" s="156">
        <f t="shared" ca="1" si="16"/>
        <v>4757.133876229731</v>
      </c>
      <c r="X50" s="156">
        <f t="shared" ca="1" si="16"/>
        <v>4919.238577570788</v>
      </c>
      <c r="Y50" s="156">
        <f ca="1">SUM(Y47:Y49)</f>
        <v>5099.6498547900874</v>
      </c>
      <c r="Z50" s="156">
        <f ca="1">SUM(Z47:Z49)</f>
        <v>305.59830001962177</v>
      </c>
      <c r="AA50" s="474">
        <f t="shared" ca="1" si="13"/>
        <v>44048.655106843653</v>
      </c>
    </row>
    <row r="51" spans="1:28">
      <c r="A51" s="139"/>
      <c r="B51" s="8" t="s">
        <v>545</v>
      </c>
      <c r="C51" s="8"/>
      <c r="D51" s="282" t="s">
        <v>189</v>
      </c>
      <c r="E51" s="156">
        <f t="shared" ref="E51:Z51" si="17">IF(E$7&lt;YEAR(Startops1),0,-E69)</f>
        <v>0</v>
      </c>
      <c r="F51" s="156">
        <f t="shared" si="17"/>
        <v>0</v>
      </c>
      <c r="G51" s="156">
        <f t="shared" si="17"/>
        <v>0</v>
      </c>
      <c r="H51" s="156">
        <f t="shared" ca="1" si="17"/>
        <v>-880.65990547082197</v>
      </c>
      <c r="I51" s="156">
        <f t="shared" ca="1" si="17"/>
        <v>-787.36588607487465</v>
      </c>
      <c r="J51" s="156">
        <f t="shared" ca="1" si="17"/>
        <v>-723.25175740809379</v>
      </c>
      <c r="K51" s="156">
        <f t="shared" ca="1" si="17"/>
        <v>-628.0357209515895</v>
      </c>
      <c r="L51" s="156">
        <f t="shared" ca="1" si="17"/>
        <v>-611.76731887390235</v>
      </c>
      <c r="M51" s="156">
        <f t="shared" ca="1" si="17"/>
        <v>-530.28234095846267</v>
      </c>
      <c r="N51" s="156">
        <f t="shared" ca="1" si="17"/>
        <v>-438.49633250111242</v>
      </c>
      <c r="O51" s="156">
        <f t="shared" ca="1" si="17"/>
        <v>-275.49859023161991</v>
      </c>
      <c r="P51" s="156">
        <f t="shared" ca="1" si="17"/>
        <v>-28.431380952172002</v>
      </c>
      <c r="Q51" s="156">
        <f t="shared" ca="1" si="17"/>
        <v>239.22869924363809</v>
      </c>
      <c r="R51" s="156">
        <f t="shared" ca="1" si="17"/>
        <v>480.36578651782742</v>
      </c>
      <c r="S51" s="156">
        <f t="shared" ca="1" si="17"/>
        <v>641.00737228448281</v>
      </c>
      <c r="T51" s="156">
        <f t="shared" ca="1" si="17"/>
        <v>801.2779545190798</v>
      </c>
      <c r="U51" s="156">
        <f t="shared" ca="1" si="17"/>
        <v>1001.7001353399988</v>
      </c>
      <c r="V51" s="156">
        <f t="shared" ca="1" si="17"/>
        <v>1269.9877282080565</v>
      </c>
      <c r="W51" s="156">
        <f t="shared" ca="1" si="17"/>
        <v>1669.5590164988048</v>
      </c>
      <c r="X51" s="156">
        <f t="shared" ca="1" si="17"/>
        <v>2078.9758609367213</v>
      </c>
      <c r="Y51" s="156">
        <f t="shared" ca="1" si="17"/>
        <v>2499.3702536008841</v>
      </c>
      <c r="Z51" s="156">
        <f t="shared" ca="1" si="17"/>
        <v>9236.1220864026072</v>
      </c>
      <c r="AA51" s="474">
        <f t="shared" ca="1" si="13"/>
        <v>15013.805660129452</v>
      </c>
      <c r="AB51" s="302" t="str">
        <f ca="1">IF(SUM(AA51+AA52+AA69)=0," ","Check")</f>
        <v xml:space="preserve"> </v>
      </c>
    </row>
    <row r="52" spans="1:28">
      <c r="A52" s="139"/>
      <c r="B52" s="8" t="s">
        <v>546</v>
      </c>
      <c r="C52" s="8"/>
      <c r="D52" s="282" t="s">
        <v>189</v>
      </c>
      <c r="E52" s="301">
        <f t="shared" ref="E52:Z52" ca="1" si="18">IF(E$7&gt;=YEAR(Startops1),-($AA69+$AA51)*E$9/$AA$9,0)</f>
        <v>0</v>
      </c>
      <c r="F52" s="301">
        <f t="shared" ca="1" si="18"/>
        <v>0</v>
      </c>
      <c r="G52" s="301">
        <f t="shared" ca="1" si="18"/>
        <v>0</v>
      </c>
      <c r="H52" s="301">
        <f t="shared" ca="1" si="18"/>
        <v>-78.295770444817606</v>
      </c>
      <c r="I52" s="301">
        <f t="shared" ca="1" si="18"/>
        <v>-93.954924533781124</v>
      </c>
      <c r="J52" s="301">
        <f t="shared" ca="1" si="18"/>
        <v>-93.954924533781124</v>
      </c>
      <c r="K52" s="301">
        <f t="shared" ca="1" si="18"/>
        <v>-93.954924533781124</v>
      </c>
      <c r="L52" s="301">
        <f t="shared" ca="1" si="18"/>
        <v>-93.954924533781124</v>
      </c>
      <c r="M52" s="301">
        <f t="shared" ca="1" si="18"/>
        <v>-93.954924533781124</v>
      </c>
      <c r="N52" s="301">
        <f t="shared" ca="1" si="18"/>
        <v>-93.954924533781124</v>
      </c>
      <c r="O52" s="301">
        <f t="shared" ca="1" si="18"/>
        <v>-93.954924533781124</v>
      </c>
      <c r="P52" s="301">
        <f t="shared" ca="1" si="18"/>
        <v>-93.954924533781124</v>
      </c>
      <c r="Q52" s="301">
        <f t="shared" ca="1" si="18"/>
        <v>-93.954924533781124</v>
      </c>
      <c r="R52" s="301">
        <f t="shared" ca="1" si="18"/>
        <v>-93.954924533781124</v>
      </c>
      <c r="S52" s="301">
        <f t="shared" ca="1" si="18"/>
        <v>-93.954924533781124</v>
      </c>
      <c r="T52" s="301">
        <f t="shared" ca="1" si="18"/>
        <v>-93.954924533781124</v>
      </c>
      <c r="U52" s="301">
        <f t="shared" ca="1" si="18"/>
        <v>-93.954924533781124</v>
      </c>
      <c r="V52" s="301">
        <f t="shared" ca="1" si="18"/>
        <v>-93.954924533781124</v>
      </c>
      <c r="W52" s="301">
        <f t="shared" ca="1" si="18"/>
        <v>-93.954924533781124</v>
      </c>
      <c r="X52" s="301">
        <f t="shared" ca="1" si="18"/>
        <v>-93.954924533781124</v>
      </c>
      <c r="Y52" s="301">
        <f t="shared" ca="1" si="18"/>
        <v>-93.954924533781124</v>
      </c>
      <c r="Z52" s="301">
        <f t="shared" ca="1" si="18"/>
        <v>-31.31830817792704</v>
      </c>
      <c r="AA52" s="474">
        <f t="shared" ca="1" si="13"/>
        <v>-1706.8477956970241</v>
      </c>
      <c r="AB52" s="26"/>
    </row>
    <row r="53" spans="1:28">
      <c r="A53" s="139"/>
      <c r="B53" s="8" t="s">
        <v>544</v>
      </c>
      <c r="C53" s="8"/>
      <c r="D53" s="8"/>
      <c r="E53" s="298">
        <f ca="1">USTax*-SUM(E51:E52)</f>
        <v>0</v>
      </c>
      <c r="F53" s="298">
        <f t="shared" ref="F53:X53" ca="1" si="19">USTax*-SUM(F51:F52)</f>
        <v>0</v>
      </c>
      <c r="G53" s="298">
        <f t="shared" ca="1" si="19"/>
        <v>0</v>
      </c>
      <c r="H53" s="298">
        <f t="shared" ca="1" si="19"/>
        <v>354.81360008878664</v>
      </c>
      <c r="I53" s="298">
        <f t="shared" ca="1" si="19"/>
        <v>326.0886999252026</v>
      </c>
      <c r="J53" s="298">
        <f t="shared" ca="1" si="19"/>
        <v>302.36647231849372</v>
      </c>
      <c r="K53" s="298">
        <f t="shared" ca="1" si="19"/>
        <v>267.1365388295871</v>
      </c>
      <c r="L53" s="298">
        <f t="shared" ca="1" si="19"/>
        <v>261.11723006084287</v>
      </c>
      <c r="M53" s="298">
        <f t="shared" ca="1" si="19"/>
        <v>230.96778823213018</v>
      </c>
      <c r="N53" s="298">
        <f t="shared" ca="1" si="19"/>
        <v>197.00696510291058</v>
      </c>
      <c r="O53" s="298">
        <f t="shared" ca="1" si="19"/>
        <v>136.69780046319838</v>
      </c>
      <c r="P53" s="298">
        <f t="shared" ca="1" si="19"/>
        <v>45.282933029802656</v>
      </c>
      <c r="Q53" s="298">
        <f t="shared" ca="1" si="19"/>
        <v>-53.751296642647084</v>
      </c>
      <c r="R53" s="298">
        <f t="shared" ca="1" si="19"/>
        <v>-142.97201893409712</v>
      </c>
      <c r="S53" s="298">
        <f t="shared" ca="1" si="19"/>
        <v>-202.40940566775964</v>
      </c>
      <c r="T53" s="298">
        <f t="shared" ca="1" si="19"/>
        <v>-261.7095210945605</v>
      </c>
      <c r="U53" s="298">
        <f t="shared" ca="1" si="19"/>
        <v>-335.86572799830054</v>
      </c>
      <c r="V53" s="298">
        <f t="shared" ca="1" si="19"/>
        <v>-435.13213735948187</v>
      </c>
      <c r="W53" s="298">
        <f t="shared" ca="1" si="19"/>
        <v>-582.97351402705874</v>
      </c>
      <c r="X53" s="298">
        <f t="shared" ca="1" si="19"/>
        <v>-734.45774646908785</v>
      </c>
      <c r="Y53" s="298">
        <f ca="1">USTax*-SUM(Y51:Y52)</f>
        <v>-890.00367175482802</v>
      </c>
      <c r="Z53" s="298">
        <f ca="1">USTax*-SUM(Z51:Z52)</f>
        <v>-3405.7773979431317</v>
      </c>
      <c r="AA53" s="475">
        <f t="shared" ca="1" si="13"/>
        <v>-4923.5744098399982</v>
      </c>
    </row>
    <row r="54" spans="1:28">
      <c r="A54" s="139"/>
      <c r="B54" s="32" t="s">
        <v>547</v>
      </c>
      <c r="C54" s="8"/>
      <c r="D54" s="8"/>
      <c r="E54" s="156">
        <f ca="1">SUM(E50:E53)</f>
        <v>412.72761782153952</v>
      </c>
      <c r="F54" s="156">
        <f t="shared" ref="F54:X54" ca="1" si="20">SUM(F50:F53)</f>
        <v>1675.5282415730862</v>
      </c>
      <c r="G54" s="156">
        <f t="shared" ca="1" si="20"/>
        <v>153.19365085214653</v>
      </c>
      <c r="H54" s="156">
        <f t="shared" ca="1" si="20"/>
        <v>-1099.8701478347525</v>
      </c>
      <c r="I54" s="156">
        <f t="shared" ca="1" si="20"/>
        <v>-1513.2011010027363</v>
      </c>
      <c r="J54" s="156">
        <f t="shared" ca="1" si="20"/>
        <v>-1618.4352079505725</v>
      </c>
      <c r="K54" s="156">
        <f t="shared" ca="1" si="20"/>
        <v>-257.76722901049385</v>
      </c>
      <c r="L54" s="156">
        <f t="shared" ca="1" si="20"/>
        <v>-63.547362864635431</v>
      </c>
      <c r="M54" s="156">
        <f t="shared" ca="1" si="20"/>
        <v>1051.1629355260573</v>
      </c>
      <c r="N54" s="156">
        <f t="shared" ca="1" si="20"/>
        <v>1405.8705644002889</v>
      </c>
      <c r="O54" s="156">
        <f t="shared" ca="1" si="20"/>
        <v>1779.6514478874446</v>
      </c>
      <c r="P54" s="156">
        <f t="shared" ca="1" si="20"/>
        <v>2353.5031421378026</v>
      </c>
      <c r="Q54" s="156">
        <f t="shared" ca="1" si="20"/>
        <v>2759.12219931454</v>
      </c>
      <c r="R54" s="156">
        <f t="shared" ca="1" si="20"/>
        <v>3211.1161354874166</v>
      </c>
      <c r="S54" s="156">
        <f t="shared" ca="1" si="20"/>
        <v>3839.1488489570957</v>
      </c>
      <c r="T54" s="156">
        <f t="shared" ca="1" si="20"/>
        <v>3808.1991409291772</v>
      </c>
      <c r="U54" s="156">
        <f t="shared" ca="1" si="20"/>
        <v>4670.6055316065367</v>
      </c>
      <c r="V54" s="156">
        <f t="shared" ca="1" si="20"/>
        <v>5225.7777395302792</v>
      </c>
      <c r="W54" s="156">
        <f t="shared" ca="1" si="20"/>
        <v>5749.7644541676955</v>
      </c>
      <c r="X54" s="156">
        <f t="shared" ca="1" si="20"/>
        <v>6169.8017675046412</v>
      </c>
      <c r="Y54" s="156">
        <f ca="1">SUM(Y50:Y53)</f>
        <v>6615.061512102362</v>
      </c>
      <c r="Z54" s="156">
        <f ca="1">SUM(Z50:Z53)</f>
        <v>6104.6246803011709</v>
      </c>
      <c r="AA54" s="474">
        <f t="shared" ca="1" si="13"/>
        <v>52432.0385614361</v>
      </c>
    </row>
    <row r="55" spans="1:28">
      <c r="A55" s="139"/>
      <c r="C55" s="8"/>
      <c r="D55" s="8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479"/>
    </row>
    <row r="56" spans="1:28">
      <c r="A56" s="139"/>
      <c r="B56" s="19" t="s">
        <v>548</v>
      </c>
      <c r="C56" s="8"/>
      <c r="D56" s="8"/>
      <c r="E56" s="391">
        <f ca="1">SUM($E50:E50)</f>
        <v>412.72761782153952</v>
      </c>
      <c r="F56" s="391">
        <f ca="1">SUM($E50:F50)</f>
        <v>2088.255859394626</v>
      </c>
      <c r="G56" s="391">
        <f ca="1">SUM($E50:G50)</f>
        <v>2241.4495102467727</v>
      </c>
      <c r="H56" s="391">
        <f ca="1">SUM($E50:H50)</f>
        <v>1745.7214382388731</v>
      </c>
      <c r="I56" s="391">
        <f ca="1">SUM($E50:I50)</f>
        <v>787.75244791959005</v>
      </c>
      <c r="J56" s="391">
        <f ca="1">SUM($E50:J50)</f>
        <v>-315.84255040760115</v>
      </c>
      <c r="K56" s="391">
        <f ca="1">SUM($E50:K50)</f>
        <v>-118.75567276231146</v>
      </c>
      <c r="L56" s="391">
        <f ca="1">SUM($E50:L50)</f>
        <v>262.30197771989373</v>
      </c>
      <c r="M56" s="391">
        <f ca="1">SUM($E50:M50)</f>
        <v>1706.7343905060645</v>
      </c>
      <c r="N56" s="391">
        <f ca="1">SUM($E50:N50)</f>
        <v>3448.0492468383363</v>
      </c>
      <c r="O56" s="391">
        <f ca="1">SUM($E50:O50)</f>
        <v>5460.4564090279837</v>
      </c>
      <c r="P56" s="391">
        <f ca="1">SUM($E50:P50)</f>
        <v>7891.0629236219365</v>
      </c>
      <c r="Q56" s="391">
        <f ca="1">SUM($E50:Q50)</f>
        <v>10558.662644869266</v>
      </c>
      <c r="R56" s="391">
        <f ca="1">SUM($E50:R50)</f>
        <v>13526.339937306733</v>
      </c>
      <c r="S56" s="391">
        <f ca="1">SUM($E50:S50)</f>
        <v>17020.845744180886</v>
      </c>
      <c r="T56" s="391">
        <f ca="1">SUM($E50:T50)</f>
        <v>20383.431376219327</v>
      </c>
      <c r="U56" s="391">
        <f ca="1">SUM($E50:U50)</f>
        <v>24482.157425017947</v>
      </c>
      <c r="V56" s="391">
        <f ca="1">SUM($E50:V50)</f>
        <v>28967.034498233432</v>
      </c>
      <c r="W56" s="391">
        <f ca="1">SUM($E50:W50)</f>
        <v>33724.168374463159</v>
      </c>
      <c r="X56" s="391">
        <f ca="1">SUM($E50:X50)</f>
        <v>38643.406952033947</v>
      </c>
      <c r="Y56" s="391">
        <f ca="1">SUM($E50:Y50)</f>
        <v>43743.056806824032</v>
      </c>
      <c r="Z56" s="391">
        <f ca="1">SUM($E50:Z50)</f>
        <v>44048.655106843653</v>
      </c>
      <c r="AA56" s="474"/>
    </row>
    <row r="57" spans="1:28">
      <c r="A57" s="139"/>
      <c r="B57" s="19" t="s">
        <v>549</v>
      </c>
      <c r="C57" s="8"/>
      <c r="D57" s="8"/>
      <c r="E57" s="391">
        <f ca="1">SUM($E54:E54)</f>
        <v>412.72761782153952</v>
      </c>
      <c r="F57" s="391">
        <f ca="1">SUM($E54:F54)</f>
        <v>2088.255859394626</v>
      </c>
      <c r="G57" s="391">
        <f ca="1">SUM($E54:G54)</f>
        <v>2241.4495102467727</v>
      </c>
      <c r="H57" s="391">
        <f ca="1">SUM($E54:H54)</f>
        <v>1141.5793624120201</v>
      </c>
      <c r="I57" s="391">
        <f ca="1">SUM($E54:I54)</f>
        <v>-371.62173859071618</v>
      </c>
      <c r="J57" s="391">
        <f ca="1">SUM($E54:J54)</f>
        <v>-1990.0569465412887</v>
      </c>
      <c r="K57" s="391">
        <f ca="1">SUM($E54:K54)</f>
        <v>-2247.8241755517824</v>
      </c>
      <c r="L57" s="391">
        <f ca="1">SUM($E54:L54)</f>
        <v>-2311.3715384164179</v>
      </c>
      <c r="M57" s="391">
        <f ca="1">SUM($E54:M54)</f>
        <v>-1260.2086028903607</v>
      </c>
      <c r="N57" s="391">
        <f ca="1">SUM($E54:N54)</f>
        <v>145.66196150992823</v>
      </c>
      <c r="O57" s="391">
        <f ca="1">SUM($E54:O54)</f>
        <v>1925.3134093973729</v>
      </c>
      <c r="P57" s="391">
        <f ca="1">SUM($E54:P54)</f>
        <v>4278.8165515351757</v>
      </c>
      <c r="Q57" s="391">
        <f ca="1">SUM($E54:Q54)</f>
        <v>7037.9387508497157</v>
      </c>
      <c r="R57" s="391">
        <f ca="1">SUM($E54:R54)</f>
        <v>10249.054886337133</v>
      </c>
      <c r="S57" s="391">
        <f ca="1">SUM($E54:S54)</f>
        <v>14088.203735294228</v>
      </c>
      <c r="T57" s="391">
        <f ca="1">SUM($E54:T54)</f>
        <v>17896.402876223405</v>
      </c>
      <c r="U57" s="391">
        <f ca="1">SUM($E54:U54)</f>
        <v>22567.008407829941</v>
      </c>
      <c r="V57" s="391">
        <f ca="1">SUM($E54:V54)</f>
        <v>27792.786147360221</v>
      </c>
      <c r="W57" s="391">
        <f ca="1">SUM($E54:W54)</f>
        <v>33542.550601527917</v>
      </c>
      <c r="X57" s="391">
        <f ca="1">SUM($E54:X54)</f>
        <v>39712.35236903256</v>
      </c>
      <c r="Y57" s="391">
        <f ca="1">SUM($E54:Y54)</f>
        <v>46327.413881134926</v>
      </c>
      <c r="Z57" s="391">
        <f ca="1">SUM($E54:Z54)</f>
        <v>52432.0385614361</v>
      </c>
      <c r="AA57" s="474"/>
    </row>
    <row r="58" spans="1:28">
      <c r="A58" s="139"/>
      <c r="C58" s="8"/>
      <c r="D58" s="8"/>
      <c r="E58" s="156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472"/>
    </row>
    <row r="59" spans="1:28">
      <c r="A59" s="466"/>
      <c r="B59" s="272"/>
      <c r="C59" s="393" t="s">
        <v>554</v>
      </c>
      <c r="D59" s="438" t="s">
        <v>555</v>
      </c>
      <c r="E59" s="156"/>
      <c r="F59" s="287"/>
      <c r="G59" s="287"/>
      <c r="H59" s="287"/>
      <c r="I59" s="287"/>
      <c r="J59" s="287"/>
      <c r="K59" s="287"/>
      <c r="L59" s="287"/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  <c r="AA59" s="472"/>
    </row>
    <row r="60" spans="1:28">
      <c r="A60" s="467" t="s">
        <v>516</v>
      </c>
      <c r="B60" s="278"/>
      <c r="C60" s="392">
        <f ca="1">AVERAGE(G50:K50)</f>
        <v>-441.4023064313875</v>
      </c>
      <c r="D60" s="439">
        <f ca="1">AVERAGE(G54:K54)</f>
        <v>-867.21600698928182</v>
      </c>
      <c r="E60" s="152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472"/>
    </row>
    <row r="61" spans="1:28">
      <c r="A61" s="467" t="s">
        <v>517</v>
      </c>
      <c r="B61" s="278"/>
      <c r="C61" s="392">
        <f ca="1">AVERAGE(G50:Z50)</f>
        <v>2098.0199623724516</v>
      </c>
      <c r="D61" s="439">
        <f ca="1">AVERAGE(G54:Z54)</f>
        <v>2517.1891351020736</v>
      </c>
      <c r="E61" s="152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472"/>
    </row>
    <row r="62" spans="1:28">
      <c r="A62" s="468" t="s">
        <v>518</v>
      </c>
      <c r="B62" s="436"/>
      <c r="C62" s="437"/>
      <c r="D62" s="440">
        <f ca="1">MAX(E62:Z62)</f>
        <v>14</v>
      </c>
      <c r="E62" s="297">
        <f ca="1">IF(AND(E57&gt;Equity*Assm!$K$61,D57&lt;Equity*Assm!$K$61),E$6,0)</f>
        <v>0</v>
      </c>
      <c r="F62" s="297">
        <f ca="1">IF(AND(F57&gt;Equity*Assm!$K$61,E57&lt;Equity*Assm!$K$61),F$6,0)</f>
        <v>0</v>
      </c>
      <c r="G62" s="297">
        <f ca="1">IF(AND(G57&gt;Equity*Assm!$K$61,F57&lt;Equity*Assm!$K$61),G$6,0)</f>
        <v>0</v>
      </c>
      <c r="H62" s="297">
        <f ca="1">IF(AND(H57&gt;Equity*Assm!$K$61,G57&lt;Equity*Assm!$K$61),H$6,0)</f>
        <v>0</v>
      </c>
      <c r="I62" s="297">
        <f ca="1">IF(AND(I57&gt;Equity*Assm!$K$61,H57&lt;Equity*Assm!$K$61),I$6,0)</f>
        <v>0</v>
      </c>
      <c r="J62" s="297">
        <f ca="1">IF(AND(J57&gt;Equity*Assm!$K$61,I57&lt;Equity*Assm!$K$61),J$6,0)</f>
        <v>0</v>
      </c>
      <c r="K62" s="297">
        <f ca="1">IF(AND(K57&gt;Equity*Assm!$K$61,J57&lt;Equity*Assm!$K$61),K$6,0)</f>
        <v>0</v>
      </c>
      <c r="L62" s="297">
        <f ca="1">IF(AND(L57&gt;Equity*Assm!$K$61,K57&lt;Equity*Assm!$K$61),L$6,0)</f>
        <v>0</v>
      </c>
      <c r="M62" s="297">
        <f ca="1">IF(AND(M57&gt;Equity*Assm!$K$61,L57&lt;Equity*Assm!$K$61),M$6,0)</f>
        <v>0</v>
      </c>
      <c r="N62" s="297">
        <f ca="1">IF(AND(N57&gt;Equity*Assm!$K$61,M57&lt;Equity*Assm!$K$61),N$6,0)</f>
        <v>0</v>
      </c>
      <c r="O62" s="297">
        <f ca="1">IF(AND(O57&gt;Equity*Assm!$K$61,N57&lt;Equity*Assm!$K$61),O$6,0)</f>
        <v>0</v>
      </c>
      <c r="P62" s="297">
        <f ca="1">IF(AND(P57&gt;Equity*Assm!$K$61,O57&lt;Equity*Assm!$K$61),P$6,0)</f>
        <v>0</v>
      </c>
      <c r="Q62" s="297">
        <f ca="1">IF(AND(Q57&gt;Equity*Assm!$K$61,P57&lt;Equity*Assm!$K$61),Q$6,0)</f>
        <v>0</v>
      </c>
      <c r="R62" s="297">
        <f ca="1">IF(AND(R57&gt;Equity*Assm!$K$61,Q57&lt;Equity*Assm!$K$61),R$6,0)</f>
        <v>0</v>
      </c>
      <c r="S62" s="297">
        <f ca="1">IF(AND(S57&gt;Equity*Assm!$K$61,R57&lt;Equity*Assm!$K$61),S$6,0)</f>
        <v>0</v>
      </c>
      <c r="T62" s="297">
        <f ca="1">IF(AND(T57&gt;Equity*Assm!$K$61,S57&lt;Equity*Assm!$K$61),T$6,0)</f>
        <v>0</v>
      </c>
      <c r="U62" s="297">
        <f ca="1">IF(AND(U57&gt;Equity*Assm!$K$61,T57&lt;Equity*Assm!$K$61),U$6,0)</f>
        <v>14</v>
      </c>
      <c r="V62" s="297">
        <f ca="1">IF(AND(V57&gt;Equity*Assm!$K$61,U57&lt;Equity*Assm!$K$61),V$6,0)</f>
        <v>0</v>
      </c>
      <c r="W62" s="297">
        <f ca="1">IF(AND(W57&gt;Equity*Assm!$K$61,V57&lt;Equity*Assm!$K$61),W$6,0)</f>
        <v>0</v>
      </c>
      <c r="X62" s="297">
        <f ca="1">IF(AND(X57&gt;Equity*Assm!$K$61,W57&lt;Equity*Assm!$K$61),X$6,0)</f>
        <v>0</v>
      </c>
      <c r="Y62" s="297">
        <f ca="1">IF(AND(Y57&gt;Equity*Assm!$K$61,X57&lt;Equity*Assm!$K$61),Y$6,0)</f>
        <v>0</v>
      </c>
      <c r="Z62" s="297">
        <f ca="1">IF(AND(Z57&gt;Equity*Assm!$K$61,Y57&lt;Equity*Assm!$K$61),Z$6,0)</f>
        <v>0</v>
      </c>
      <c r="AA62" s="480"/>
    </row>
    <row r="63" spans="1:28">
      <c r="A63" s="139"/>
      <c r="C63" s="8"/>
      <c r="D63" s="8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472"/>
    </row>
    <row r="64" spans="1:28">
      <c r="A64" s="146" t="s">
        <v>536</v>
      </c>
      <c r="C64" s="8"/>
      <c r="D64" s="8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460"/>
      <c r="AB64" s="27"/>
    </row>
    <row r="65" spans="1:27">
      <c r="A65" s="139" t="s">
        <v>537</v>
      </c>
      <c r="C65" s="8"/>
      <c r="D65" s="8"/>
      <c r="E65" s="53">
        <f ca="1">-SUM(Returns!$E24:E24)</f>
        <v>3111.7009109999995</v>
      </c>
      <c r="F65" s="53">
        <f ca="1">-SUM(Returns!$E24:F24)</f>
        <v>12000.000002999999</v>
      </c>
      <c r="G65" s="53">
        <f ca="1">-SUM(Returns!$E24:G24)</f>
        <v>18000.000002999997</v>
      </c>
      <c r="H65" s="53">
        <f ca="1">-SUM(Returns!$E24:H24)</f>
        <v>18000.000002999997</v>
      </c>
      <c r="I65" s="53">
        <f ca="1">-SUM(Returns!$E24:I24)</f>
        <v>18000.000002999997</v>
      </c>
      <c r="J65" s="53">
        <f ca="1">-SUM(Returns!$E24:J24)</f>
        <v>18000.000002999997</v>
      </c>
      <c r="K65" s="53">
        <f ca="1">-SUM(Returns!$E24:K24)</f>
        <v>18000.000002999997</v>
      </c>
      <c r="L65" s="53">
        <f ca="1">-SUM(Returns!$E24:L24)</f>
        <v>18000.000002999997</v>
      </c>
      <c r="M65" s="53">
        <f ca="1">-SUM(Returns!$E24:M24)</f>
        <v>18000.000002999997</v>
      </c>
      <c r="N65" s="53">
        <f ca="1">-SUM(Returns!$E24:N24)</f>
        <v>18000.000002999997</v>
      </c>
      <c r="O65" s="53">
        <f ca="1">-SUM(Returns!$E24:O24)</f>
        <v>18000.000002999997</v>
      </c>
      <c r="P65" s="53">
        <f ca="1">-SUM(Returns!$E24:P24)</f>
        <v>18000.000002999997</v>
      </c>
      <c r="Q65" s="53">
        <f ca="1">-SUM(Returns!$E24:Q24)</f>
        <v>18000.000002999997</v>
      </c>
      <c r="R65" s="53">
        <f ca="1">-SUM(Returns!$E24:R24)</f>
        <v>18000.000002999997</v>
      </c>
      <c r="S65" s="53">
        <f ca="1">-SUM(Returns!$E24:S24)</f>
        <v>18000.000002999997</v>
      </c>
      <c r="T65" s="53">
        <f ca="1">-SUM(Returns!$E24:T24)</f>
        <v>18000.000002999997</v>
      </c>
      <c r="U65" s="53">
        <f ca="1">-SUM(Returns!$E24:U24)</f>
        <v>18000.000002999997</v>
      </c>
      <c r="V65" s="53">
        <f ca="1">-SUM(Returns!$E24:V24)</f>
        <v>18000.000002999997</v>
      </c>
      <c r="W65" s="53">
        <f ca="1">-SUM(Returns!$E24:W24)</f>
        <v>18000.000002999997</v>
      </c>
      <c r="X65" s="53">
        <f ca="1">-SUM(Returns!$E24:X24)</f>
        <v>18000.000002999997</v>
      </c>
      <c r="Y65" s="53">
        <f ca="1">-SUM(Returns!$E24:Y24)</f>
        <v>18000.000002999997</v>
      </c>
      <c r="Z65" s="53">
        <f ca="1">-SUM(Returns!$E24:Z24)</f>
        <v>18000.000002999997</v>
      </c>
      <c r="AA65" s="420">
        <f ca="1">SUM(E65:Z65)</f>
        <v>375111.70097400009</v>
      </c>
    </row>
    <row r="66" spans="1:27">
      <c r="A66" s="139" t="s">
        <v>538</v>
      </c>
      <c r="C66" s="8"/>
      <c r="D66" s="8"/>
      <c r="E66" s="226">
        <f ca="1">-SUM(Returns!$E25:E37)</f>
        <v>-576.54173877599919</v>
      </c>
      <c r="F66" s="226">
        <f ca="1">-SUM(Returns!$E25:F37)</f>
        <v>-3012.1136096175355</v>
      </c>
      <c r="G66" s="226">
        <f ca="1">-SUM(Returns!$E25:G37)</f>
        <v>-3263.8487117292011</v>
      </c>
      <c r="H66" s="226">
        <f ca="1">-SUM(Returns!$E25:H37)</f>
        <v>-4451.3860726796602</v>
      </c>
      <c r="I66" s="226">
        <f ca="1">-SUM(Returns!$E25:I37)</f>
        <v>-5886.6786787711562</v>
      </c>
      <c r="J66" s="226">
        <f ca="1">-SUM(Returns!$E25:J37)</f>
        <v>-6873.0498890293238</v>
      </c>
      <c r="K66" s="226">
        <f ca="1">-SUM(Returns!$E25:K37)</f>
        <v>-8337.9119883601597</v>
      </c>
      <c r="L66" s="226">
        <f ca="1">-SUM(Returns!$E25:L37)</f>
        <v>-8588.1950972476534</v>
      </c>
      <c r="M66" s="226">
        <f ca="1">-SUM(Returns!$E25:M37)</f>
        <v>-9841.8101421005722</v>
      </c>
      <c r="N66" s="226">
        <f ca="1">-SUM(Returns!$E25:N37)</f>
        <v>-11253.90257990596</v>
      </c>
      <c r="O66" s="226">
        <f ca="1">-SUM(Returns!$E25:O37)</f>
        <v>-13761.560153282768</v>
      </c>
      <c r="P66" s="226">
        <f ca="1">-SUM(Returns!$E25:P37)</f>
        <v>-17562.594142197351</v>
      </c>
      <c r="Q66" s="226">
        <f ca="1">-SUM(Returns!$E25:Q37)</f>
        <v>-21680.441529825199</v>
      </c>
      <c r="R66" s="226">
        <f ca="1">-SUM(Returns!$E25:R37)</f>
        <v>-25390.242872505034</v>
      </c>
      <c r="S66" s="226">
        <f ca="1">-SUM(Returns!$E25:S37)</f>
        <v>-27861.651884299732</v>
      </c>
      <c r="T66" s="226">
        <f ca="1">-SUM(Returns!$E25:T37)</f>
        <v>-30327.353149447379</v>
      </c>
      <c r="U66" s="226">
        <f ca="1">-SUM(Returns!$E25:U37)</f>
        <v>-33410.771315923055</v>
      </c>
      <c r="V66" s="226">
        <f ca="1">-SUM(Returns!$E25:V37)</f>
        <v>-37538.272744662405</v>
      </c>
      <c r="W66" s="226">
        <f ca="1">-SUM(Returns!$E25:W37)</f>
        <v>-43685.52333375084</v>
      </c>
      <c r="X66" s="226">
        <f ca="1">-SUM(Returns!$E25:X37)</f>
        <v>-49984.244017411096</v>
      </c>
      <c r="Y66" s="226">
        <f ca="1">-SUM(Returns!$E25:Y37)</f>
        <v>-56451.850058398217</v>
      </c>
      <c r="Z66" s="226">
        <f ca="1">-SUM(Returns!$E25:Z37)</f>
        <v>-160094.1859476555</v>
      </c>
      <c r="AA66" s="421">
        <f ca="1">SUM(E66:Z66)</f>
        <v>-579834.12965757574</v>
      </c>
    </row>
    <row r="67" spans="1:27">
      <c r="A67" s="139" t="s">
        <v>539</v>
      </c>
      <c r="C67" s="8"/>
      <c r="D67" s="8"/>
      <c r="E67" s="53">
        <f ca="1">SUM(E65:E66)</f>
        <v>2535.159172224</v>
      </c>
      <c r="F67" s="53">
        <f t="shared" ref="F67:X67" ca="1" si="21">SUM(F65:F66)</f>
        <v>8987.8863933824632</v>
      </c>
      <c r="G67" s="53">
        <f t="shared" ca="1" si="21"/>
        <v>14736.151291270797</v>
      </c>
      <c r="H67" s="53">
        <f t="shared" ca="1" si="21"/>
        <v>13548.613930320338</v>
      </c>
      <c r="I67" s="53">
        <f t="shared" ca="1" si="21"/>
        <v>12113.32132422884</v>
      </c>
      <c r="J67" s="53">
        <f t="shared" ca="1" si="21"/>
        <v>11126.950113970674</v>
      </c>
      <c r="K67" s="53">
        <f t="shared" ca="1" si="21"/>
        <v>9662.0880146398376</v>
      </c>
      <c r="L67" s="53">
        <f t="shared" ca="1" si="21"/>
        <v>9411.804905752344</v>
      </c>
      <c r="M67" s="53">
        <f t="shared" ca="1" si="21"/>
        <v>8158.1898608994252</v>
      </c>
      <c r="N67" s="53">
        <f t="shared" ca="1" si="21"/>
        <v>6746.0974230940374</v>
      </c>
      <c r="O67" s="53">
        <f t="shared" ca="1" si="21"/>
        <v>4238.4398497172297</v>
      </c>
      <c r="P67" s="53">
        <f t="shared" ca="1" si="21"/>
        <v>437.4058608026462</v>
      </c>
      <c r="Q67" s="53">
        <f t="shared" ca="1" si="21"/>
        <v>-3680.4415268252014</v>
      </c>
      <c r="R67" s="53">
        <f t="shared" ca="1" si="21"/>
        <v>-7390.2428695050367</v>
      </c>
      <c r="S67" s="53">
        <f t="shared" ca="1" si="21"/>
        <v>-9861.6518812997347</v>
      </c>
      <c r="T67" s="53">
        <f t="shared" ca="1" si="21"/>
        <v>-12327.353146447382</v>
      </c>
      <c r="U67" s="53">
        <f t="shared" ca="1" si="21"/>
        <v>-15410.771312923058</v>
      </c>
      <c r="V67" s="53">
        <f t="shared" ca="1" si="21"/>
        <v>-19538.272741662407</v>
      </c>
      <c r="W67" s="53">
        <f t="shared" ca="1" si="21"/>
        <v>-25685.523330750842</v>
      </c>
      <c r="X67" s="53">
        <f t="shared" ca="1" si="21"/>
        <v>-31984.244014411099</v>
      </c>
      <c r="Y67" s="53">
        <f ca="1">SUM(Y65:Y66)</f>
        <v>-38451.850055398216</v>
      </c>
      <c r="Z67" s="53">
        <f ca="1">SUM(Z65:Z66)</f>
        <v>-142094.1859446555</v>
      </c>
      <c r="AA67" s="420">
        <f ca="1">SUM(E67:Z67)</f>
        <v>-204722.42868357582</v>
      </c>
    </row>
    <row r="68" spans="1:27">
      <c r="A68" s="139" t="s">
        <v>540</v>
      </c>
      <c r="C68" s="8"/>
      <c r="D68" s="8"/>
      <c r="E68" s="35">
        <f>Ecf</f>
        <v>6.5000000000000002E-2</v>
      </c>
      <c r="F68" s="35">
        <f t="shared" ref="F68:Z68" si="22">Ecf</f>
        <v>6.5000000000000002E-2</v>
      </c>
      <c r="G68" s="35">
        <f t="shared" si="22"/>
        <v>6.5000000000000002E-2</v>
      </c>
      <c r="H68" s="35">
        <f t="shared" si="22"/>
        <v>6.5000000000000002E-2</v>
      </c>
      <c r="I68" s="35">
        <f t="shared" si="22"/>
        <v>6.5000000000000002E-2</v>
      </c>
      <c r="J68" s="35">
        <f t="shared" si="22"/>
        <v>6.5000000000000002E-2</v>
      </c>
      <c r="K68" s="35">
        <f t="shared" si="22"/>
        <v>6.5000000000000002E-2</v>
      </c>
      <c r="L68" s="35">
        <f t="shared" si="22"/>
        <v>6.5000000000000002E-2</v>
      </c>
      <c r="M68" s="35">
        <f t="shared" si="22"/>
        <v>6.5000000000000002E-2</v>
      </c>
      <c r="N68" s="35">
        <f t="shared" si="22"/>
        <v>6.5000000000000002E-2</v>
      </c>
      <c r="O68" s="35">
        <f t="shared" si="22"/>
        <v>6.5000000000000002E-2</v>
      </c>
      <c r="P68" s="35">
        <f t="shared" si="22"/>
        <v>6.5000000000000002E-2</v>
      </c>
      <c r="Q68" s="35">
        <f t="shared" si="22"/>
        <v>6.5000000000000002E-2</v>
      </c>
      <c r="R68" s="35">
        <f t="shared" si="22"/>
        <v>6.5000000000000002E-2</v>
      </c>
      <c r="S68" s="35">
        <f t="shared" si="22"/>
        <v>6.5000000000000002E-2</v>
      </c>
      <c r="T68" s="35">
        <f t="shared" si="22"/>
        <v>6.5000000000000002E-2</v>
      </c>
      <c r="U68" s="35">
        <f t="shared" si="22"/>
        <v>6.5000000000000002E-2</v>
      </c>
      <c r="V68" s="35">
        <f t="shared" si="22"/>
        <v>6.5000000000000002E-2</v>
      </c>
      <c r="W68" s="35">
        <f t="shared" si="22"/>
        <v>6.5000000000000002E-2</v>
      </c>
      <c r="X68" s="35">
        <f t="shared" si="22"/>
        <v>6.5000000000000002E-2</v>
      </c>
      <c r="Y68" s="35">
        <f t="shared" si="22"/>
        <v>6.5000000000000002E-2</v>
      </c>
      <c r="Z68" s="35">
        <f t="shared" si="22"/>
        <v>6.5000000000000002E-2</v>
      </c>
      <c r="AA68" s="481"/>
    </row>
    <row r="69" spans="1:27">
      <c r="A69" s="139"/>
      <c r="B69" s="8" t="s">
        <v>541</v>
      </c>
      <c r="C69" s="8"/>
      <c r="D69" s="8"/>
      <c r="E69" s="53">
        <f ca="1">E67*E68</f>
        <v>164.78534619456002</v>
      </c>
      <c r="F69" s="53">
        <f t="shared" ref="F69:X69" ca="1" si="23">F67*F68</f>
        <v>584.21261556986008</v>
      </c>
      <c r="G69" s="53">
        <f t="shared" ca="1" si="23"/>
        <v>957.84983393260177</v>
      </c>
      <c r="H69" s="53">
        <f t="shared" ca="1" si="23"/>
        <v>880.65990547082197</v>
      </c>
      <c r="I69" s="53">
        <f t="shared" ca="1" si="23"/>
        <v>787.36588607487465</v>
      </c>
      <c r="J69" s="53">
        <f t="shared" ca="1" si="23"/>
        <v>723.25175740809379</v>
      </c>
      <c r="K69" s="53">
        <f t="shared" ca="1" si="23"/>
        <v>628.0357209515895</v>
      </c>
      <c r="L69" s="53">
        <f t="shared" ca="1" si="23"/>
        <v>611.76731887390235</v>
      </c>
      <c r="M69" s="53">
        <f t="shared" ca="1" si="23"/>
        <v>530.28234095846267</v>
      </c>
      <c r="N69" s="53">
        <f t="shared" ca="1" si="23"/>
        <v>438.49633250111242</v>
      </c>
      <c r="O69" s="53">
        <f t="shared" ca="1" si="23"/>
        <v>275.49859023161991</v>
      </c>
      <c r="P69" s="53">
        <f t="shared" ca="1" si="23"/>
        <v>28.431380952172002</v>
      </c>
      <c r="Q69" s="53">
        <f t="shared" ca="1" si="23"/>
        <v>-239.22869924363809</v>
      </c>
      <c r="R69" s="53">
        <f t="shared" ca="1" si="23"/>
        <v>-480.36578651782742</v>
      </c>
      <c r="S69" s="53">
        <f t="shared" ca="1" si="23"/>
        <v>-641.00737228448281</v>
      </c>
      <c r="T69" s="53">
        <f t="shared" ca="1" si="23"/>
        <v>-801.2779545190798</v>
      </c>
      <c r="U69" s="53">
        <f t="shared" ca="1" si="23"/>
        <v>-1001.7001353399988</v>
      </c>
      <c r="V69" s="53">
        <f t="shared" ca="1" si="23"/>
        <v>-1269.9877282080565</v>
      </c>
      <c r="W69" s="53">
        <f t="shared" ca="1" si="23"/>
        <v>-1669.5590164988048</v>
      </c>
      <c r="X69" s="53">
        <f t="shared" ca="1" si="23"/>
        <v>-2078.9758609367213</v>
      </c>
      <c r="Y69" s="53">
        <f ca="1">Y67*Y68</f>
        <v>-2499.3702536008841</v>
      </c>
      <c r="Z69" s="53">
        <f ca="1">Z67*Z68</f>
        <v>-9236.1220864026072</v>
      </c>
      <c r="AA69" s="420">
        <f ca="1">SUM(E69:Z69)</f>
        <v>-13306.957864432428</v>
      </c>
    </row>
    <row r="70" spans="1:27">
      <c r="A70" s="13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416"/>
    </row>
    <row r="71" spans="1:27" ht="13.5" thickBot="1">
      <c r="A71" s="141"/>
      <c r="B71" s="147" t="s">
        <v>542</v>
      </c>
      <c r="C71" s="76"/>
      <c r="D71" s="76"/>
      <c r="E71" s="469">
        <f ca="1">SUM($E69:E69)</f>
        <v>164.78534619456002</v>
      </c>
      <c r="F71" s="469">
        <f ca="1">SUM($E69:F69)</f>
        <v>748.9979617644201</v>
      </c>
      <c r="G71" s="469">
        <f ca="1">SUM($E69:G69)</f>
        <v>1706.8477956970219</v>
      </c>
      <c r="H71" s="469">
        <f ca="1">SUM($E69:H69)</f>
        <v>2587.5077011678441</v>
      </c>
      <c r="I71" s="469">
        <f ca="1">SUM($E69:I69)</f>
        <v>3374.8735872427187</v>
      </c>
      <c r="J71" s="469">
        <f ca="1">SUM($E69:J69)</f>
        <v>4098.1253446508126</v>
      </c>
      <c r="K71" s="469">
        <f ca="1">SUM($E69:K69)</f>
        <v>4726.1610656024022</v>
      </c>
      <c r="L71" s="469">
        <f ca="1">SUM($E69:L69)</f>
        <v>5337.9283844763049</v>
      </c>
      <c r="M71" s="469">
        <f ca="1">SUM($E69:M69)</f>
        <v>5868.2107254347675</v>
      </c>
      <c r="N71" s="469">
        <f ca="1">SUM($E69:N69)</f>
        <v>6306.7070579358797</v>
      </c>
      <c r="O71" s="469">
        <f ca="1">SUM($E69:O69)</f>
        <v>6582.2056481674999</v>
      </c>
      <c r="P71" s="469">
        <f ca="1">SUM($E69:P69)</f>
        <v>6610.6370291196718</v>
      </c>
      <c r="Q71" s="469">
        <f ca="1">SUM($E69:Q69)</f>
        <v>6371.4083298760333</v>
      </c>
      <c r="R71" s="469">
        <f ca="1">SUM($E69:R69)</f>
        <v>5891.0425433582059</v>
      </c>
      <c r="S71" s="469">
        <f ca="1">SUM($E69:S69)</f>
        <v>5250.0351710737232</v>
      </c>
      <c r="T71" s="469">
        <f ca="1">SUM($E69:T69)</f>
        <v>4448.7572165546435</v>
      </c>
      <c r="U71" s="469">
        <f ca="1">SUM($E69:U69)</f>
        <v>3447.0570812146448</v>
      </c>
      <c r="V71" s="469">
        <f ca="1">SUM($E69:V69)</f>
        <v>2177.0693530065882</v>
      </c>
      <c r="W71" s="469">
        <f ca="1">SUM($E69:W69)</f>
        <v>507.51033650778345</v>
      </c>
      <c r="X71" s="469">
        <f ca="1">SUM($E69:X69)</f>
        <v>-1571.4655244289379</v>
      </c>
      <c r="Y71" s="469">
        <f ca="1">SUM($E69:Y69)</f>
        <v>-4070.835778029822</v>
      </c>
      <c r="Z71" s="469">
        <f ca="1">SUM($E69:Z69)</f>
        <v>-13306.957864432428</v>
      </c>
      <c r="AA71" s="429"/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91</vt:i4>
      </vt:variant>
    </vt:vector>
  </HeadingPairs>
  <TitlesOfParts>
    <vt:vector size="115" baseType="lpstr">
      <vt:lpstr>TOC</vt:lpstr>
      <vt:lpstr>Assm</vt:lpstr>
      <vt:lpstr>CF</vt:lpstr>
      <vt:lpstr>RAROC</vt:lpstr>
      <vt:lpstr>CommonSize</vt:lpstr>
      <vt:lpstr>BS_IS</vt:lpstr>
      <vt:lpstr>Returns</vt:lpstr>
      <vt:lpstr>CS_INC</vt:lpstr>
      <vt:lpstr>EINC</vt:lpstr>
      <vt:lpstr>PLRisk</vt:lpstr>
      <vt:lpstr>Trapped</vt:lpstr>
      <vt:lpstr>Turnkey</vt:lpstr>
      <vt:lpstr>Drawdown</vt:lpstr>
      <vt:lpstr>IDC</vt:lpstr>
      <vt:lpstr>Debt Amort</vt:lpstr>
      <vt:lpstr>Taxes</vt:lpstr>
      <vt:lpstr>Depr</vt:lpstr>
      <vt:lpstr>Ref1</vt:lpstr>
      <vt:lpstr>Ref2</vt:lpstr>
      <vt:lpstr>Ref3</vt:lpstr>
      <vt:lpstr>Ref4</vt:lpstr>
      <vt:lpstr>Ref5</vt:lpstr>
      <vt:lpstr>Transportation</vt:lpstr>
      <vt:lpstr>Escalation</vt:lpstr>
      <vt:lpstr>BL</vt:lpstr>
      <vt:lpstr>BS_Table</vt:lpstr>
      <vt:lpstr>Capacity</vt:lpstr>
      <vt:lpstr>CF_Table</vt:lpstr>
      <vt:lpstr>Com_Inputs</vt:lpstr>
      <vt:lpstr>Com_Values</vt:lpstr>
      <vt:lpstr>Commit_Factor</vt:lpstr>
      <vt:lpstr>Corp_Tax</vt:lpstr>
      <vt:lpstr>Cost</vt:lpstr>
      <vt:lpstr>CPI</vt:lpstr>
      <vt:lpstr>Curves_Table</vt:lpstr>
      <vt:lpstr>Debt</vt:lpstr>
      <vt:lpstr>Debt_Perc</vt:lpstr>
      <vt:lpstr>Debt_Serv</vt:lpstr>
      <vt:lpstr>Escalation!Dec_Change</vt:lpstr>
      <vt:lpstr>Depr_Table</vt:lpstr>
      <vt:lpstr>Dilute_Date</vt:lpstr>
      <vt:lpstr>Disc</vt:lpstr>
      <vt:lpstr>Draw_Table</vt:lpstr>
      <vt:lpstr>Draw_Table2</vt:lpstr>
      <vt:lpstr>DS_Table</vt:lpstr>
      <vt:lpstr>Ecf</vt:lpstr>
      <vt:lpstr>Endyr</vt:lpstr>
      <vt:lpstr>Equity</vt:lpstr>
      <vt:lpstr>Equity_Perc</vt:lpstr>
      <vt:lpstr>Est_Commit</vt:lpstr>
      <vt:lpstr>Est_Cost</vt:lpstr>
      <vt:lpstr>Est_Fin</vt:lpstr>
      <vt:lpstr>Est_IDC</vt:lpstr>
      <vt:lpstr>Est_WhTax</vt:lpstr>
      <vt:lpstr>Fin_Close</vt:lpstr>
      <vt:lpstr>Fin_Table</vt:lpstr>
      <vt:lpstr>Guarantee_Fee_Table</vt:lpstr>
      <vt:lpstr>Idc_Table</vt:lpstr>
      <vt:lpstr>Inputs</vt:lpstr>
      <vt:lpstr>Int_BL</vt:lpstr>
      <vt:lpstr>IRR</vt:lpstr>
      <vt:lpstr>Linefill</vt:lpstr>
      <vt:lpstr>Loopfactor</vt:lpstr>
      <vt:lpstr>NGO_Table</vt:lpstr>
      <vt:lpstr>Nol</vt:lpstr>
      <vt:lpstr>Npv</vt:lpstr>
      <vt:lpstr>Opic</vt:lpstr>
      <vt:lpstr>Pipe_NTP</vt:lpstr>
      <vt:lpstr>Pipe_RFS</vt:lpstr>
      <vt:lpstr>Assm!Print_Area</vt:lpstr>
      <vt:lpstr>BS_IS!Print_Area</vt:lpstr>
      <vt:lpstr>CF!Print_Area</vt:lpstr>
      <vt:lpstr>CommonSize!Print_Area</vt:lpstr>
      <vt:lpstr>'Debt Amort'!Print_Area</vt:lpstr>
      <vt:lpstr>Depr!Print_Area</vt:lpstr>
      <vt:lpstr>Drawdown!Print_Area</vt:lpstr>
      <vt:lpstr>EINC!Print_Area</vt:lpstr>
      <vt:lpstr>Escalation!Print_Area</vt:lpstr>
      <vt:lpstr>IDC!Print_Area</vt:lpstr>
      <vt:lpstr>PLRisk!Print_Area</vt:lpstr>
      <vt:lpstr>Ref1!Print_Area</vt:lpstr>
      <vt:lpstr>Ref2!Print_Area</vt:lpstr>
      <vt:lpstr>Ref4!Print_Area</vt:lpstr>
      <vt:lpstr>Ref5!Print_Area</vt:lpstr>
      <vt:lpstr>Returns!Print_Area</vt:lpstr>
      <vt:lpstr>Taxes!Print_Area</vt:lpstr>
      <vt:lpstr>TOC!Print_Area</vt:lpstr>
      <vt:lpstr>Trapped!Print_Area</vt:lpstr>
      <vt:lpstr>Turnkey!Print_Area</vt:lpstr>
      <vt:lpstr>Escalation!Print_Titles</vt:lpstr>
      <vt:lpstr>Ret_Table</vt:lpstr>
      <vt:lpstr>Revenue_Table</vt:lpstr>
      <vt:lpstr>Sirese_Tax</vt:lpstr>
      <vt:lpstr>Startconst</vt:lpstr>
      <vt:lpstr>Startops1</vt:lpstr>
      <vt:lpstr>Startops2</vt:lpstr>
      <vt:lpstr>Subdebt</vt:lpstr>
      <vt:lpstr>Subdebt_Perc</vt:lpstr>
      <vt:lpstr>Target</vt:lpstr>
      <vt:lpstr>Tariff_Cap</vt:lpstr>
      <vt:lpstr>Tariff_Var</vt:lpstr>
      <vt:lpstr>Tax_Table</vt:lpstr>
      <vt:lpstr>Term</vt:lpstr>
      <vt:lpstr>Term_C</vt:lpstr>
      <vt:lpstr>TOC</vt:lpstr>
      <vt:lpstr>Total_BL</vt:lpstr>
      <vt:lpstr>Trans_Tax</vt:lpstr>
      <vt:lpstr>USTax</vt:lpstr>
      <vt:lpstr>Values</vt:lpstr>
      <vt:lpstr>Vat</vt:lpstr>
      <vt:lpstr>Vat_Table</vt:lpstr>
      <vt:lpstr>Wcap</vt:lpstr>
      <vt:lpstr>Wh_Div_NR</vt:lpstr>
      <vt:lpstr>Wh_Int</vt:lpstr>
      <vt:lpstr>Wh_Serv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L. Gobbi</dc:creator>
  <cp:lastModifiedBy>Jan Havlíček</cp:lastModifiedBy>
  <cp:lastPrinted>2000-05-17T23:43:15Z</cp:lastPrinted>
  <dcterms:created xsi:type="dcterms:W3CDTF">1997-08-11T15:08:58Z</dcterms:created>
  <dcterms:modified xsi:type="dcterms:W3CDTF">2023-09-13T16:17:18Z</dcterms:modified>
</cp:coreProperties>
</file>