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AF9837F-1E8A-46C5-B316-913FBA6B2447}" xr6:coauthVersionLast="47" xr6:coauthVersionMax="47" xr10:uidLastSave="{00000000-0000-0000-0000-000000000000}"/>
  <bookViews>
    <workbookView xWindow="-120" yWindow="-120" windowWidth="38640" windowHeight="15720" tabRatio="913" firstSheet="1" activeTab="6"/>
  </bookViews>
  <sheets>
    <sheet name="Co 359 Invoice" sheetId="13" state="hidden" r:id="rId1"/>
    <sheet name="Co 011 Invoice" sheetId="1" r:id="rId2"/>
    <sheet name="Co 34V" sheetId="34" state="hidden" r:id="rId3"/>
    <sheet name="ICFeb correction" sheetId="29" state="hidden" r:id="rId4"/>
    <sheet name="ICAprest" sheetId="27" state="hidden" r:id="rId5"/>
    <sheet name="Additional Inv for CC to Corp" sheetId="40" state="hidden" r:id="rId6"/>
    <sheet name="Eng Ops" sheetId="42" r:id="rId7"/>
    <sheet name="Research Detail" sheetId="41" r:id="rId8"/>
    <sheet name="HR Detail" sheetId="39" r:id="rId9"/>
    <sheet name="ESource" sheetId="43" r:id="rId10"/>
    <sheet name="IT Detail" sheetId="36" r:id="rId11"/>
  </sheets>
  <externalReferences>
    <externalReference r:id="rId12"/>
    <externalReference r:id="rId13"/>
    <externalReference r:id="rId14"/>
    <externalReference r:id="rId15"/>
    <externalReference r:id="rId16"/>
  </externalReferences>
  <definedNames>
    <definedName name="ADDRESS">#REF!</definedName>
    <definedName name="BANKS">#REF!</definedName>
    <definedName name="clear">[1]Entry!$C$6,[1]Entry!$E$6,[1]Entry!$G$6,[1]Entry!$J$6,[1]Entry!$K$6,[1]Entry!$M$6,[1]Entry!$O$6,[1]Entry!$C$12,[1]Entry!$C$12:$P$40,[1]Entry!$D$45:$E$47,[1]Entry!$A$46:$C$47,[1]Entry!$C$60:$P$88,[1]Entry!$D$93:$E$95,[1]Entry!$A$94:$C$95,[1]Entry!$C$108:$P$136,[1]Entry!$D$141:$E$143,[1]Entry!$A$142:$C$143,[1]Entry!$C$156:$P$184,[1]Entry!$D$189:$E$191,[1]Entry!$A$190:$C$191</definedName>
    <definedName name="_JE1">#REF!</definedName>
    <definedName name="_JE2">#REF!</definedName>
    <definedName name="_xlnm.Print_Area" localSheetId="1">'Co 011 Invoice'!$A$1:$C$35</definedName>
    <definedName name="REMIT">#REF!</definedName>
  </definedNames>
  <calcPr calcId="0"/>
</workbook>
</file>

<file path=xl/calcChain.xml><?xml version="1.0" encoding="utf-8"?>
<calcChain xmlns="http://schemas.openxmlformats.org/spreadsheetml/2006/main">
  <c r="C8" i="40" l="1"/>
  <c r="C14" i="40"/>
  <c r="C19" i="40"/>
  <c r="C23" i="40"/>
  <c r="C27" i="40"/>
  <c r="C32" i="40"/>
  <c r="C35" i="40"/>
  <c r="C12" i="1"/>
  <c r="C14" i="1"/>
  <c r="C16" i="1"/>
  <c r="C18" i="1"/>
  <c r="C20" i="1"/>
  <c r="C22" i="1"/>
  <c r="C26" i="1"/>
  <c r="C28" i="1"/>
  <c r="C30" i="1"/>
  <c r="C32" i="1"/>
  <c r="C35" i="1"/>
  <c r="C8" i="34"/>
  <c r="C14" i="34"/>
  <c r="C19" i="34"/>
  <c r="C27" i="34"/>
  <c r="C32" i="34"/>
  <c r="C35" i="34"/>
  <c r="A9" i="13"/>
  <c r="C14" i="13"/>
  <c r="C18" i="13"/>
  <c r="C22" i="13"/>
  <c r="C26" i="13"/>
  <c r="C29" i="13"/>
  <c r="C32" i="13"/>
  <c r="D9" i="42"/>
  <c r="D11" i="42"/>
  <c r="F10" i="39"/>
  <c r="G10" i="39"/>
  <c r="H10" i="39"/>
  <c r="I10" i="39"/>
  <c r="F11" i="39"/>
  <c r="G11" i="39"/>
  <c r="H11" i="39"/>
  <c r="I11" i="39"/>
  <c r="F12" i="39"/>
  <c r="G12" i="39"/>
  <c r="H12" i="39"/>
  <c r="I12" i="39"/>
  <c r="F13" i="39"/>
  <c r="G13" i="39"/>
  <c r="H13" i="39"/>
  <c r="I13" i="39"/>
  <c r="F14" i="39"/>
  <c r="G14" i="39"/>
  <c r="H14" i="39"/>
  <c r="I14" i="39"/>
  <c r="I49" i="39"/>
  <c r="I50" i="39"/>
  <c r="I51" i="39"/>
  <c r="I52" i="39"/>
  <c r="I53" i="39"/>
  <c r="I54" i="39"/>
  <c r="I55" i="39"/>
  <c r="I56" i="39"/>
  <c r="I57" i="39"/>
  <c r="I58" i="39"/>
  <c r="J59" i="39"/>
  <c r="K59" i="39"/>
  <c r="I61" i="39"/>
  <c r="I62" i="39"/>
  <c r="I63" i="39"/>
  <c r="H64" i="39"/>
  <c r="I64" i="39"/>
  <c r="H65" i="39"/>
  <c r="I65" i="39"/>
  <c r="H66" i="39"/>
  <c r="I66" i="39"/>
  <c r="I67" i="39"/>
  <c r="I68" i="39"/>
  <c r="I69" i="39"/>
  <c r="I70" i="39"/>
  <c r="G71" i="39"/>
  <c r="I71" i="39"/>
  <c r="I72" i="39"/>
  <c r="I73" i="39"/>
  <c r="I74" i="39"/>
  <c r="J75" i="39"/>
  <c r="K75" i="39"/>
  <c r="G77" i="39"/>
  <c r="I77" i="39"/>
  <c r="J78" i="39"/>
  <c r="K78" i="39"/>
  <c r="I80" i="39"/>
  <c r="J81" i="39"/>
  <c r="K81" i="39"/>
  <c r="G83" i="39"/>
  <c r="I83" i="39"/>
  <c r="J84" i="39"/>
  <c r="K84" i="39"/>
  <c r="I86" i="39"/>
  <c r="H87" i="39"/>
  <c r="I87" i="39"/>
  <c r="I88" i="39"/>
  <c r="I89" i="39"/>
  <c r="J91" i="39"/>
  <c r="K91" i="39"/>
  <c r="I93" i="39"/>
  <c r="I94" i="39"/>
  <c r="I95" i="39"/>
  <c r="I96" i="39"/>
  <c r="I97" i="39"/>
  <c r="I98" i="39"/>
  <c r="I100" i="39"/>
  <c r="J101" i="39"/>
  <c r="K101" i="39"/>
  <c r="J103" i="39"/>
  <c r="K103" i="39"/>
  <c r="B106" i="39"/>
  <c r="E8" i="27"/>
  <c r="F8" i="27"/>
  <c r="G8" i="27"/>
  <c r="J8" i="27"/>
  <c r="K8" i="27"/>
  <c r="N8" i="27"/>
  <c r="O8" i="27"/>
  <c r="R8" i="27"/>
  <c r="S8" i="27"/>
  <c r="V8" i="27"/>
  <c r="W8" i="27"/>
  <c r="Z8" i="27"/>
  <c r="AA8" i="27"/>
  <c r="AD8" i="27"/>
  <c r="AE8" i="27"/>
  <c r="AG8" i="27"/>
  <c r="AH8" i="27"/>
  <c r="AI8" i="27"/>
  <c r="E9" i="27"/>
  <c r="F9" i="27"/>
  <c r="G9" i="27"/>
  <c r="J9" i="27"/>
  <c r="K9" i="27"/>
  <c r="N9" i="27"/>
  <c r="O9" i="27"/>
  <c r="R9" i="27"/>
  <c r="S9" i="27"/>
  <c r="V9" i="27"/>
  <c r="W9" i="27"/>
  <c r="Z9" i="27"/>
  <c r="AA9" i="27"/>
  <c r="AD9" i="27"/>
  <c r="AE9" i="27"/>
  <c r="AG9" i="27"/>
  <c r="AH9" i="27"/>
  <c r="AI9" i="27"/>
  <c r="E10" i="27"/>
  <c r="F10" i="27"/>
  <c r="G10" i="27"/>
  <c r="J10" i="27"/>
  <c r="K10" i="27"/>
  <c r="N10" i="27"/>
  <c r="O10" i="27"/>
  <c r="R10" i="27"/>
  <c r="S10" i="27"/>
  <c r="V10" i="27"/>
  <c r="W10" i="27"/>
  <c r="Z10" i="27"/>
  <c r="AA10" i="27"/>
  <c r="AD10" i="27"/>
  <c r="AE10" i="27"/>
  <c r="AG10" i="27"/>
  <c r="AH10" i="27"/>
  <c r="AI10" i="27"/>
  <c r="E11" i="27"/>
  <c r="F11" i="27"/>
  <c r="G11" i="27"/>
  <c r="J11" i="27"/>
  <c r="K11" i="27"/>
  <c r="N11" i="27"/>
  <c r="O11" i="27"/>
  <c r="R11" i="27"/>
  <c r="S11" i="27"/>
  <c r="V11" i="27"/>
  <c r="W11" i="27"/>
  <c r="Z11" i="27"/>
  <c r="AA11" i="27"/>
  <c r="AD11" i="27"/>
  <c r="AE11" i="27"/>
  <c r="AG11" i="27"/>
  <c r="AH11" i="27"/>
  <c r="AI11" i="27"/>
  <c r="E12" i="27"/>
  <c r="F12" i="27"/>
  <c r="G12" i="27"/>
  <c r="J12" i="27"/>
  <c r="K12" i="27"/>
  <c r="N12" i="27"/>
  <c r="O12" i="27"/>
  <c r="R12" i="27"/>
  <c r="S12" i="27"/>
  <c r="V12" i="27"/>
  <c r="W12" i="27"/>
  <c r="Z12" i="27"/>
  <c r="AA12" i="27"/>
  <c r="AD12" i="27"/>
  <c r="AE12" i="27"/>
  <c r="AG12" i="27"/>
  <c r="AH12" i="27"/>
  <c r="AI12" i="27"/>
  <c r="E13" i="27"/>
  <c r="F13" i="27"/>
  <c r="G13" i="27"/>
  <c r="J13" i="27"/>
  <c r="K13" i="27"/>
  <c r="N13" i="27"/>
  <c r="O13" i="27"/>
  <c r="R13" i="27"/>
  <c r="S13" i="27"/>
  <c r="V13" i="27"/>
  <c r="W13" i="27"/>
  <c r="Z13" i="27"/>
  <c r="AA13" i="27"/>
  <c r="AD13" i="27"/>
  <c r="AE13" i="27"/>
  <c r="AG13" i="27"/>
  <c r="AH13" i="27"/>
  <c r="AI13" i="27"/>
  <c r="E14" i="27"/>
  <c r="F14" i="27"/>
  <c r="G14" i="27"/>
  <c r="J14" i="27"/>
  <c r="K14" i="27"/>
  <c r="N14" i="27"/>
  <c r="O14" i="27"/>
  <c r="R14" i="27"/>
  <c r="S14" i="27"/>
  <c r="V14" i="27"/>
  <c r="W14" i="27"/>
  <c r="Z14" i="27"/>
  <c r="AA14" i="27"/>
  <c r="AD14" i="27"/>
  <c r="AE14" i="27"/>
  <c r="AG14" i="27"/>
  <c r="AH14" i="27"/>
  <c r="AI14" i="27"/>
  <c r="E15" i="27"/>
  <c r="F15" i="27"/>
  <c r="G15" i="27"/>
  <c r="J15" i="27"/>
  <c r="K15" i="27"/>
  <c r="N15" i="27"/>
  <c r="O15" i="27"/>
  <c r="R15" i="27"/>
  <c r="S15" i="27"/>
  <c r="V15" i="27"/>
  <c r="W15" i="27"/>
  <c r="Z15" i="27"/>
  <c r="AA15" i="27"/>
  <c r="AD15" i="27"/>
  <c r="AE15" i="27"/>
  <c r="AG15" i="27"/>
  <c r="AH15" i="27"/>
  <c r="AI15" i="27"/>
  <c r="E16" i="27"/>
  <c r="F16" i="27"/>
  <c r="G16" i="27"/>
  <c r="J16" i="27"/>
  <c r="K16" i="27"/>
  <c r="N16" i="27"/>
  <c r="O16" i="27"/>
  <c r="R16" i="27"/>
  <c r="S16" i="27"/>
  <c r="V16" i="27"/>
  <c r="W16" i="27"/>
  <c r="Z16" i="27"/>
  <c r="AA16" i="27"/>
  <c r="AD16" i="27"/>
  <c r="AE16" i="27"/>
  <c r="AG16" i="27"/>
  <c r="AH16" i="27"/>
  <c r="AI16" i="27"/>
  <c r="E17" i="27"/>
  <c r="F17" i="27"/>
  <c r="G17" i="27"/>
  <c r="J17" i="27"/>
  <c r="K17" i="27"/>
  <c r="N17" i="27"/>
  <c r="O17" i="27"/>
  <c r="R17" i="27"/>
  <c r="S17" i="27"/>
  <c r="V17" i="27"/>
  <c r="W17" i="27"/>
  <c r="Z17" i="27"/>
  <c r="AA17" i="27"/>
  <c r="AD17" i="27"/>
  <c r="AE17" i="27"/>
  <c r="AG17" i="27"/>
  <c r="AH17" i="27"/>
  <c r="AI17" i="27"/>
  <c r="E18" i="27"/>
  <c r="F18" i="27"/>
  <c r="G18" i="27"/>
  <c r="J18" i="27"/>
  <c r="K18" i="27"/>
  <c r="N18" i="27"/>
  <c r="O18" i="27"/>
  <c r="R18" i="27"/>
  <c r="S18" i="27"/>
  <c r="V18" i="27"/>
  <c r="W18" i="27"/>
  <c r="Z18" i="27"/>
  <c r="AA18" i="27"/>
  <c r="AD18" i="27"/>
  <c r="AE18" i="27"/>
  <c r="AG18" i="27"/>
  <c r="AH18" i="27"/>
  <c r="AI18" i="27"/>
  <c r="E19" i="27"/>
  <c r="F19" i="27"/>
  <c r="G19" i="27"/>
  <c r="J19" i="27"/>
  <c r="K19" i="27"/>
  <c r="N19" i="27"/>
  <c r="O19" i="27"/>
  <c r="R19" i="27"/>
  <c r="S19" i="27"/>
  <c r="W19" i="27"/>
  <c r="Z19" i="27"/>
  <c r="AA19" i="27"/>
  <c r="AD19" i="27"/>
  <c r="AE19" i="27"/>
  <c r="AG19" i="27"/>
  <c r="AH19" i="27"/>
  <c r="AI19" i="27"/>
  <c r="E20" i="27"/>
  <c r="F20" i="27"/>
  <c r="G20" i="27"/>
  <c r="J20" i="27"/>
  <c r="K20" i="27"/>
  <c r="N20" i="27"/>
  <c r="O20" i="27"/>
  <c r="R20" i="27"/>
  <c r="S20" i="27"/>
  <c r="W20" i="27"/>
  <c r="Z20" i="27"/>
  <c r="AA20" i="27"/>
  <c r="AD20" i="27"/>
  <c r="AE20" i="27"/>
  <c r="AG20" i="27"/>
  <c r="AH20" i="27"/>
  <c r="AI20" i="27"/>
  <c r="E21" i="27"/>
  <c r="F21" i="27"/>
  <c r="G21" i="27"/>
  <c r="K21" i="27"/>
  <c r="O21" i="27"/>
  <c r="R21" i="27"/>
  <c r="S21" i="27"/>
  <c r="W21" i="27"/>
  <c r="AA21" i="27"/>
  <c r="AD21" i="27"/>
  <c r="AE21" i="27"/>
  <c r="AG21" i="27"/>
  <c r="AH21" i="27"/>
  <c r="AI21" i="27"/>
  <c r="E22" i="27"/>
  <c r="K22" i="27"/>
  <c r="O22" i="27"/>
  <c r="R22" i="27"/>
  <c r="S22" i="27"/>
  <c r="AA22" i="27"/>
  <c r="AE22" i="27"/>
  <c r="AG22" i="27"/>
  <c r="AH22" i="27"/>
  <c r="AI22" i="27"/>
  <c r="E23" i="27"/>
  <c r="F23" i="27"/>
  <c r="G23" i="27"/>
  <c r="J23" i="27"/>
  <c r="K23" i="27"/>
  <c r="N23" i="27"/>
  <c r="O23" i="27"/>
  <c r="AG23" i="27"/>
  <c r="AH23" i="27"/>
  <c r="AI23" i="27"/>
  <c r="AK24" i="27"/>
  <c r="AL24" i="27"/>
  <c r="E25" i="27"/>
  <c r="F25" i="27"/>
  <c r="G25" i="27"/>
  <c r="I25" i="27"/>
  <c r="J25" i="27"/>
  <c r="K25" i="27"/>
  <c r="M25" i="27"/>
  <c r="N25" i="27"/>
  <c r="O25" i="27"/>
  <c r="Q25" i="27"/>
  <c r="R25" i="27"/>
  <c r="S25" i="27"/>
  <c r="U25" i="27"/>
  <c r="V25" i="27"/>
  <c r="W25" i="27"/>
  <c r="Y25" i="27"/>
  <c r="Z25" i="27"/>
  <c r="AA25" i="27"/>
  <c r="AC25" i="27"/>
  <c r="AD25" i="27"/>
  <c r="AE25" i="27"/>
  <c r="AG25" i="27"/>
  <c r="AH25" i="27"/>
  <c r="AI25" i="27"/>
  <c r="AJ25" i="27"/>
  <c r="I27" i="27"/>
  <c r="F28" i="27"/>
  <c r="J28" i="27"/>
  <c r="N28" i="27"/>
  <c r="R28" i="27"/>
  <c r="V28" i="27"/>
  <c r="Z28" i="27"/>
  <c r="AD28" i="27"/>
  <c r="G8" i="29"/>
  <c r="K8" i="29"/>
  <c r="M8" i="29"/>
  <c r="N8" i="29"/>
  <c r="O8" i="29"/>
  <c r="S8" i="29"/>
  <c r="W8" i="29"/>
  <c r="Y8" i="29"/>
  <c r="Z8" i="29"/>
  <c r="AA8" i="29"/>
  <c r="AE8" i="29"/>
  <c r="AG8" i="29"/>
  <c r="AH8" i="29"/>
  <c r="AI8" i="29"/>
  <c r="G9" i="29"/>
  <c r="K9" i="29"/>
  <c r="N9" i="29"/>
  <c r="O9" i="29"/>
  <c r="S9" i="29"/>
  <c r="W9" i="29"/>
  <c r="Z9" i="29"/>
  <c r="AA9" i="29"/>
  <c r="AE9" i="29"/>
  <c r="AG9" i="29"/>
  <c r="AH9" i="29"/>
  <c r="AI9" i="29"/>
  <c r="G10" i="29"/>
  <c r="K10" i="29"/>
  <c r="N10" i="29"/>
  <c r="O10" i="29"/>
  <c r="S10" i="29"/>
  <c r="W10" i="29"/>
  <c r="Z10" i="29"/>
  <c r="AA10" i="29"/>
  <c r="AE10" i="29"/>
  <c r="AG10" i="29"/>
  <c r="AH10" i="29"/>
  <c r="AI10" i="29"/>
  <c r="G11" i="29"/>
  <c r="K11" i="29"/>
  <c r="M11" i="29"/>
  <c r="N11" i="29"/>
  <c r="O11" i="29"/>
  <c r="S11" i="29"/>
  <c r="W11" i="29"/>
  <c r="Z11" i="29"/>
  <c r="AA11" i="29"/>
  <c r="AE11" i="29"/>
  <c r="AG11" i="29"/>
  <c r="AH11" i="29"/>
  <c r="AI11" i="29"/>
  <c r="G12" i="29"/>
  <c r="K12" i="29"/>
  <c r="N12" i="29"/>
  <c r="O12" i="29"/>
  <c r="S12" i="29"/>
  <c r="W12" i="29"/>
  <c r="Z12" i="29"/>
  <c r="AA12" i="29"/>
  <c r="AE12" i="29"/>
  <c r="AG12" i="29"/>
  <c r="AH12" i="29"/>
  <c r="AI12" i="29"/>
  <c r="AK12" i="29"/>
  <c r="AR12" i="29"/>
  <c r="G13" i="29"/>
  <c r="K13" i="29"/>
  <c r="N13" i="29"/>
  <c r="O13" i="29"/>
  <c r="S13" i="29"/>
  <c r="W13" i="29"/>
  <c r="Y13" i="29"/>
  <c r="Z13" i="29"/>
  <c r="AA13" i="29"/>
  <c r="AE13" i="29"/>
  <c r="AG13" i="29"/>
  <c r="AH13" i="29"/>
  <c r="AI13" i="29"/>
  <c r="AR13" i="29"/>
  <c r="G14" i="29"/>
  <c r="K14" i="29"/>
  <c r="N14" i="29"/>
  <c r="O14" i="29"/>
  <c r="S14" i="29"/>
  <c r="W14" i="29"/>
  <c r="Z14" i="29"/>
  <c r="AA14" i="29"/>
  <c r="AE14" i="29"/>
  <c r="AG14" i="29"/>
  <c r="AH14" i="29"/>
  <c r="AI14" i="29"/>
  <c r="G15" i="29"/>
  <c r="K15" i="29"/>
  <c r="N15" i="29"/>
  <c r="O15" i="29"/>
  <c r="S15" i="29"/>
  <c r="W15" i="29"/>
  <c r="Z15" i="29"/>
  <c r="AA15" i="29"/>
  <c r="AE15" i="29"/>
  <c r="AG15" i="29"/>
  <c r="AH15" i="29"/>
  <c r="AI15" i="29"/>
  <c r="G16" i="29"/>
  <c r="K16" i="29"/>
  <c r="N16" i="29"/>
  <c r="O16" i="29"/>
  <c r="S16" i="29"/>
  <c r="W16" i="29"/>
  <c r="Z16" i="29"/>
  <c r="AA16" i="29"/>
  <c r="AE16" i="29"/>
  <c r="AG16" i="29"/>
  <c r="AH16" i="29"/>
  <c r="AI16" i="29"/>
  <c r="G17" i="29"/>
  <c r="K17" i="29"/>
  <c r="N17" i="29"/>
  <c r="O17" i="29"/>
  <c r="S17" i="29"/>
  <c r="W17" i="29"/>
  <c r="Z17" i="29"/>
  <c r="AA17" i="29"/>
  <c r="AE17" i="29"/>
  <c r="AG17" i="29"/>
  <c r="AH17" i="29"/>
  <c r="AI17" i="29"/>
  <c r="AR17" i="29"/>
  <c r="G18" i="29"/>
  <c r="K18" i="29"/>
  <c r="N18" i="29"/>
  <c r="O18" i="29"/>
  <c r="S18" i="29"/>
  <c r="W18" i="29"/>
  <c r="Z18" i="29"/>
  <c r="AA18" i="29"/>
  <c r="AE18" i="29"/>
  <c r="AG18" i="29"/>
  <c r="AH18" i="29"/>
  <c r="AI18" i="29"/>
  <c r="G19" i="29"/>
  <c r="K19" i="29"/>
  <c r="N19" i="29"/>
  <c r="O19" i="29"/>
  <c r="S19" i="29"/>
  <c r="AE19" i="29"/>
  <c r="AG19" i="29"/>
  <c r="AH19" i="29"/>
  <c r="AI19" i="29"/>
  <c r="G20" i="29"/>
  <c r="K20" i="29"/>
  <c r="N20" i="29"/>
  <c r="O20" i="29"/>
  <c r="S20" i="29"/>
  <c r="Y20" i="29"/>
  <c r="Z20" i="29"/>
  <c r="AA20" i="29"/>
  <c r="AE20" i="29"/>
  <c r="AG20" i="29"/>
  <c r="AH20" i="29"/>
  <c r="AI20" i="29"/>
  <c r="G21" i="29"/>
  <c r="S21" i="29"/>
  <c r="AE21" i="29"/>
  <c r="AG21" i="29"/>
  <c r="AH21" i="29"/>
  <c r="AI21" i="29"/>
  <c r="S22" i="29"/>
  <c r="AE22" i="29"/>
  <c r="AG22" i="29"/>
  <c r="AH22" i="29"/>
  <c r="AI22" i="29"/>
  <c r="G23" i="29"/>
  <c r="K23" i="29"/>
  <c r="N23" i="29"/>
  <c r="O23" i="29"/>
  <c r="AG23" i="29"/>
  <c r="AH23" i="29"/>
  <c r="AI23" i="29"/>
  <c r="AK24" i="29"/>
  <c r="AL24" i="29"/>
  <c r="E25" i="29"/>
  <c r="F25" i="29"/>
  <c r="G25" i="29"/>
  <c r="I25" i="29"/>
  <c r="J25" i="29"/>
  <c r="K25" i="29"/>
  <c r="M25" i="29"/>
  <c r="N25" i="29"/>
  <c r="O25" i="29"/>
  <c r="Q25" i="29"/>
  <c r="R25" i="29"/>
  <c r="S25" i="29"/>
  <c r="U25" i="29"/>
  <c r="V25" i="29"/>
  <c r="W25" i="29"/>
  <c r="Y25" i="29"/>
  <c r="Z25" i="29"/>
  <c r="AA25" i="29"/>
  <c r="AC25" i="29"/>
  <c r="AD25" i="29"/>
  <c r="AE25" i="29"/>
  <c r="AG25" i="29"/>
  <c r="AH25" i="29"/>
  <c r="AI25" i="29"/>
  <c r="AJ25" i="29"/>
  <c r="A2" i="36"/>
  <c r="G8" i="36"/>
  <c r="E10" i="36"/>
  <c r="G10" i="36"/>
  <c r="D12" i="36"/>
  <c r="E12" i="36"/>
  <c r="G12" i="36"/>
  <c r="F1" i="41"/>
  <c r="I1" i="41"/>
  <c r="L1" i="41"/>
  <c r="O1" i="41"/>
  <c r="R1" i="41"/>
  <c r="U1" i="41"/>
  <c r="W1" i="41"/>
  <c r="X1" i="41"/>
  <c r="Z2" i="41"/>
  <c r="F4" i="41"/>
  <c r="I4" i="41"/>
  <c r="L4" i="41"/>
  <c r="O4" i="41"/>
  <c r="R4" i="41"/>
  <c r="U4" i="41"/>
  <c r="W4" i="41"/>
  <c r="X4" i="41"/>
  <c r="F6" i="41"/>
  <c r="I6" i="41"/>
  <c r="L6" i="41"/>
  <c r="O6" i="41"/>
  <c r="R6" i="41"/>
  <c r="U6" i="41"/>
  <c r="W6" i="41"/>
  <c r="X6" i="41"/>
  <c r="Z6" i="41"/>
  <c r="AB23" i="41"/>
  <c r="AB24" i="41"/>
  <c r="AB25" i="41"/>
  <c r="AB26" i="41"/>
  <c r="AB27" i="41"/>
  <c r="AA28" i="41"/>
  <c r="AB28" i="41"/>
  <c r="AB30" i="41"/>
  <c r="AB31" i="41"/>
  <c r="AB32" i="41"/>
  <c r="AB33" i="41"/>
  <c r="AB34" i="41"/>
  <c r="AB35" i="41"/>
  <c r="AB36" i="41"/>
  <c r="AB37" i="41"/>
  <c r="AB38" i="41"/>
  <c r="AB39" i="41"/>
  <c r="AB40" i="41"/>
  <c r="AB41" i="41"/>
  <c r="AB42" i="41"/>
  <c r="AB43" i="41"/>
  <c r="AB44" i="41"/>
  <c r="AB45" i="41"/>
  <c r="AB46" i="41"/>
  <c r="AB47" i="41"/>
  <c r="AB48" i="41"/>
  <c r="AB49" i="41"/>
  <c r="H50" i="41"/>
  <c r="I50" i="41"/>
  <c r="K50" i="41"/>
  <c r="L50" i="41"/>
  <c r="N50" i="41"/>
  <c r="O50" i="41"/>
  <c r="Q50" i="41"/>
  <c r="R50" i="41"/>
  <c r="T50" i="41"/>
  <c r="U50" i="41"/>
  <c r="W50" i="41"/>
  <c r="X50" i="41"/>
  <c r="Z50" i="41"/>
  <c r="AB50" i="41"/>
  <c r="H51" i="41"/>
  <c r="I51" i="41"/>
  <c r="K51" i="41"/>
  <c r="L51" i="41"/>
  <c r="N51" i="41"/>
  <c r="O51" i="41"/>
  <c r="Q51" i="41"/>
  <c r="R51" i="41"/>
  <c r="T51" i="41"/>
  <c r="U51" i="41"/>
  <c r="W51" i="41"/>
  <c r="X51" i="41"/>
  <c r="Z51" i="41"/>
  <c r="AB51" i="41"/>
  <c r="H52" i="41"/>
  <c r="I52" i="41"/>
  <c r="K52" i="41"/>
  <c r="L52" i="41"/>
  <c r="N52" i="41"/>
  <c r="O52" i="41"/>
  <c r="Q52" i="41"/>
  <c r="R52" i="41"/>
  <c r="T52" i="41"/>
  <c r="U52" i="41"/>
  <c r="W52" i="41"/>
  <c r="X52" i="41"/>
  <c r="Z52" i="41"/>
  <c r="AB52" i="41"/>
  <c r="H53" i="41"/>
  <c r="I53" i="41"/>
  <c r="K53" i="41"/>
  <c r="L53" i="41"/>
  <c r="N53" i="41"/>
  <c r="O53" i="41"/>
  <c r="Q53" i="41"/>
  <c r="R53" i="41"/>
  <c r="T53" i="41"/>
  <c r="U53" i="41"/>
  <c r="W53" i="41"/>
  <c r="X53" i="41"/>
  <c r="Z53" i="41"/>
  <c r="AB53" i="41"/>
  <c r="H54" i="41"/>
  <c r="I54" i="41"/>
  <c r="K54" i="41"/>
  <c r="L54" i="41"/>
  <c r="N54" i="41"/>
  <c r="O54" i="41"/>
  <c r="Q54" i="41"/>
  <c r="R54" i="41"/>
  <c r="T54" i="41"/>
  <c r="U54" i="41"/>
  <c r="W54" i="41"/>
  <c r="X54" i="41"/>
  <c r="Z54" i="41"/>
  <c r="H55" i="41"/>
  <c r="I55" i="41"/>
  <c r="K55" i="41"/>
  <c r="L55" i="41"/>
  <c r="N55" i="41"/>
  <c r="O55" i="41"/>
  <c r="Q55" i="41"/>
  <c r="R55" i="41"/>
  <c r="T55" i="41"/>
  <c r="U55" i="41"/>
  <c r="W55" i="41"/>
  <c r="X55" i="41"/>
  <c r="Z55" i="41"/>
  <c r="H56" i="41"/>
  <c r="I56" i="41"/>
  <c r="K56" i="41"/>
  <c r="L56" i="41"/>
  <c r="N56" i="41"/>
  <c r="O56" i="41"/>
  <c r="Q56" i="41"/>
  <c r="R56" i="41"/>
  <c r="T56" i="41"/>
  <c r="U56" i="41"/>
  <c r="W56" i="41"/>
  <c r="X56" i="41"/>
  <c r="Z56" i="41"/>
  <c r="H57" i="41"/>
  <c r="I57" i="41"/>
  <c r="K57" i="41"/>
  <c r="L57" i="41"/>
  <c r="N57" i="41"/>
  <c r="O57" i="41"/>
  <c r="Q57" i="41"/>
  <c r="R57" i="41"/>
  <c r="T57" i="41"/>
  <c r="U57" i="41"/>
  <c r="W57" i="41"/>
  <c r="X57" i="41"/>
  <c r="Z57" i="41"/>
  <c r="H58" i="41"/>
  <c r="I58" i="41"/>
  <c r="K58" i="41"/>
  <c r="L58" i="41"/>
  <c r="N58" i="41"/>
  <c r="O58" i="41"/>
  <c r="Q58" i="41"/>
  <c r="R58" i="41"/>
  <c r="T58" i="41"/>
  <c r="U58" i="41"/>
  <c r="W58" i="41"/>
  <c r="X58" i="41"/>
  <c r="Z58" i="41"/>
  <c r="H59" i="41"/>
  <c r="I59" i="41"/>
  <c r="K59" i="41"/>
  <c r="L59" i="41"/>
  <c r="N59" i="41"/>
  <c r="O59" i="41"/>
  <c r="Q59" i="41"/>
  <c r="R59" i="41"/>
  <c r="T59" i="41"/>
  <c r="U59" i="41"/>
  <c r="W59" i="41"/>
  <c r="X59" i="41"/>
  <c r="Z59" i="41"/>
  <c r="H60" i="41"/>
  <c r="I60" i="41"/>
  <c r="K60" i="41"/>
  <c r="L60" i="41"/>
  <c r="N60" i="41"/>
  <c r="O60" i="41"/>
  <c r="Q60" i="41"/>
  <c r="R60" i="41"/>
  <c r="T60" i="41"/>
  <c r="U60" i="41"/>
  <c r="W60" i="41"/>
  <c r="X60" i="41"/>
  <c r="Z60" i="41"/>
  <c r="H61" i="41"/>
  <c r="I61" i="41"/>
  <c r="K61" i="41"/>
  <c r="L61" i="41"/>
  <c r="N61" i="41"/>
  <c r="O61" i="41"/>
  <c r="Q61" i="41"/>
  <c r="R61" i="41"/>
  <c r="T61" i="41"/>
  <c r="U61" i="41"/>
  <c r="W61" i="41"/>
  <c r="X61" i="41"/>
  <c r="Z61" i="41"/>
  <c r="E62" i="41"/>
  <c r="H62" i="41"/>
  <c r="I62" i="41"/>
  <c r="K62" i="41"/>
  <c r="L62" i="41"/>
  <c r="N62" i="41"/>
  <c r="O62" i="41"/>
  <c r="Q62" i="41"/>
  <c r="R62" i="41"/>
  <c r="T62" i="41"/>
  <c r="U62" i="41"/>
  <c r="W62" i="41"/>
  <c r="X62" i="41"/>
  <c r="Z62" i="41"/>
  <c r="E63" i="41"/>
  <c r="H63" i="41"/>
  <c r="I63" i="41"/>
  <c r="K63" i="41"/>
  <c r="L63" i="41"/>
  <c r="N63" i="41"/>
  <c r="O63" i="41"/>
  <c r="Q63" i="41"/>
  <c r="R63" i="41"/>
  <c r="T63" i="41"/>
  <c r="U63" i="41"/>
  <c r="W63" i="41"/>
  <c r="X63" i="41"/>
  <c r="Z63" i="41"/>
  <c r="H64" i="41"/>
  <c r="I64" i="41"/>
  <c r="K64" i="41"/>
  <c r="L64" i="41"/>
  <c r="N64" i="41"/>
  <c r="O64" i="41"/>
  <c r="Q64" i="41"/>
  <c r="R64" i="41"/>
  <c r="T64" i="41"/>
  <c r="U64" i="41"/>
  <c r="W64" i="41"/>
  <c r="X64" i="41"/>
  <c r="Z64" i="41"/>
  <c r="D65" i="41"/>
  <c r="H65" i="41"/>
  <c r="I65" i="41"/>
  <c r="K65" i="41"/>
  <c r="L65" i="41"/>
  <c r="N65" i="41"/>
  <c r="O65" i="41"/>
  <c r="Q65" i="41"/>
  <c r="R65" i="41"/>
  <c r="T65" i="41"/>
  <c r="U65" i="41"/>
  <c r="W65" i="41"/>
  <c r="X65" i="41"/>
  <c r="Z65" i="41"/>
  <c r="E67" i="41"/>
  <c r="F67" i="41"/>
  <c r="H67" i="41"/>
  <c r="I67" i="41"/>
  <c r="K67" i="41"/>
  <c r="L67" i="41"/>
  <c r="N67" i="41"/>
  <c r="O67" i="41"/>
  <c r="Q67" i="41"/>
  <c r="R67" i="41"/>
  <c r="T67" i="41"/>
  <c r="U67" i="41"/>
  <c r="W67" i="41"/>
  <c r="X67" i="41"/>
  <c r="Z67" i="41"/>
  <c r="F69" i="41"/>
  <c r="I69" i="41"/>
  <c r="L69" i="41"/>
  <c r="O69" i="41"/>
  <c r="R69" i="41"/>
  <c r="U69" i="41"/>
  <c r="X69" i="41"/>
  <c r="Z69" i="41"/>
  <c r="F70" i="41"/>
</calcChain>
</file>

<file path=xl/comments1.xml><?xml version="1.0" encoding="utf-8"?>
<comments xmlns="http://schemas.openxmlformats.org/spreadsheetml/2006/main">
  <authors>
    <author>jblay</author>
  </authors>
  <commentList>
    <comment ref="A8" authorId="0" shapeId="0">
      <text>
        <r>
          <rPr>
            <b/>
            <sz val="8"/>
            <color indexed="81"/>
            <rFont val="Tahoma"/>
          </rPr>
          <t>jblay:</t>
        </r>
        <r>
          <rPr>
            <sz val="8"/>
            <color indexed="81"/>
            <rFont val="Tahoma"/>
          </rPr>
          <t xml:space="preserve">
For Systems RAAP/Parrell and Risk Management Trading
</t>
        </r>
      </text>
    </comment>
  </commentList>
</comments>
</file>

<file path=xl/sharedStrings.xml><?xml version="1.0" encoding="utf-8"?>
<sst xmlns="http://schemas.openxmlformats.org/spreadsheetml/2006/main" count="561" uniqueCount="305">
  <si>
    <t>INVOICE</t>
  </si>
  <si>
    <t>Enron Capital and Trade Resources, Inc.</t>
  </si>
  <si>
    <t>1400 Smith Street</t>
  </si>
  <si>
    <t>Houston, Texas 77002</t>
  </si>
  <si>
    <t>Description</t>
  </si>
  <si>
    <t>Amount</t>
  </si>
  <si>
    <t>Subtotal</t>
  </si>
  <si>
    <t>Sales Tax</t>
  </si>
  <si>
    <t>Shipping &amp; Handling</t>
  </si>
  <si>
    <t>TOTAL DUE</t>
  </si>
  <si>
    <t>Total</t>
  </si>
  <si>
    <t>Division</t>
  </si>
  <si>
    <t>RC 1807</t>
  </si>
  <si>
    <t>RC 1805</t>
  </si>
  <si>
    <t>RC1925</t>
  </si>
  <si>
    <t>RC 1898</t>
  </si>
  <si>
    <t>RC 1900</t>
  </si>
  <si>
    <t>RC 1901</t>
  </si>
  <si>
    <t>Co.</t>
  </si>
  <si>
    <t>Analysts &amp; Associates</t>
  </si>
  <si>
    <t>Energy Operations</t>
  </si>
  <si>
    <t>Human Resources</t>
  </si>
  <si>
    <t>Legal</t>
  </si>
  <si>
    <t>Structuring</t>
  </si>
  <si>
    <t>Tax Support</t>
  </si>
  <si>
    <t>Summary</t>
  </si>
  <si>
    <t>No.</t>
  </si>
  <si>
    <t>Primary Costs</t>
  </si>
  <si>
    <t>Step 2 Costs</t>
  </si>
  <si>
    <t>ECM</t>
  </si>
  <si>
    <t>Europe</t>
  </si>
  <si>
    <t>34V</t>
  </si>
  <si>
    <t>RAC</t>
  </si>
  <si>
    <t>011</t>
  </si>
  <si>
    <t>Corp</t>
  </si>
  <si>
    <t>EES</t>
  </si>
  <si>
    <t>EOG</t>
  </si>
  <si>
    <t>Europe Products Trading</t>
  </si>
  <si>
    <t>Enron Europe Gas/Power Trading</t>
  </si>
  <si>
    <t>Enron Europe Originations</t>
  </si>
  <si>
    <t>Global Products Trading</t>
  </si>
  <si>
    <t>RC 1806</t>
  </si>
  <si>
    <t>Information Technology</t>
  </si>
  <si>
    <t>aaothers</t>
  </si>
  <si>
    <t>other div for a&amp;a</t>
  </si>
  <si>
    <t>Shared Services (Corp)</t>
  </si>
  <si>
    <t>Enron Expat Services (Corp)</t>
  </si>
  <si>
    <t>963 - Co.412</t>
  </si>
  <si>
    <t>Enron Development Corp (EI)</t>
  </si>
  <si>
    <t>To: Enron Expat Services - Co. 359</t>
  </si>
  <si>
    <t>40Y</t>
  </si>
  <si>
    <t>Azurix Water</t>
  </si>
  <si>
    <t>Bill in:</t>
  </si>
  <si>
    <t>Data from:</t>
  </si>
  <si>
    <t>Intercompany billing for prior month data</t>
  </si>
  <si>
    <t>1U9</t>
  </si>
  <si>
    <t>EI (963)</t>
  </si>
  <si>
    <t>34K</t>
  </si>
  <si>
    <t>****** move to 011</t>
  </si>
  <si>
    <t>Analysts &amp; Associates notes:</t>
  </si>
  <si>
    <t>*** Primary amount changed 'cuz expense was tied to wrong acct used Tot_SD_Exp and should have used Tot_Ops_Expenses</t>
  </si>
  <si>
    <t>*** Decrease in 13 of A&amp;A in ECM, RC1132 and 1354 moved to ECT as of 1/1/99, RC 1125 to 011-0307, Dejoun Windless to 40Y, Alok Gary to 1U9 - Increased 011 by 2, 40Y by 1 and 1U9 by .65</t>
  </si>
  <si>
    <t>Indirect</t>
  </si>
  <si>
    <t>Jan Correction</t>
  </si>
  <si>
    <t>EI (963, 412 to 1U9)</t>
  </si>
  <si>
    <t>Estimate</t>
  </si>
  <si>
    <t>Direct</t>
  </si>
  <si>
    <t>Depreciation</t>
  </si>
  <si>
    <t>Total Analysts and Associates Administration</t>
  </si>
  <si>
    <t>Total Legal Allocations</t>
  </si>
  <si>
    <t>Total Information Technology</t>
  </si>
  <si>
    <t xml:space="preserve">1)  Analysts and Associates Administration </t>
  </si>
  <si>
    <t xml:space="preserve">      Indirect Cost </t>
  </si>
  <si>
    <t>2)  Human Resources</t>
  </si>
  <si>
    <t>Total Human Resources</t>
  </si>
  <si>
    <t>3)  Legal</t>
  </si>
  <si>
    <t>4)  Information Technology</t>
  </si>
  <si>
    <t xml:space="preserve">       Indirect Cost</t>
  </si>
  <si>
    <t>Allocations</t>
  </si>
  <si>
    <t xml:space="preserve">1)  Analyst and Associate Administration </t>
  </si>
  <si>
    <t>Total Analyst and Associate Administration</t>
  </si>
  <si>
    <t>Regina Hawley, Lisa Wilson, Shelly Pierce</t>
  </si>
  <si>
    <t xml:space="preserve">To: Enron Corp. - Co. 011 </t>
  </si>
  <si>
    <t>To: Enron Corp.- RAC(Co. 34V)</t>
  </si>
  <si>
    <t>(Corp 011)</t>
  </si>
  <si>
    <t>Total Co 011</t>
  </si>
  <si>
    <t xml:space="preserve">      Indirect Costs </t>
  </si>
  <si>
    <t>Infotech - Detail for Co 011/34V</t>
  </si>
  <si>
    <t>CO 011/34V</t>
  </si>
  <si>
    <t>Indirect Allocation</t>
  </si>
  <si>
    <t>Total RC1151</t>
  </si>
  <si>
    <t>Total RC2370</t>
  </si>
  <si>
    <t>RC1151 1/2k</t>
  </si>
  <si>
    <t>RC1151 2/2k</t>
  </si>
  <si>
    <t>RC2370 1/2k</t>
  </si>
  <si>
    <t>RC2370 2/2k</t>
  </si>
  <si>
    <t>3/2000</t>
  </si>
  <si>
    <t>INTERCOMPANY CALCULATION FOR HR DEPARTMENT</t>
  </si>
  <si>
    <t>Assumptions made in calculating Intercompany billing for HR</t>
  </si>
  <si>
    <t>Cost:</t>
  </si>
  <si>
    <t>Title</t>
  </si>
  <si>
    <t>Amount charge</t>
  </si>
  <si>
    <t>Salary</t>
  </si>
  <si>
    <t>Bonus</t>
  </si>
  <si>
    <t>Tax &amp; benefits</t>
  </si>
  <si>
    <t>Overall</t>
  </si>
  <si>
    <t>Executive</t>
  </si>
  <si>
    <t>Director</t>
  </si>
  <si>
    <t>Manager</t>
  </si>
  <si>
    <t>Sr Staff</t>
  </si>
  <si>
    <t>Staff</t>
  </si>
  <si>
    <t>Admin.</t>
  </si>
  <si>
    <t>Additional info:</t>
  </si>
  <si>
    <t>Executive (David Oxley)</t>
  </si>
  <si>
    <t xml:space="preserve">   25% to EIM</t>
  </si>
  <si>
    <t>Franchise Teams (Tim O'Rourke &amp; Ted Bland)</t>
  </si>
  <si>
    <t xml:space="preserve">   Tony Vasut - 100% to Kim Rizzi</t>
  </si>
  <si>
    <t xml:space="preserve">   Staffer - 100% to Corp</t>
  </si>
  <si>
    <t xml:space="preserve">   Compensation - 50% to EIM, 50% EGM</t>
  </si>
  <si>
    <t xml:space="preserve">   Staffer - 50% to EIM, 50% to EGM</t>
  </si>
  <si>
    <t xml:space="preserve">   OD&amp;T - 50% to EIM, 50% to EGM</t>
  </si>
  <si>
    <t xml:space="preserve">   Talent Scout - 50% to EIM, 50% to EGM</t>
  </si>
  <si>
    <t xml:space="preserve">   2 Associates to Corp</t>
  </si>
  <si>
    <t xml:space="preserve">   1 Associate to CALME (EGM)</t>
  </si>
  <si>
    <t xml:space="preserve">   1 Associate to EBS</t>
  </si>
  <si>
    <t xml:space="preserve">   2 Associate to EES</t>
  </si>
  <si>
    <t>Business Consulting (Cindy Skinner)</t>
  </si>
  <si>
    <t xml:space="preserve">   Cindy Skinner - 75% to EGM</t>
  </si>
  <si>
    <t xml:space="preserve">   Shanna Fnkhouser - 100% to EGM</t>
  </si>
  <si>
    <t xml:space="preserve">   Kim Hickok - 50% to EGM</t>
  </si>
  <si>
    <t xml:space="preserve">   Sr Specialist - 100% to EGM</t>
  </si>
  <si>
    <t xml:space="preserve">   Fran Mayes - 50% to EIM</t>
  </si>
  <si>
    <t>Commercial Resources (Sheila Walton)</t>
  </si>
  <si>
    <t xml:space="preserve">   Sheila Walton - 25% to Rick Buy, 25% to Andy Fastow, 17% Corp Legal, 4% to EIP</t>
  </si>
  <si>
    <t xml:space="preserve">   Ramona - 50% to the above groups</t>
  </si>
  <si>
    <t>Support Services (Sheila Knudsen)</t>
  </si>
  <si>
    <t xml:space="preserve">   Sr Specialist - 25% to RAC, 25% Global Finance, 25% A&amp;A</t>
  </si>
  <si>
    <t xml:space="preserve">   Admin - 150% to A&amp;A, 25% RAC, 25% to Global Finance</t>
  </si>
  <si>
    <t xml:space="preserve">   Admin - 150% to ENW</t>
  </si>
  <si>
    <t>Calculation:</t>
  </si>
  <si>
    <t>Company</t>
  </si>
  <si>
    <t>Bill To</t>
  </si>
  <si>
    <t>Bill From</t>
  </si>
  <si>
    <t>Cost</t>
  </si>
  <si>
    <t>% Allocation</t>
  </si>
  <si>
    <t>Total Yrly Amt</t>
  </si>
  <si>
    <t>Mth Amt</t>
  </si>
  <si>
    <t>EGM</t>
  </si>
  <si>
    <t>Director (Cindy)</t>
  </si>
  <si>
    <t>Cindy Skinner</t>
  </si>
  <si>
    <t>Manager (Shanna)</t>
  </si>
  <si>
    <t>Sr Specialist</t>
  </si>
  <si>
    <t>Specialist (Kim)</t>
  </si>
  <si>
    <t>Staffer</t>
  </si>
  <si>
    <t>Tim &amp; Ted</t>
  </si>
  <si>
    <t>OD&amp;T</t>
  </si>
  <si>
    <t>Talent Scout</t>
  </si>
  <si>
    <t>Compensation</t>
  </si>
  <si>
    <t>Executive (David)</t>
  </si>
  <si>
    <t>David Oxley</t>
  </si>
  <si>
    <t>1 Associate</t>
  </si>
  <si>
    <t>Mark Lay</t>
  </si>
  <si>
    <t>Director (Sheila W)</t>
  </si>
  <si>
    <t>Sheila Walton</t>
  </si>
  <si>
    <t>Corp Legal</t>
  </si>
  <si>
    <t>Rick Buy</t>
  </si>
  <si>
    <t>Admin</t>
  </si>
  <si>
    <t>Sheila Knudsen</t>
  </si>
  <si>
    <t>A&amp;A</t>
  </si>
  <si>
    <t>2 Associates</t>
  </si>
  <si>
    <t>PEP</t>
  </si>
  <si>
    <t>Kim Rizzi</t>
  </si>
  <si>
    <t>Specialist (Tony)</t>
  </si>
  <si>
    <t>EBS</t>
  </si>
  <si>
    <t>ENW</t>
  </si>
  <si>
    <t>EGF</t>
  </si>
  <si>
    <t>Admin. (Ramona)</t>
  </si>
  <si>
    <t>EIM</t>
  </si>
  <si>
    <t>VP (David Oxley)</t>
  </si>
  <si>
    <t>Manger (Fran Mayes)</t>
  </si>
  <si>
    <t>Total Non ENA</t>
  </si>
  <si>
    <t>2001 Plan</t>
  </si>
  <si>
    <t>Preliminary Intercompany billing for 2001</t>
  </si>
  <si>
    <t>1)  Research</t>
  </si>
  <si>
    <t>Assets reallocation</t>
  </si>
  <si>
    <t>Canada diff:</t>
  </si>
  <si>
    <t>percent per team</t>
  </si>
  <si>
    <t>alloc to all teams RC0674</t>
  </si>
  <si>
    <t>Upstream/Rk Mt reallocation</t>
  </si>
  <si>
    <t>Midstream IPP Origination</t>
  </si>
  <si>
    <t>ENRON NORTH AMERICA</t>
  </si>
  <si>
    <t>RESEARCH ALLOCATION</t>
  </si>
  <si>
    <t>0826-Research</t>
  </si>
  <si>
    <t>Method:</t>
  </si>
  <si>
    <t>Direct %</t>
  </si>
  <si>
    <t>TOTAL</t>
  </si>
  <si>
    <t>hdct</t>
  </si>
  <si>
    <t>ENA</t>
  </si>
  <si>
    <t>Assets HPL</t>
  </si>
  <si>
    <t>HPL</t>
  </si>
  <si>
    <t>GAS_NETWORK_OPS</t>
  </si>
  <si>
    <t xml:space="preserve">New Business Development </t>
  </si>
  <si>
    <t>GAS_NETWORK_SERVICES</t>
  </si>
  <si>
    <t>Environmental Energy</t>
  </si>
  <si>
    <t>Performing</t>
  </si>
  <si>
    <t>GAS_NETWORK_DEVLP</t>
  </si>
  <si>
    <t>East Midstream Origination</t>
  </si>
  <si>
    <t>ROCKY_MNT_ASSET_ORIG</t>
  </si>
  <si>
    <t>East Power Trading</t>
  </si>
  <si>
    <t>ASST_TRD</t>
  </si>
  <si>
    <t>ecr</t>
  </si>
  <si>
    <t>Upstream Origination</t>
  </si>
  <si>
    <t>ECR</t>
  </si>
  <si>
    <t>GAS_NETWORK_TRADING</t>
  </si>
  <si>
    <t>Assets Trading</t>
  </si>
  <si>
    <t>Mexico</t>
  </si>
  <si>
    <t>CANADA</t>
  </si>
  <si>
    <t>xxx</t>
  </si>
  <si>
    <t>Clean Energy Solutions</t>
  </si>
  <si>
    <t>CLEAN_ENG</t>
  </si>
  <si>
    <t>Long-term gas trading</t>
  </si>
  <si>
    <t>COAL</t>
  </si>
  <si>
    <t>Short-term gas trading - Central</t>
  </si>
  <si>
    <t>CRED_SPREAD</t>
  </si>
  <si>
    <t>CTG</t>
  </si>
  <si>
    <t>Short-term gas trading - East</t>
  </si>
  <si>
    <t>DWNSTRM_IND_ORIG</t>
  </si>
  <si>
    <t>Short-term gas trading - West</t>
  </si>
  <si>
    <t>E_ORG</t>
  </si>
  <si>
    <t>West Power Trading</t>
  </si>
  <si>
    <t>E_PWR_TR</t>
  </si>
  <si>
    <t>West Midstream Origination</t>
  </si>
  <si>
    <t>ENVR_ENGY</t>
  </si>
  <si>
    <t>Risk Management (Middle Mkt) - Hou</t>
  </si>
  <si>
    <t>ECT_EQU_TRD</t>
  </si>
  <si>
    <t>office of</t>
  </si>
  <si>
    <t>Executive Originations</t>
  </si>
  <si>
    <t>EXEC_ORIG</t>
  </si>
  <si>
    <t>Risk Management (Middle Mkt) - NY</t>
  </si>
  <si>
    <t>EXEC_TRD</t>
  </si>
  <si>
    <t>Office of Chairman</t>
  </si>
  <si>
    <t>EQUITY</t>
  </si>
  <si>
    <t>east power</t>
  </si>
  <si>
    <t>Genco</t>
  </si>
  <si>
    <t>GENCOS</t>
  </si>
  <si>
    <t>Group</t>
  </si>
  <si>
    <t>GROUP</t>
  </si>
  <si>
    <t>egm</t>
  </si>
  <si>
    <t>Insurance - Porfolio Management</t>
  </si>
  <si>
    <t>GRM</t>
  </si>
  <si>
    <t>PORTFOLIO_MGT</t>
  </si>
  <si>
    <t>principal inv</t>
  </si>
  <si>
    <t>Financial Origination</t>
  </si>
  <si>
    <t>Principal investing</t>
  </si>
  <si>
    <t>RISK_MGT</t>
  </si>
  <si>
    <t>non perf</t>
  </si>
  <si>
    <t>Restructuring</t>
  </si>
  <si>
    <t>Non Performing</t>
  </si>
  <si>
    <t>IR_FX</t>
  </si>
  <si>
    <t>Assets Upsteram Assets</t>
  </si>
  <si>
    <t>Upstream Assets</t>
  </si>
  <si>
    <t>N_BS_DEV</t>
  </si>
  <si>
    <t>Canada Finance</t>
  </si>
  <si>
    <t>OF_CHAIR</t>
  </si>
  <si>
    <t>Canada Trading</t>
  </si>
  <si>
    <t>All ENA</t>
  </si>
  <si>
    <t>PAPER</t>
  </si>
  <si>
    <t>corp</t>
  </si>
  <si>
    <t>Credit Spread Trading</t>
  </si>
  <si>
    <t>RESTRUCTURING</t>
  </si>
  <si>
    <t>EGM (Enron Global Markets)</t>
  </si>
  <si>
    <t>HOUSTON</t>
  </si>
  <si>
    <t>eim</t>
  </si>
  <si>
    <t>EIM (Enron Industrial Markets)</t>
  </si>
  <si>
    <t>PROD_FIN</t>
  </si>
  <si>
    <t>GPG Executive</t>
  </si>
  <si>
    <t>Enron Europe</t>
  </si>
  <si>
    <t>Enron Global Finance (ECM)</t>
  </si>
  <si>
    <t>Enron Energy Services</t>
  </si>
  <si>
    <t>Enron Broadband Services</t>
  </si>
  <si>
    <t>APACHE</t>
  </si>
  <si>
    <t>South America</t>
  </si>
  <si>
    <t>India</t>
  </si>
  <si>
    <t>CALME</t>
  </si>
  <si>
    <t>ckpt</t>
  </si>
  <si>
    <t>CALME (EGM)</t>
  </si>
  <si>
    <t>CALME (Corp)</t>
  </si>
  <si>
    <t>5)  Energy Ops</t>
  </si>
  <si>
    <t>Total Energy Ops</t>
  </si>
  <si>
    <t>100106</t>
  </si>
  <si>
    <t>ENERGY OPERATIONS</t>
  </si>
  <si>
    <t>Plan 2001</t>
  </si>
  <si>
    <t>CC Number</t>
  </si>
  <si>
    <t>CC Owner</t>
  </si>
  <si>
    <t>CC Name</t>
  </si>
  <si>
    <t>RISK MANAGEMENT AND CONTROLS</t>
  </si>
  <si>
    <t>105611</t>
  </si>
  <si>
    <t>Maxwell</t>
  </si>
  <si>
    <t>NA-Energy Ops Merchant Asset Portfolio</t>
  </si>
  <si>
    <t>Total Allocations</t>
  </si>
  <si>
    <t>3)  ESource</t>
  </si>
  <si>
    <t>Corporate's estimate of 2001 plan is 17% of the total intercompany billings for Esource.</t>
  </si>
  <si>
    <t>**</t>
  </si>
  <si>
    <t>**105611</t>
  </si>
  <si>
    <t>Includes split from CALME (91% of $34,695)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</si>
</sst>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4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82" formatCode="0.000000000"/>
    <numFmt numFmtId="189" formatCode="_(&quot;$&quot;* #,##0_);_(&quot;$&quot;* \(#,##0\);_(&quot;$&quot;* &quot;-&quot;??_);_(@_)"/>
    <numFmt numFmtId="201" formatCode="0.000%"/>
    <numFmt numFmtId="227" formatCode="&quot;$&quot;#,##0;[Red]\-&quot;$&quot;#,##0"/>
    <numFmt numFmtId="229" formatCode="&quot;$&quot;#,##0.00;[Red]\-&quot;$&quot;#,##0.00"/>
    <numFmt numFmtId="230" formatCode="_-&quot;$&quot;* #,##0_-;\-&quot;$&quot;* #,##0_-;_-&quot;$&quot;* &quot;-&quot;_-;_-@_-"/>
    <numFmt numFmtId="231" formatCode="_-* #,##0_-;\-* #,##0_-;_-* &quot;-&quot;_-;_-@_-"/>
    <numFmt numFmtId="232" formatCode="_-&quot;$&quot;* #,##0.00_-;\-&quot;$&quot;* #,##0.00_-;_-&quot;$&quot;* &quot;-&quot;??_-;_-@_-"/>
    <numFmt numFmtId="233" formatCode="_-* #,##0.00_-;\-* #,##0.00_-;_-* &quot;-&quot;??_-;_-@_-"/>
    <numFmt numFmtId="235" formatCode="#,##0.00;[Red]#,##0.00"/>
    <numFmt numFmtId="253" formatCode=";;;"/>
    <numFmt numFmtId="255" formatCode="\ \ \ \ \ @"/>
    <numFmt numFmtId="256" formatCode="\ \ \ \ \ \ \ \ \ @"/>
    <numFmt numFmtId="257" formatCode="&quot;    &quot;@"/>
    <numFmt numFmtId="262" formatCode=".0%;\(.0%\)"/>
    <numFmt numFmtId="282" formatCode="*-\|;*-\|;*-\|;*-\|"/>
    <numFmt numFmtId="283" formatCode="#,##0_);[Red]\(#,##0\);;@*-"/>
    <numFmt numFmtId="284" formatCode="_(* #,##0,_);_(* \(#,##0,\);_(* &quot;&quot;\-&quot;&quot;_)"/>
    <numFmt numFmtId="285" formatCode="#,##0_);\(#,##0\);&quot;-&quot;"/>
    <numFmt numFmtId="290" formatCode="0.0%_);\(0.0%\)"/>
    <numFmt numFmtId="291" formatCode=".0%_);\(.0%\)"/>
    <numFmt numFmtId="302" formatCode="0.0%;[Red]\(0.0%\);&quot;&quot;"/>
    <numFmt numFmtId="303" formatCode="&quot;        &quot;@"/>
    <numFmt numFmtId="304" formatCode="&quot;$&quot;#,##0_);[Red]\(&quot;$&quot;#,##0\);&quot;&quot;"/>
    <numFmt numFmtId="305" formatCode="0.0%;[Red]\(0.0%\);&quot;-    &quot;"/>
    <numFmt numFmtId="324" formatCode="#,##0,_);[Red]\(#,##0,\);&quot;-  &quot;"/>
    <numFmt numFmtId="325" formatCode="0.0%;[Red]\(0.0%\);&quot;- &quot;"/>
    <numFmt numFmtId="326" formatCode="0%\ ;[Red]\(0%\)\ ;&quot;-  &quot;"/>
    <numFmt numFmtId="327" formatCode="0.0%\ ;[Red]\(0.0%\)\ ;&quot;-  &quot;"/>
    <numFmt numFmtId="340" formatCode="[Red]#,##0_);[Red]\(#,##0\)"/>
    <numFmt numFmtId="341" formatCode="[Blue]#,##0_);[Blue]\(#,##0\)"/>
    <numFmt numFmtId="342" formatCode="\ \ \ @"/>
    <numFmt numFmtId="343" formatCode="&quot;  &quot;@"/>
    <numFmt numFmtId="344" formatCode="&quot;       &quot;@"/>
    <numFmt numFmtId="353" formatCode="#,##0,,_);[Red]\(#,##0,,\);&quot;- &quot;"/>
    <numFmt numFmtId="360" formatCode="#,##0;\-#,##0;&quot;-&quot;"/>
  </numFmts>
  <fonts count="61"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  <family val="2"/>
    </font>
    <font>
      <sz val="22"/>
      <name val="Impact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</font>
    <font>
      <sz val="8"/>
      <name val="Arial"/>
      <family val="2"/>
    </font>
    <font>
      <sz val="10"/>
      <name val="Times New Roman"/>
      <family val="1"/>
    </font>
    <font>
      <sz val="10"/>
      <name val="Times New Roman"/>
    </font>
    <font>
      <sz val="12"/>
      <name val="Arial"/>
    </font>
    <font>
      <sz val="10"/>
      <name val="MS Sans Serif"/>
    </font>
    <font>
      <sz val="10"/>
      <color indexed="8"/>
      <name val="MS Sans Serif"/>
    </font>
    <font>
      <sz val="10"/>
      <color indexed="8"/>
      <name val="Arial"/>
    </font>
    <font>
      <b/>
      <sz val="9.5"/>
      <name val="Courier"/>
    </font>
    <font>
      <sz val="10"/>
      <name val="Book Antiqua"/>
    </font>
    <font>
      <sz val="8"/>
      <name val="Times New Roman"/>
    </font>
    <font>
      <sz val="8"/>
      <name val="Arial"/>
    </font>
    <font>
      <sz val="10"/>
      <name val="MS Sans Serif"/>
      <family val="2"/>
    </font>
    <font>
      <sz val="10"/>
      <name val="Helv"/>
    </font>
    <font>
      <b/>
      <sz val="9.85"/>
      <name val="Times New Roman"/>
    </font>
    <font>
      <b/>
      <sz val="12"/>
      <name val="Times New Roman"/>
    </font>
    <font>
      <b/>
      <sz val="12"/>
      <name val="Arial"/>
    </font>
    <font>
      <sz val="9"/>
      <name val="Times New Roman"/>
    </font>
    <font>
      <sz val="11"/>
      <name val="Arial"/>
    </font>
    <font>
      <sz val="12"/>
      <name val="Comic Sans MS"/>
    </font>
    <font>
      <sz val="10"/>
      <name val="Courier"/>
    </font>
    <font>
      <sz val="10"/>
      <name val="Univers (W1)"/>
    </font>
    <font>
      <sz val="12"/>
      <name val="Times New Roman"/>
    </font>
    <font>
      <sz val="10"/>
      <name val="Geneva"/>
    </font>
    <font>
      <sz val="10"/>
      <name val="Century Gothic"/>
    </font>
    <font>
      <sz val="10"/>
      <name val="Arial"/>
      <family val="2"/>
    </font>
    <font>
      <sz val="12"/>
      <name val="Century Schoolbook"/>
    </font>
    <font>
      <sz val="9.85"/>
      <name val="Times New Roman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Times New Roman"/>
    </font>
    <font>
      <sz val="11"/>
      <color indexed="12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b/>
      <sz val="12"/>
      <name val="Times New Roman"/>
      <family val="1"/>
    </font>
    <font>
      <sz val="9"/>
      <name val="Times New Roman"/>
      <family val="1"/>
    </font>
    <font>
      <b/>
      <sz val="11"/>
      <color indexed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8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sz val="16"/>
      <name val="Arial"/>
      <family val="2"/>
    </font>
    <font>
      <b/>
      <sz val="11"/>
      <color indexed="12"/>
      <name val="Arial"/>
      <family val="2"/>
    </font>
    <font>
      <b/>
      <sz val="7"/>
      <name val="Times New Roman"/>
      <family val="1"/>
    </font>
    <font>
      <sz val="6"/>
      <name val="Times New Roman"/>
      <family val="1"/>
    </font>
    <font>
      <sz val="7"/>
      <name val="Times New Roman"/>
      <family val="1"/>
    </font>
    <font>
      <b/>
      <sz val="22"/>
      <color indexed="10"/>
      <name val="Arial"/>
      <family val="2"/>
    </font>
    <font>
      <b/>
      <i/>
      <sz val="10"/>
      <name val="Times New Roman"/>
      <family val="1"/>
    </font>
    <font>
      <b/>
      <sz val="16"/>
      <name val="Times New Roman"/>
      <family val="1"/>
    </font>
    <font>
      <b/>
      <u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1"/>
        <bgColor indexed="64"/>
      </patternFill>
    </fill>
  </fills>
  <borders count="4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3">
    <xf numFmtId="0" fontId="0" fillId="0" borderId="0"/>
    <xf numFmtId="360" fontId="14" fillId="0" borderId="0" applyFill="0" applyBorder="0" applyAlignment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38" fontId="8" fillId="2" borderId="0" applyNumberFormat="0" applyBorder="0" applyAlignment="0" applyProtection="0"/>
    <xf numFmtId="0" fontId="23" fillId="0" borderId="2" applyNumberFormat="0" applyAlignment="0" applyProtection="0">
      <alignment horizontal="left" vertical="center"/>
    </xf>
    <xf numFmtId="0" fontId="23" fillId="0" borderId="3">
      <alignment horizontal="left" vertical="center"/>
    </xf>
    <xf numFmtId="10" fontId="8" fillId="3" borderId="4" applyNumberFormat="0" applyBorder="0" applyAlignment="0" applyProtection="0"/>
    <xf numFmtId="235" fontId="2" fillId="0" borderId="0"/>
    <xf numFmtId="37" fontId="9" fillId="0" borderId="0"/>
    <xf numFmtId="0" fontId="10" fillId="0" borderId="0"/>
    <xf numFmtId="9" fontId="2" fillId="0" borderId="0" applyFont="0" applyFill="0" applyBorder="0" applyAlignment="0" applyProtection="0"/>
    <xf numFmtId="10" fontId="2" fillId="0" borderId="0" applyFont="0" applyFill="0" applyBorder="0" applyAlignment="0" applyProtection="0"/>
  </cellStyleXfs>
  <cellXfs count="29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6" xfId="0" applyFont="1" applyBorder="1" applyAlignment="1">
      <alignment horizontal="center" vertical="center"/>
    </xf>
    <xf numFmtId="0" fontId="6" fillId="0" borderId="7" xfId="0" applyFont="1" applyBorder="1"/>
    <xf numFmtId="0" fontId="6" fillId="0" borderId="8" xfId="0" applyFont="1" applyBorder="1"/>
    <xf numFmtId="0" fontId="35" fillId="0" borderId="0" xfId="0" applyFont="1" applyAlignment="1">
      <alignment horizontal="center"/>
    </xf>
    <xf numFmtId="0" fontId="35" fillId="0" borderId="0" xfId="0" applyFont="1"/>
    <xf numFmtId="0" fontId="36" fillId="0" borderId="0" xfId="0" applyFont="1"/>
    <xf numFmtId="0" fontId="36" fillId="0" borderId="9" xfId="0" applyFont="1" applyBorder="1" applyAlignment="1">
      <alignment horizontal="center"/>
    </xf>
    <xf numFmtId="17" fontId="36" fillId="0" borderId="9" xfId="0" applyNumberFormat="1" applyFont="1" applyBorder="1" applyAlignment="1">
      <alignment horizontal="left"/>
    </xf>
    <xf numFmtId="0" fontId="37" fillId="0" borderId="10" xfId="0" applyFont="1" applyBorder="1" applyAlignment="1">
      <alignment horizontal="centerContinuous"/>
    </xf>
    <xf numFmtId="0" fontId="37" fillId="0" borderId="11" xfId="0" applyFont="1" applyBorder="1" applyAlignment="1">
      <alignment horizontal="centerContinuous"/>
    </xf>
    <xf numFmtId="0" fontId="37" fillId="0" borderId="12" xfId="0" applyFont="1" applyBorder="1" applyAlignment="1">
      <alignment horizontal="centerContinuous"/>
    </xf>
    <xf numFmtId="0" fontId="35" fillId="0" borderId="11" xfId="0" applyFont="1" applyBorder="1" applyAlignment="1">
      <alignment horizontal="centerContinuous"/>
    </xf>
    <xf numFmtId="0" fontId="35" fillId="0" borderId="12" xfId="0" applyFont="1" applyBorder="1" applyAlignment="1">
      <alignment horizontal="centerContinuous"/>
    </xf>
    <xf numFmtId="0" fontId="36" fillId="0" borderId="13" xfId="0" applyFont="1" applyBorder="1" applyAlignment="1">
      <alignment horizontal="center"/>
    </xf>
    <xf numFmtId="0" fontId="37" fillId="0" borderId="13" xfId="0" applyFont="1" applyBorder="1"/>
    <xf numFmtId="0" fontId="36" fillId="0" borderId="14" xfId="0" applyFont="1" applyBorder="1" applyAlignment="1">
      <alignment horizontal="center"/>
    </xf>
    <xf numFmtId="0" fontId="36" fillId="0" borderId="5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41" fontId="35" fillId="0" borderId="0" xfId="0" applyNumberFormat="1" applyFont="1"/>
    <xf numFmtId="164" fontId="35" fillId="0" borderId="0" xfId="0" applyNumberFormat="1" applyFont="1"/>
    <xf numFmtId="37" fontId="35" fillId="0" borderId="0" xfId="0" applyNumberFormat="1" applyFont="1"/>
    <xf numFmtId="0" fontId="35" fillId="0" borderId="0" xfId="0" quotePrefix="1" applyFont="1" applyAlignment="1">
      <alignment horizontal="center"/>
    </xf>
    <xf numFmtId="37" fontId="35" fillId="0" borderId="11" xfId="0" applyNumberFormat="1" applyFont="1" applyBorder="1"/>
    <xf numFmtId="0" fontId="35" fillId="0" borderId="11" xfId="0" applyFont="1" applyBorder="1"/>
    <xf numFmtId="0" fontId="37" fillId="0" borderId="0" xfId="0" applyFont="1" applyAlignment="1">
      <alignment horizontal="center"/>
    </xf>
    <xf numFmtId="5" fontId="35" fillId="0" borderId="0" xfId="0" applyNumberFormat="1" applyFont="1"/>
    <xf numFmtId="0" fontId="25" fillId="0" borderId="0" xfId="0" applyFont="1" applyBorder="1"/>
    <xf numFmtId="0" fontId="36" fillId="0" borderId="0" xfId="0" applyFont="1" applyBorder="1"/>
    <xf numFmtId="0" fontId="36" fillId="0" borderId="0" xfId="0" applyFont="1" applyBorder="1" applyAlignment="1">
      <alignment horizontal="center"/>
    </xf>
    <xf numFmtId="17" fontId="36" fillId="0" borderId="0" xfId="0" applyNumberFormat="1" applyFont="1" applyBorder="1" applyAlignment="1"/>
    <xf numFmtId="0" fontId="36" fillId="0" borderId="0" xfId="0" applyFont="1" applyBorder="1" applyAlignment="1"/>
    <xf numFmtId="10" fontId="35" fillId="0" borderId="0" xfId="11" applyNumberFormat="1" applyFont="1"/>
    <xf numFmtId="0" fontId="35" fillId="0" borderId="0" xfId="0" applyFont="1" applyBorder="1"/>
    <xf numFmtId="0" fontId="36" fillId="0" borderId="0" xfId="0" applyFont="1" applyBorder="1" applyAlignment="1">
      <alignment horizontal="right"/>
    </xf>
    <xf numFmtId="164" fontId="35" fillId="0" borderId="0" xfId="2" applyNumberFormat="1" applyFont="1" applyBorder="1"/>
    <xf numFmtId="10" fontId="35" fillId="0" borderId="0" xfId="11" applyNumberFormat="1" applyFont="1" applyBorder="1"/>
    <xf numFmtId="164" fontId="35" fillId="0" borderId="0" xfId="2" applyNumberFormat="1" applyFont="1"/>
    <xf numFmtId="0" fontId="25" fillId="0" borderId="0" xfId="0" applyFont="1"/>
    <xf numFmtId="10" fontId="37" fillId="0" borderId="0" xfId="0" applyNumberFormat="1" applyFont="1"/>
    <xf numFmtId="164" fontId="36" fillId="0" borderId="0" xfId="2" applyNumberFormat="1" applyFont="1" applyBorder="1"/>
    <xf numFmtId="164" fontId="37" fillId="0" borderId="0" xfId="2" applyNumberFormat="1" applyFont="1" applyBorder="1"/>
    <xf numFmtId="10" fontId="37" fillId="0" borderId="0" xfId="0" applyNumberFormat="1" applyFont="1" applyBorder="1"/>
    <xf numFmtId="164" fontId="37" fillId="0" borderId="0" xfId="0" applyNumberFormat="1" applyFont="1"/>
    <xf numFmtId="41" fontId="38" fillId="0" borderId="0" xfId="0" applyNumberFormat="1" applyFont="1"/>
    <xf numFmtId="5" fontId="38" fillId="0" borderId="0" xfId="0" applyNumberFormat="1" applyFont="1"/>
    <xf numFmtId="0" fontId="5" fillId="0" borderId="15" xfId="0" applyFont="1" applyBorder="1" applyAlignment="1">
      <alignment horizontal="center" vertical="center"/>
    </xf>
    <xf numFmtId="0" fontId="38" fillId="0" borderId="0" xfId="0" applyFont="1"/>
    <xf numFmtId="0" fontId="9" fillId="0" borderId="0" xfId="0" applyFont="1" applyBorder="1"/>
    <xf numFmtId="38" fontId="6" fillId="0" borderId="8" xfId="0" applyNumberFormat="1" applyFont="1" applyBorder="1" applyAlignment="1">
      <alignment horizontal="right"/>
    </xf>
    <xf numFmtId="38" fontId="6" fillId="0" borderId="0" xfId="0" applyNumberFormat="1" applyFont="1" applyAlignment="1">
      <alignment horizontal="right"/>
    </xf>
    <xf numFmtId="0" fontId="25" fillId="0" borderId="7" xfId="0" applyFont="1" applyBorder="1" applyAlignment="1">
      <alignment horizontal="left" vertical="center"/>
    </xf>
    <xf numFmtId="0" fontId="6" fillId="0" borderId="14" xfId="0" applyFont="1" applyBorder="1"/>
    <xf numFmtId="0" fontId="36" fillId="0" borderId="16" xfId="0" applyFont="1" applyBorder="1" applyAlignment="1">
      <alignment horizontal="right"/>
    </xf>
    <xf numFmtId="0" fontId="35" fillId="0" borderId="17" xfId="0" applyFont="1" applyBorder="1"/>
    <xf numFmtId="17" fontId="38" fillId="0" borderId="18" xfId="0" applyNumberFormat="1" applyFont="1" applyBorder="1"/>
    <xf numFmtId="17" fontId="36" fillId="0" borderId="19" xfId="0" applyNumberFormat="1" applyFont="1" applyBorder="1" applyAlignment="1">
      <alignment horizontal="right"/>
    </xf>
    <xf numFmtId="0" fontId="35" fillId="0" borderId="20" xfId="0" applyFont="1" applyBorder="1"/>
    <xf numFmtId="17" fontId="38" fillId="0" borderId="21" xfId="0" applyNumberFormat="1" applyFont="1" applyBorder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7" fontId="7" fillId="0" borderId="0" xfId="0" applyNumberFormat="1" applyFont="1" applyAlignment="1">
      <alignment horizontal="right"/>
    </xf>
    <xf numFmtId="0" fontId="36" fillId="0" borderId="0" xfId="0" applyFont="1" applyAlignment="1">
      <alignment horizontal="center"/>
    </xf>
    <xf numFmtId="164" fontId="0" fillId="0" borderId="0" xfId="2" applyNumberFormat="1" applyFont="1"/>
    <xf numFmtId="37" fontId="35" fillId="0" borderId="5" xfId="0" applyNumberFormat="1" applyFont="1" applyBorder="1"/>
    <xf numFmtId="0" fontId="0" fillId="0" borderId="0" xfId="0" applyBorder="1"/>
    <xf numFmtId="0" fontId="40" fillId="0" borderId="0" xfId="0" applyFont="1" applyBorder="1" applyAlignment="1">
      <alignment horizontal="center"/>
    </xf>
    <xf numFmtId="0" fontId="5" fillId="0" borderId="22" xfId="0" applyFont="1" applyBorder="1" applyAlignment="1">
      <alignment horizontal="centerContinuous" vertical="center"/>
    </xf>
    <xf numFmtId="0" fontId="5" fillId="0" borderId="23" xfId="0" applyFont="1" applyBorder="1" applyAlignment="1">
      <alignment horizontal="centerContinuous" vertical="center"/>
    </xf>
    <xf numFmtId="0" fontId="6" fillId="0" borderId="10" xfId="0" applyFont="1" applyBorder="1"/>
    <xf numFmtId="0" fontId="6" fillId="0" borderId="12" xfId="0" applyFont="1" applyBorder="1"/>
    <xf numFmtId="0" fontId="6" fillId="0" borderId="8" xfId="0" applyFont="1" applyBorder="1" applyAlignment="1">
      <alignment horizontal="right"/>
    </xf>
    <xf numFmtId="38" fontId="25" fillId="0" borderId="8" xfId="2" applyNumberFormat="1" applyFont="1" applyBorder="1" applyAlignment="1">
      <alignment horizontal="right" vertical="center"/>
    </xf>
    <xf numFmtId="0" fontId="5" fillId="0" borderId="17" xfId="0" applyFont="1" applyBorder="1" applyAlignment="1">
      <alignment horizontal="centerContinuous" vertical="center"/>
    </xf>
    <xf numFmtId="0" fontId="25" fillId="0" borderId="10" xfId="0" applyFont="1" applyBorder="1" applyAlignment="1">
      <alignment horizontal="left" vertical="center"/>
    </xf>
    <xf numFmtId="0" fontId="5" fillId="0" borderId="12" xfId="0" applyFont="1" applyBorder="1" applyAlignment="1">
      <alignment horizontal="centerContinuous" vertical="center"/>
    </xf>
    <xf numFmtId="0" fontId="5" fillId="0" borderId="8" xfId="0" applyFont="1" applyBorder="1" applyAlignment="1">
      <alignment horizontal="centerContinuous" vertical="center"/>
    </xf>
    <xf numFmtId="38" fontId="6" fillId="0" borderId="24" xfId="0" applyNumberFormat="1" applyFont="1" applyBorder="1" applyAlignment="1">
      <alignment horizontal="right"/>
    </xf>
    <xf numFmtId="0" fontId="43" fillId="0" borderId="7" xfId="0" applyFont="1" applyBorder="1"/>
    <xf numFmtId="0" fontId="44" fillId="0" borderId="0" xfId="0" applyFont="1"/>
    <xf numFmtId="0" fontId="6" fillId="0" borderId="25" xfId="0" applyFont="1" applyBorder="1"/>
    <xf numFmtId="164" fontId="6" fillId="0" borderId="25" xfId="2" applyNumberFormat="1" applyFont="1" applyBorder="1"/>
    <xf numFmtId="164" fontId="6" fillId="0" borderId="24" xfId="2" applyNumberFormat="1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Continuous" vertical="center"/>
    </xf>
    <xf numFmtId="38" fontId="6" fillId="0" borderId="0" xfId="0" applyNumberFormat="1" applyFont="1" applyBorder="1" applyAlignment="1">
      <alignment horizontal="right"/>
    </xf>
    <xf numFmtId="0" fontId="0" fillId="0" borderId="0" xfId="0" applyFill="1" applyBorder="1"/>
    <xf numFmtId="0" fontId="6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Continuous" vertical="center"/>
    </xf>
    <xf numFmtId="0" fontId="5" fillId="0" borderId="0" xfId="0" applyFont="1" applyFill="1" applyBorder="1" applyAlignment="1">
      <alignment horizontal="center" vertical="center"/>
    </xf>
    <xf numFmtId="38" fontId="25" fillId="0" borderId="0" xfId="2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/>
    </xf>
    <xf numFmtId="38" fontId="6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45" fillId="0" borderId="0" xfId="0" applyFont="1"/>
    <xf numFmtId="189" fontId="42" fillId="0" borderId="0" xfId="3" applyNumberFormat="1" applyFont="1" applyFill="1" applyBorder="1"/>
    <xf numFmtId="38" fontId="25" fillId="0" borderId="24" xfId="2" applyNumberFormat="1" applyFont="1" applyBorder="1" applyAlignment="1">
      <alignment horizontal="right" vertical="center"/>
    </xf>
    <xf numFmtId="0" fontId="43" fillId="0" borderId="7" xfId="0" applyFont="1" applyBorder="1" applyAlignment="1">
      <alignment horizontal="left" vertical="center"/>
    </xf>
    <xf numFmtId="38" fontId="43" fillId="0" borderId="8" xfId="2" applyNumberFormat="1" applyFont="1" applyBorder="1" applyAlignment="1">
      <alignment horizontal="right" vertical="center"/>
    </xf>
    <xf numFmtId="0" fontId="6" fillId="0" borderId="24" xfId="0" applyFont="1" applyBorder="1"/>
    <xf numFmtId="0" fontId="43" fillId="0" borderId="1" xfId="0" applyFont="1" applyBorder="1" applyAlignment="1">
      <alignment horizontal="right"/>
    </xf>
    <xf numFmtId="0" fontId="43" fillId="0" borderId="0" xfId="0" applyFont="1" applyBorder="1"/>
    <xf numFmtId="38" fontId="43" fillId="0" borderId="26" xfId="0" applyNumberFormat="1" applyFont="1" applyBorder="1" applyAlignment="1">
      <alignment horizontal="right"/>
    </xf>
    <xf numFmtId="0" fontId="43" fillId="0" borderId="8" xfId="0" applyFont="1" applyBorder="1" applyAlignment="1">
      <alignment horizontal="right"/>
    </xf>
    <xf numFmtId="38" fontId="43" fillId="0" borderId="8" xfId="0" applyNumberFormat="1" applyFont="1" applyBorder="1" applyAlignment="1">
      <alignment horizontal="right"/>
    </xf>
    <xf numFmtId="38" fontId="43" fillId="2" borderId="27" xfId="0" applyNumberFormat="1" applyFont="1" applyFill="1" applyBorder="1" applyAlignment="1">
      <alignment horizontal="right"/>
    </xf>
    <xf numFmtId="38" fontId="43" fillId="0" borderId="25" xfId="2" applyNumberFormat="1" applyFont="1" applyFill="1" applyBorder="1" applyAlignment="1">
      <alignment horizontal="right" vertical="center"/>
    </xf>
    <xf numFmtId="0" fontId="43" fillId="0" borderId="25" xfId="0" applyFont="1" applyFill="1" applyBorder="1"/>
    <xf numFmtId="49" fontId="7" fillId="0" borderId="0" xfId="0" applyNumberFormat="1" applyFont="1" applyAlignment="1">
      <alignment horizontal="right"/>
    </xf>
    <xf numFmtId="38" fontId="43" fillId="0" borderId="25" xfId="0" applyNumberFormat="1" applyFont="1" applyFill="1" applyBorder="1"/>
    <xf numFmtId="0" fontId="40" fillId="0" borderId="0" xfId="0" applyFont="1" applyBorder="1" applyAlignment="1">
      <alignment horizontal="left"/>
    </xf>
    <xf numFmtId="189" fontId="0" fillId="0" borderId="0" xfId="0" applyNumberFormat="1"/>
    <xf numFmtId="0" fontId="5" fillId="0" borderId="16" xfId="0" applyFont="1" applyBorder="1" applyAlignment="1">
      <alignment horizontal="centerContinuous" vertical="center"/>
    </xf>
    <xf numFmtId="38" fontId="6" fillId="0" borderId="28" xfId="0" applyNumberFormat="1" applyFont="1" applyBorder="1" applyAlignment="1">
      <alignment horizontal="right"/>
    </xf>
    <xf numFmtId="38" fontId="6" fillId="0" borderId="29" xfId="0" applyNumberFormat="1" applyFont="1" applyBorder="1" applyAlignment="1">
      <alignment horizontal="right"/>
    </xf>
    <xf numFmtId="38" fontId="43" fillId="0" borderId="30" xfId="0" applyNumberFormat="1" applyFont="1" applyBorder="1" applyAlignment="1">
      <alignment horizontal="right"/>
    </xf>
    <xf numFmtId="0" fontId="6" fillId="0" borderId="31" xfId="0" applyFont="1" applyBorder="1"/>
    <xf numFmtId="164" fontId="6" fillId="0" borderId="31" xfId="2" applyNumberFormat="1" applyFont="1" applyBorder="1"/>
    <xf numFmtId="164" fontId="6" fillId="0" borderId="29" xfId="2" applyNumberFormat="1" applyFont="1" applyBorder="1"/>
    <xf numFmtId="164" fontId="43" fillId="0" borderId="31" xfId="0" applyNumberFormat="1" applyFont="1" applyBorder="1"/>
    <xf numFmtId="38" fontId="43" fillId="0" borderId="30" xfId="0" applyNumberFormat="1" applyFont="1" applyFill="1" applyBorder="1" applyAlignment="1">
      <alignment horizontal="right"/>
    </xf>
    <xf numFmtId="38" fontId="43" fillId="0" borderId="28" xfId="0" applyNumberFormat="1" applyFont="1" applyBorder="1" applyAlignment="1">
      <alignment horizontal="right"/>
    </xf>
    <xf numFmtId="0" fontId="43" fillId="0" borderId="32" xfId="0" applyFont="1" applyBorder="1" applyAlignment="1">
      <alignment horizontal="right"/>
    </xf>
    <xf numFmtId="38" fontId="43" fillId="2" borderId="6" xfId="0" applyNumberFormat="1" applyFont="1" applyFill="1" applyBorder="1" applyAlignment="1">
      <alignment horizontal="right"/>
    </xf>
    <xf numFmtId="43" fontId="43" fillId="0" borderId="26" xfId="2" applyFont="1" applyFill="1" applyBorder="1" applyAlignment="1">
      <alignment horizontal="right"/>
    </xf>
    <xf numFmtId="189" fontId="46" fillId="0" borderId="33" xfId="0" applyNumberFormat="1" applyFont="1" applyBorder="1"/>
    <xf numFmtId="164" fontId="8" fillId="0" borderId="0" xfId="2" applyNumberFormat="1" applyFont="1" applyFill="1" applyBorder="1"/>
    <xf numFmtId="0" fontId="0" fillId="0" borderId="0" xfId="0" applyAlignment="1">
      <alignment horizontal="right"/>
    </xf>
    <xf numFmtId="0" fontId="6" fillId="0" borderId="34" xfId="0" applyFont="1" applyBorder="1"/>
    <xf numFmtId="0" fontId="41" fillId="0" borderId="0" xfId="0" applyFont="1" applyBorder="1" applyAlignment="1">
      <alignment horizontal="left"/>
    </xf>
    <xf numFmtId="0" fontId="49" fillId="0" borderId="0" xfId="0" applyFont="1" applyBorder="1" applyAlignment="1">
      <alignment horizontal="left"/>
    </xf>
    <xf numFmtId="189" fontId="45" fillId="0" borderId="33" xfId="0" applyNumberFormat="1" applyFont="1" applyBorder="1"/>
    <xf numFmtId="0" fontId="3" fillId="0" borderId="0" xfId="0" applyFont="1" applyAlignment="1">
      <alignment horizontal="right"/>
    </xf>
    <xf numFmtId="0" fontId="47" fillId="0" borderId="0" xfId="0" applyFont="1" applyAlignment="1">
      <alignment horizontal="right"/>
    </xf>
    <xf numFmtId="17" fontId="0" fillId="0" borderId="0" xfId="0" applyNumberFormat="1" applyBorder="1"/>
    <xf numFmtId="0" fontId="3" fillId="0" borderId="0" xfId="0" applyFont="1" applyBorder="1"/>
    <xf numFmtId="0" fontId="0" fillId="0" borderId="0" xfId="0" applyBorder="1" applyAlignment="1">
      <alignment horizontal="left"/>
    </xf>
    <xf numFmtId="0" fontId="45" fillId="0" borderId="0" xfId="0" applyFont="1" applyBorder="1"/>
    <xf numFmtId="0" fontId="3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47" fillId="0" borderId="0" xfId="0" applyFont="1" applyBorder="1" applyAlignment="1">
      <alignment horizontal="right"/>
    </xf>
    <xf numFmtId="0" fontId="47" fillId="0" borderId="0" xfId="0" applyFont="1" applyBorder="1"/>
    <xf numFmtId="164" fontId="0" fillId="0" borderId="0" xfId="2" applyNumberFormat="1" applyFont="1" applyBorder="1"/>
    <xf numFmtId="164" fontId="0" fillId="0" borderId="0" xfId="0" applyNumberFormat="1" applyBorder="1"/>
    <xf numFmtId="164" fontId="45" fillId="0" borderId="0" xfId="0" applyNumberFormat="1" applyFont="1" applyBorder="1"/>
    <xf numFmtId="164" fontId="46" fillId="0" borderId="0" xfId="0" applyNumberFormat="1" applyFont="1" applyBorder="1"/>
    <xf numFmtId="0" fontId="0" fillId="0" borderId="5" xfId="0" applyBorder="1"/>
    <xf numFmtId="164" fontId="0" fillId="0" borderId="5" xfId="2" applyNumberFormat="1" applyFont="1" applyBorder="1"/>
    <xf numFmtId="189" fontId="0" fillId="0" borderId="5" xfId="0" applyNumberFormat="1" applyBorder="1"/>
    <xf numFmtId="43" fontId="6" fillId="0" borderId="25" xfId="2" applyFont="1" applyBorder="1"/>
    <xf numFmtId="43" fontId="6" fillId="0" borderId="24" xfId="2" applyFont="1" applyBorder="1"/>
    <xf numFmtId="43" fontId="43" fillId="0" borderId="25" xfId="2" applyFont="1" applyBorder="1"/>
    <xf numFmtId="43" fontId="6" fillId="0" borderId="8" xfId="2" applyFont="1" applyBorder="1" applyAlignment="1">
      <alignment horizontal="right"/>
    </xf>
    <xf numFmtId="43" fontId="6" fillId="0" borderId="24" xfId="2" applyFont="1" applyBorder="1" applyAlignment="1">
      <alignment horizontal="right"/>
    </xf>
    <xf numFmtId="43" fontId="43" fillId="0" borderId="8" xfId="2" applyFont="1" applyBorder="1" applyAlignment="1">
      <alignment horizontal="right"/>
    </xf>
    <xf numFmtId="43" fontId="43" fillId="2" borderId="27" xfId="2" applyFont="1" applyFill="1" applyBorder="1" applyAlignment="1">
      <alignment horizontal="right"/>
    </xf>
    <xf numFmtId="0" fontId="52" fillId="0" borderId="0" xfId="0" applyFont="1"/>
    <xf numFmtId="10" fontId="0" fillId="0" borderId="0" xfId="11" applyNumberFormat="1" applyFont="1"/>
    <xf numFmtId="0" fontId="45" fillId="0" borderId="0" xfId="0" applyFont="1" applyAlignment="1">
      <alignment horizontal="center"/>
    </xf>
    <xf numFmtId="164" fontId="45" fillId="0" borderId="0" xfId="2" applyNumberFormat="1" applyFont="1" applyAlignment="1">
      <alignment horizontal="center"/>
    </xf>
    <xf numFmtId="10" fontId="45" fillId="0" borderId="0" xfId="11" applyNumberFormat="1" applyFont="1" applyAlignment="1">
      <alignment horizontal="center"/>
    </xf>
    <xf numFmtId="9" fontId="45" fillId="0" borderId="0" xfId="0" applyNumberFormat="1" applyFont="1" applyAlignment="1">
      <alignment horizontal="center"/>
    </xf>
    <xf numFmtId="43" fontId="45" fillId="0" borderId="0" xfId="2" applyNumberFormat="1" applyFont="1" applyAlignment="1">
      <alignment horizontal="center"/>
    </xf>
    <xf numFmtId="43" fontId="45" fillId="0" borderId="0" xfId="11" applyNumberFormat="1" applyFont="1" applyAlignment="1">
      <alignment horizontal="center"/>
    </xf>
    <xf numFmtId="0" fontId="39" fillId="0" borderId="0" xfId="0" applyFont="1"/>
    <xf numFmtId="0" fontId="45" fillId="0" borderId="35" xfId="0" applyFont="1" applyBorder="1" applyAlignment="1">
      <alignment horizontal="center"/>
    </xf>
    <xf numFmtId="0" fontId="45" fillId="0" borderId="2" xfId="0" applyFont="1" applyBorder="1" applyAlignment="1">
      <alignment horizontal="center"/>
    </xf>
    <xf numFmtId="164" fontId="45" fillId="0" borderId="2" xfId="2" applyNumberFormat="1" applyFont="1" applyBorder="1" applyAlignment="1">
      <alignment horizontal="center"/>
    </xf>
    <xf numFmtId="10" fontId="45" fillId="0" borderId="2" xfId="11" applyNumberFormat="1" applyFont="1" applyBorder="1" applyAlignment="1">
      <alignment horizontal="center"/>
    </xf>
    <xf numFmtId="164" fontId="45" fillId="0" borderId="6" xfId="2" applyNumberFormat="1" applyFont="1" applyBorder="1" applyAlignment="1">
      <alignment horizontal="center"/>
    </xf>
    <xf numFmtId="0" fontId="0" fillId="0" borderId="36" xfId="0" applyBorder="1"/>
    <xf numFmtId="0" fontId="0" fillId="0" borderId="22" xfId="0" applyBorder="1"/>
    <xf numFmtId="164" fontId="0" fillId="0" borderId="22" xfId="2" applyNumberFormat="1" applyFont="1" applyBorder="1"/>
    <xf numFmtId="10" fontId="0" fillId="0" borderId="22" xfId="11" applyNumberFormat="1" applyFont="1" applyBorder="1"/>
    <xf numFmtId="164" fontId="0" fillId="0" borderId="37" xfId="2" applyNumberFormat="1" applyFont="1" applyBorder="1"/>
    <xf numFmtId="164" fontId="0" fillId="0" borderId="38" xfId="2" applyNumberFormat="1" applyFont="1" applyBorder="1"/>
    <xf numFmtId="0" fontId="0" fillId="0" borderId="7" xfId="0" quotePrefix="1" applyBorder="1"/>
    <xf numFmtId="0" fontId="0" fillId="0" borderId="7" xfId="0" applyBorder="1"/>
    <xf numFmtId="164" fontId="0" fillId="0" borderId="7" xfId="2" applyNumberFormat="1" applyFont="1" applyBorder="1"/>
    <xf numFmtId="10" fontId="0" fillId="0" borderId="7" xfId="11" applyNumberFormat="1" applyFont="1" applyBorder="1"/>
    <xf numFmtId="164" fontId="0" fillId="0" borderId="25" xfId="2" applyNumberFormat="1" applyFont="1" applyBorder="1"/>
    <xf numFmtId="164" fontId="0" fillId="0" borderId="31" xfId="2" applyNumberFormat="1" applyFont="1" applyBorder="1"/>
    <xf numFmtId="0" fontId="0" fillId="0" borderId="16" xfId="0" applyBorder="1"/>
    <xf numFmtId="0" fontId="0" fillId="0" borderId="19" xfId="0" applyBorder="1"/>
    <xf numFmtId="0" fontId="0" fillId="0" borderId="34" xfId="0" quotePrefix="1" applyBorder="1"/>
    <xf numFmtId="0" fontId="0" fillId="0" borderId="34" xfId="0" applyBorder="1"/>
    <xf numFmtId="164" fontId="0" fillId="0" borderId="34" xfId="2" applyNumberFormat="1" applyFont="1" applyBorder="1"/>
    <xf numFmtId="10" fontId="0" fillId="0" borderId="34" xfId="11" applyNumberFormat="1" applyFont="1" applyBorder="1"/>
    <xf numFmtId="164" fontId="0" fillId="0" borderId="39" xfId="2" applyNumberFormat="1" applyFont="1" applyBorder="1"/>
    <xf numFmtId="164" fontId="0" fillId="0" borderId="40" xfId="2" applyNumberFormat="1" applyFont="1" applyBorder="1"/>
    <xf numFmtId="0" fontId="0" fillId="0" borderId="17" xfId="0" applyBorder="1"/>
    <xf numFmtId="164" fontId="0" fillId="0" borderId="17" xfId="2" applyNumberFormat="1" applyFont="1" applyBorder="1"/>
    <xf numFmtId="10" fontId="0" fillId="0" borderId="17" xfId="11" applyNumberFormat="1" applyFont="1" applyBorder="1"/>
    <xf numFmtId="164" fontId="0" fillId="0" borderId="18" xfId="2" applyNumberFormat="1" applyFont="1" applyBorder="1"/>
    <xf numFmtId="10" fontId="0" fillId="0" borderId="0" xfId="11" applyNumberFormat="1" applyFont="1" applyBorder="1"/>
    <xf numFmtId="164" fontId="45" fillId="0" borderId="41" xfId="2" applyNumberFormat="1" applyFont="1" applyBorder="1"/>
    <xf numFmtId="164" fontId="45" fillId="0" borderId="42" xfId="2" applyNumberFormat="1" applyFont="1" applyBorder="1"/>
    <xf numFmtId="0" fontId="0" fillId="0" borderId="20" xfId="0" applyBorder="1"/>
    <xf numFmtId="164" fontId="0" fillId="0" borderId="20" xfId="2" applyNumberFormat="1" applyFont="1" applyBorder="1"/>
    <xf numFmtId="10" fontId="0" fillId="0" borderId="20" xfId="11" applyNumberFormat="1" applyFont="1" applyBorder="1"/>
    <xf numFmtId="164" fontId="0" fillId="0" borderId="21" xfId="2" applyNumberFormat="1" applyFont="1" applyBorder="1"/>
    <xf numFmtId="0" fontId="53" fillId="0" borderId="7" xfId="0" applyFont="1" applyBorder="1"/>
    <xf numFmtId="0" fontId="53" fillId="0" borderId="8" xfId="0" applyFont="1" applyBorder="1" applyAlignment="1">
      <alignment horizontal="right"/>
    </xf>
    <xf numFmtId="43" fontId="53" fillId="0" borderId="26" xfId="2" applyFont="1" applyFill="1" applyBorder="1" applyAlignment="1">
      <alignment horizontal="right"/>
    </xf>
    <xf numFmtId="164" fontId="53" fillId="0" borderId="25" xfId="0" applyNumberFormat="1" applyFont="1" applyBorder="1"/>
    <xf numFmtId="38" fontId="53" fillId="0" borderId="8" xfId="0" applyNumberFormat="1" applyFont="1" applyBorder="1" applyAlignment="1">
      <alignment horizontal="right"/>
    </xf>
    <xf numFmtId="38" fontId="53" fillId="0" borderId="26" xfId="0" applyNumberFormat="1" applyFont="1" applyBorder="1" applyAlignment="1">
      <alignment horizontal="right"/>
    </xf>
    <xf numFmtId="0" fontId="53" fillId="0" borderId="1" xfId="0" applyFont="1" applyBorder="1" applyAlignment="1">
      <alignment horizontal="right"/>
    </xf>
    <xf numFmtId="38" fontId="53" fillId="2" borderId="27" xfId="0" applyNumberFormat="1" applyFont="1" applyFill="1" applyBorder="1" applyAlignment="1">
      <alignment horizontal="right"/>
    </xf>
    <xf numFmtId="0" fontId="9" fillId="0" borderId="0" xfId="0" applyFont="1"/>
    <xf numFmtId="10" fontId="9" fillId="0" borderId="36" xfId="11" applyNumberFormat="1" applyFont="1" applyFill="1" applyBorder="1"/>
    <xf numFmtId="10" fontId="9" fillId="0" borderId="28" xfId="11" applyNumberFormat="1" applyFont="1" applyBorder="1"/>
    <xf numFmtId="10" fontId="9" fillId="0" borderId="36" xfId="11" applyNumberFormat="1" applyFont="1" applyBorder="1"/>
    <xf numFmtId="164" fontId="9" fillId="0" borderId="28" xfId="2" applyNumberFormat="1" applyFont="1" applyBorder="1"/>
    <xf numFmtId="10" fontId="9" fillId="0" borderId="36" xfId="0" applyNumberFormat="1" applyFont="1" applyFill="1" applyBorder="1"/>
    <xf numFmtId="10" fontId="9" fillId="0" borderId="0" xfId="11" applyNumberFormat="1" applyFont="1" applyFill="1" applyBorder="1"/>
    <xf numFmtId="10" fontId="9" fillId="0" borderId="0" xfId="11" applyNumberFormat="1" applyFont="1" applyBorder="1"/>
    <xf numFmtId="164" fontId="9" fillId="0" borderId="0" xfId="2" applyNumberFormat="1" applyFont="1" applyBorder="1"/>
    <xf numFmtId="10" fontId="9" fillId="0" borderId="0" xfId="0" applyNumberFormat="1" applyFont="1" applyFill="1" applyBorder="1"/>
    <xf numFmtId="164" fontId="9" fillId="4" borderId="0" xfId="2" applyNumberFormat="1" applyFont="1" applyFill="1" applyBorder="1"/>
    <xf numFmtId="10" fontId="9" fillId="0" borderId="0" xfId="11" applyNumberFormat="1" applyFont="1"/>
    <xf numFmtId="0" fontId="9" fillId="0" borderId="36" xfId="0" applyFont="1" applyBorder="1"/>
    <xf numFmtId="164" fontId="9" fillId="0" borderId="43" xfId="0" applyNumberFormat="1" applyFont="1" applyBorder="1"/>
    <xf numFmtId="17" fontId="39" fillId="0" borderId="16" xfId="0" applyNumberFormat="1" applyFont="1" applyBorder="1"/>
    <xf numFmtId="0" fontId="9" fillId="0" borderId="17" xfId="0" applyFont="1" applyBorder="1"/>
    <xf numFmtId="17" fontId="39" fillId="0" borderId="18" xfId="0" applyNumberFormat="1" applyFont="1" applyBorder="1"/>
    <xf numFmtId="0" fontId="9" fillId="0" borderId="44" xfId="0" applyFont="1" applyBorder="1"/>
    <xf numFmtId="0" fontId="39" fillId="0" borderId="36" xfId="0" applyFont="1" applyBorder="1" applyAlignment="1">
      <alignment horizontal="right"/>
    </xf>
    <xf numFmtId="17" fontId="39" fillId="0" borderId="36" xfId="0" applyNumberFormat="1" applyFont="1" applyBorder="1"/>
    <xf numFmtId="17" fontId="39" fillId="0" borderId="28" xfId="0" applyNumberFormat="1" applyFont="1" applyBorder="1"/>
    <xf numFmtId="0" fontId="39" fillId="0" borderId="43" xfId="0" applyFont="1" applyBorder="1" applyAlignment="1">
      <alignment horizontal="center"/>
    </xf>
    <xf numFmtId="0" fontId="39" fillId="0" borderId="19" xfId="0" applyFont="1" applyBorder="1" applyAlignment="1">
      <alignment horizontal="center"/>
    </xf>
    <xf numFmtId="10" fontId="39" fillId="0" borderId="21" xfId="11" applyNumberFormat="1" applyFont="1" applyBorder="1" applyAlignment="1">
      <alignment horizontal="center"/>
    </xf>
    <xf numFmtId="0" fontId="39" fillId="0" borderId="21" xfId="0" applyFont="1" applyBorder="1" applyAlignment="1">
      <alignment horizontal="center"/>
    </xf>
    <xf numFmtId="0" fontId="9" fillId="0" borderId="45" xfId="0" applyFont="1" applyBorder="1"/>
    <xf numFmtId="164" fontId="9" fillId="0" borderId="36" xfId="2" applyNumberFormat="1" applyFont="1" applyBorder="1"/>
    <xf numFmtId="164" fontId="9" fillId="0" borderId="36" xfId="2" applyNumberFormat="1" applyFont="1" applyFill="1" applyBorder="1"/>
    <xf numFmtId="0" fontId="9" fillId="0" borderId="43" xfId="0" applyFont="1" applyBorder="1"/>
    <xf numFmtId="0" fontId="55" fillId="0" borderId="0" xfId="10" applyFont="1"/>
    <xf numFmtId="164" fontId="9" fillId="0" borderId="0" xfId="0" applyNumberFormat="1" applyFont="1"/>
    <xf numFmtId="164" fontId="9" fillId="0" borderId="36" xfId="2" applyNumberFormat="1" applyFont="1" applyFill="1" applyBorder="1" applyAlignment="1">
      <alignment horizontal="right"/>
    </xf>
    <xf numFmtId="10" fontId="9" fillId="0" borderId="36" xfId="11" applyNumberFormat="1" applyFont="1" applyFill="1" applyBorder="1" applyAlignment="1">
      <alignment horizontal="right"/>
    </xf>
    <xf numFmtId="0" fontId="9" fillId="0" borderId="36" xfId="0" applyFont="1" applyFill="1" applyBorder="1"/>
    <xf numFmtId="0" fontId="39" fillId="0" borderId="46" xfId="0" applyFont="1" applyBorder="1"/>
    <xf numFmtId="0" fontId="39" fillId="0" borderId="33" xfId="0" applyFont="1" applyBorder="1"/>
    <xf numFmtId="10" fontId="39" fillId="0" borderId="46" xfId="11" applyNumberFormat="1" applyFont="1" applyBorder="1"/>
    <xf numFmtId="164" fontId="39" fillId="0" borderId="47" xfId="2" applyNumberFormat="1" applyFont="1" applyBorder="1"/>
    <xf numFmtId="164" fontId="39" fillId="0" borderId="46" xfId="2" applyNumberFormat="1" applyFont="1" applyBorder="1"/>
    <xf numFmtId="164" fontId="39" fillId="0" borderId="33" xfId="2" applyNumberFormat="1" applyFont="1" applyBorder="1"/>
    <xf numFmtId="164" fontId="39" fillId="0" borderId="48" xfId="2" applyNumberFormat="1" applyFont="1" applyBorder="1"/>
    <xf numFmtId="164" fontId="39" fillId="0" borderId="0" xfId="2" applyNumberFormat="1" applyFont="1"/>
    <xf numFmtId="0" fontId="9" fillId="0" borderId="19" xfId="0" applyFont="1" applyBorder="1"/>
    <xf numFmtId="0" fontId="9" fillId="0" borderId="20" xfId="0" applyFont="1" applyBorder="1"/>
    <xf numFmtId="10" fontId="9" fillId="0" borderId="20" xfId="11" applyNumberFormat="1" applyFont="1" applyBorder="1"/>
    <xf numFmtId="0" fontId="9" fillId="0" borderId="21" xfId="0" applyFont="1" applyBorder="1"/>
    <xf numFmtId="164" fontId="56" fillId="0" borderId="0" xfId="2" applyNumberFormat="1" applyFont="1"/>
    <xf numFmtId="10" fontId="56" fillId="0" borderId="0" xfId="11" applyNumberFormat="1" applyFont="1"/>
    <xf numFmtId="0" fontId="9" fillId="0" borderId="16" xfId="0" applyFont="1" applyBorder="1"/>
    <xf numFmtId="0" fontId="55" fillId="0" borderId="0" xfId="10" applyFont="1" applyBorder="1"/>
    <xf numFmtId="0" fontId="39" fillId="0" borderId="36" xfId="0" applyFont="1" applyBorder="1"/>
    <xf numFmtId="0" fontId="39" fillId="0" borderId="0" xfId="0" applyFont="1" applyBorder="1"/>
    <xf numFmtId="0" fontId="57" fillId="0" borderId="0" xfId="0" applyFont="1"/>
    <xf numFmtId="9" fontId="58" fillId="0" borderId="0" xfId="11" quotePrefix="1" applyFont="1" applyAlignment="1">
      <alignment horizontal="center"/>
    </xf>
    <xf numFmtId="9" fontId="58" fillId="0" borderId="5" xfId="11" applyFont="1" applyBorder="1" applyAlignment="1">
      <alignment horizontal="center" wrapText="1"/>
    </xf>
    <xf numFmtId="9" fontId="9" fillId="0" borderId="0" xfId="11" applyFont="1" applyBorder="1"/>
    <xf numFmtId="37" fontId="9" fillId="0" borderId="3" xfId="9" applyFont="1" applyBorder="1" applyAlignment="1">
      <alignment horizontal="right"/>
    </xf>
    <xf numFmtId="164" fontId="9" fillId="0" borderId="0" xfId="2" applyNumberFormat="1" applyFont="1"/>
    <xf numFmtId="37" fontId="9" fillId="0" borderId="33" xfId="9" applyFont="1" applyBorder="1" applyAlignment="1">
      <alignment horizontal="right"/>
    </xf>
    <xf numFmtId="37" fontId="59" fillId="0" borderId="0" xfId="9" applyFont="1"/>
    <xf numFmtId="37" fontId="39" fillId="0" borderId="0" xfId="9" applyFont="1" applyAlignment="1">
      <alignment horizontal="right"/>
    </xf>
    <xf numFmtId="37" fontId="9" fillId="0" borderId="0" xfId="9" applyFont="1"/>
    <xf numFmtId="17" fontId="60" fillId="0" borderId="0" xfId="9" applyNumberFormat="1" applyFont="1" applyAlignment="1">
      <alignment horizontal="center"/>
    </xf>
    <xf numFmtId="17" fontId="60" fillId="0" borderId="0" xfId="9" applyNumberFormat="1" applyFont="1" applyAlignment="1">
      <alignment horizontal="right"/>
    </xf>
    <xf numFmtId="37" fontId="39" fillId="0" borderId="0" xfId="9" applyFont="1" applyAlignment="1">
      <alignment horizontal="center"/>
    </xf>
    <xf numFmtId="37" fontId="9" fillId="0" borderId="0" xfId="9" applyFont="1" applyBorder="1"/>
    <xf numFmtId="37" fontId="39" fillId="0" borderId="0" xfId="9" applyFont="1"/>
    <xf numFmtId="37" fontId="9" fillId="0" borderId="0" xfId="9" quotePrefix="1" applyFont="1" applyAlignment="1">
      <alignment horizontal="right"/>
    </xf>
    <xf numFmtId="37" fontId="9" fillId="0" borderId="0" xfId="9" applyFont="1" applyAlignment="1">
      <alignment horizontal="right"/>
    </xf>
    <xf numFmtId="37" fontId="39" fillId="0" borderId="0" xfId="9" applyFont="1" applyFill="1"/>
    <xf numFmtId="0" fontId="41" fillId="0" borderId="0" xfId="0" applyFont="1" applyAlignment="1">
      <alignment horizontal="center"/>
    </xf>
    <xf numFmtId="10" fontId="54" fillId="0" borderId="16" xfId="11" quotePrefix="1" applyNumberFormat="1" applyFont="1" applyBorder="1" applyAlignment="1">
      <alignment horizontal="center"/>
    </xf>
    <xf numFmtId="10" fontId="54" fillId="0" borderId="18" xfId="11" quotePrefix="1" applyNumberFormat="1" applyFont="1" applyBorder="1" applyAlignment="1">
      <alignment horizontal="center"/>
    </xf>
    <xf numFmtId="10" fontId="49" fillId="0" borderId="36" xfId="11" applyNumberFormat="1" applyFont="1" applyBorder="1" applyAlignment="1">
      <alignment horizontal="center"/>
    </xf>
    <xf numFmtId="10" fontId="49" fillId="0" borderId="28" xfId="11" applyNumberFormat="1" applyFont="1" applyBorder="1" applyAlignment="1">
      <alignment horizontal="center"/>
    </xf>
    <xf numFmtId="0" fontId="48" fillId="0" borderId="0" xfId="0" applyFont="1" applyAlignment="1">
      <alignment horizontal="center"/>
    </xf>
  </cellXfs>
  <cellStyles count="13">
    <cellStyle name="Calc Currency (0)" xfId="1"/>
    <cellStyle name="Comma" xfId="2" builtinId="3"/>
    <cellStyle name="Currency" xfId="3" builtinId="4"/>
    <cellStyle name="Grey" xfId="4"/>
    <cellStyle name="Header1" xfId="5"/>
    <cellStyle name="Header2" xfId="6"/>
    <cellStyle name="Input [yellow]" xfId="7"/>
    <cellStyle name="Normal" xfId="0" builtinId="0"/>
    <cellStyle name="Normal - Style1" xfId="8"/>
    <cellStyle name="Normal_Allocation %'s" xfId="9"/>
    <cellStyle name="Normal_PR99Alloc" xfId="10"/>
    <cellStyle name="Percent" xfId="11" builtinId="5"/>
    <cellStyle name="Percent [2]" xfId="1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E37F8A70-4EE7-C147-6BFC-01B304B3E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</xdr:colOff>
          <xdr:row>0</xdr:row>
          <xdr:rowOff>76200</xdr:rowOff>
        </xdr:from>
        <xdr:to>
          <xdr:col>13</xdr:col>
          <xdr:colOff>47625</xdr:colOff>
          <xdr:row>5</xdr:row>
          <xdr:rowOff>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1508E390-749B-B6A8-B985-2CBF7EE77D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C39100DB-A163-72C7-5A70-E23BCC4E8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13314" name="Picture 1">
          <a:extLst>
            <a:ext uri="{FF2B5EF4-FFF2-40B4-BE49-F238E27FC236}">
              <a16:creationId xmlns:a16="http://schemas.microsoft.com/office/drawing/2014/main" id="{C9FB6A5D-FD6A-8225-952E-D8E58F7F2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17409" name="Picture 1">
          <a:extLst>
            <a:ext uri="{FF2B5EF4-FFF2-40B4-BE49-F238E27FC236}">
              <a16:creationId xmlns:a16="http://schemas.microsoft.com/office/drawing/2014/main" id="{A1B95514-C918-A8B6-E637-FD41E7E69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coc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nvoices/Sept9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2000/O&amp;MReporting/Allocation/Y2k06/2K06allocati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2001/2001%20Plan/O&amp;M%20Reporting/Budget/Research/Research%202001%20budget%20as%20of%2009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_l"/>
      <sheetName val="Entry"/>
      <sheetName val="ICOct"/>
      <sheetName val="Correction"/>
    </sheetNames>
    <sheetDataSet>
      <sheetData sheetId="0"/>
      <sheetData sheetId="1" refreshError="1">
        <row r="6">
          <cell r="C6">
            <v>413</v>
          </cell>
          <cell r="E6">
            <v>36099</v>
          </cell>
          <cell r="J6" t="str">
            <v>413-025-11</v>
          </cell>
        </row>
        <row r="12">
          <cell r="C12">
            <v>-449053</v>
          </cell>
          <cell r="E12">
            <v>9230</v>
          </cell>
          <cell r="F12">
            <v>999</v>
          </cell>
          <cell r="G12" t="str">
            <v>860</v>
          </cell>
          <cell r="H12" t="str">
            <v>1807</v>
          </cell>
        </row>
        <row r="13">
          <cell r="F13" t="str">
            <v>AA Cost Alloc 10/98</v>
          </cell>
        </row>
        <row r="15">
          <cell r="C15">
            <v>56777</v>
          </cell>
          <cell r="E15">
            <v>1460</v>
          </cell>
          <cell r="G15" t="str">
            <v>969</v>
          </cell>
          <cell r="H15" t="str">
            <v>0000</v>
          </cell>
          <cell r="I15">
            <v>9</v>
          </cell>
        </row>
        <row r="16">
          <cell r="F16" t="str">
            <v>AA Cost Alloc 10/98</v>
          </cell>
        </row>
        <row r="18">
          <cell r="C18">
            <v>2581</v>
          </cell>
          <cell r="E18">
            <v>1460</v>
          </cell>
          <cell r="G18" t="str">
            <v>912</v>
          </cell>
          <cell r="H18" t="str">
            <v>0000</v>
          </cell>
          <cell r="I18">
            <v>9</v>
          </cell>
        </row>
        <row r="19">
          <cell r="F19" t="str">
            <v>AA Cost Alloc 10/98</v>
          </cell>
        </row>
        <row r="21">
          <cell r="C21">
            <v>183234</v>
          </cell>
          <cell r="E21">
            <v>1460</v>
          </cell>
          <cell r="G21" t="str">
            <v>963</v>
          </cell>
          <cell r="H21" t="str">
            <v>0000</v>
          </cell>
          <cell r="I21">
            <v>9</v>
          </cell>
        </row>
        <row r="22">
          <cell r="F22" t="str">
            <v>AA Cost Alloc 10/98</v>
          </cell>
        </row>
        <row r="24">
          <cell r="C24">
            <v>36131</v>
          </cell>
          <cell r="E24">
            <v>1460</v>
          </cell>
          <cell r="G24" t="str">
            <v>011</v>
          </cell>
          <cell r="H24" t="str">
            <v>0000</v>
          </cell>
          <cell r="I24">
            <v>9</v>
          </cell>
        </row>
        <row r="25">
          <cell r="F25" t="str">
            <v>AA Cost Alloc 10/98</v>
          </cell>
        </row>
        <row r="27">
          <cell r="C27">
            <v>95488</v>
          </cell>
          <cell r="D27" t="str">
            <v>985</v>
          </cell>
          <cell r="E27">
            <v>9230</v>
          </cell>
          <cell r="F27">
            <v>999</v>
          </cell>
          <cell r="G27" t="str">
            <v>904</v>
          </cell>
          <cell r="H27" t="str">
            <v>1422</v>
          </cell>
        </row>
        <row r="28">
          <cell r="F28" t="str">
            <v>AA Cost Alloc 10/98</v>
          </cell>
        </row>
        <row r="30">
          <cell r="C30">
            <v>56777</v>
          </cell>
          <cell r="E30">
            <v>1460</v>
          </cell>
          <cell r="G30" t="str">
            <v>34V</v>
          </cell>
          <cell r="H30" t="str">
            <v>0000</v>
          </cell>
          <cell r="I30">
            <v>9</v>
          </cell>
        </row>
        <row r="31">
          <cell r="F31" t="str">
            <v>AA Cost Alloc 10/98</v>
          </cell>
        </row>
        <row r="33">
          <cell r="C33">
            <v>7742</v>
          </cell>
          <cell r="E33">
            <v>1460</v>
          </cell>
          <cell r="F33">
            <v>999</v>
          </cell>
          <cell r="G33" t="str">
            <v>426</v>
          </cell>
          <cell r="H33" t="str">
            <v>0000</v>
          </cell>
          <cell r="I33">
            <v>9</v>
          </cell>
        </row>
        <row r="34">
          <cell r="F34" t="str">
            <v>AA Cost Alloc 10/98</v>
          </cell>
        </row>
        <row r="36">
          <cell r="C36">
            <v>2581</v>
          </cell>
          <cell r="E36">
            <v>1460</v>
          </cell>
          <cell r="G36" t="str">
            <v>359</v>
          </cell>
          <cell r="H36" t="str">
            <v>0000</v>
          </cell>
          <cell r="I36">
            <v>9</v>
          </cell>
        </row>
        <row r="37">
          <cell r="F37" t="str">
            <v>AA Cost Alloc 10/98</v>
          </cell>
        </row>
        <row r="39">
          <cell r="C39">
            <v>7742</v>
          </cell>
          <cell r="E39">
            <v>1460</v>
          </cell>
          <cell r="G39" t="str">
            <v>963</v>
          </cell>
          <cell r="H39" t="str">
            <v>0000</v>
          </cell>
          <cell r="I39">
            <v>9</v>
          </cell>
        </row>
        <row r="40">
          <cell r="F40" t="str">
            <v>AA Cost Alloc 10/98</v>
          </cell>
        </row>
        <row r="45">
          <cell r="D45" t="str">
            <v>To record the Intercompany Billings for the month of October  (Sept Allocations).</v>
          </cell>
        </row>
        <row r="60">
          <cell r="C60">
            <v>-92308</v>
          </cell>
          <cell r="E60">
            <v>9230</v>
          </cell>
          <cell r="F60">
            <v>999</v>
          </cell>
          <cell r="G60" t="str">
            <v>860</v>
          </cell>
          <cell r="H60" t="str">
            <v>1805</v>
          </cell>
          <cell r="I60">
            <v>9</v>
          </cell>
        </row>
        <row r="61">
          <cell r="F61" t="str">
            <v>Energy Ops Alloc 10/98</v>
          </cell>
        </row>
        <row r="63">
          <cell r="C63">
            <v>36848</v>
          </cell>
          <cell r="E63">
            <v>1460</v>
          </cell>
          <cell r="F63">
            <v>999</v>
          </cell>
          <cell r="G63" t="str">
            <v>969</v>
          </cell>
          <cell r="H63" t="str">
            <v>0000</v>
          </cell>
          <cell r="I63">
            <v>9</v>
          </cell>
        </row>
        <row r="64">
          <cell r="F64" t="str">
            <v>Energy Ops Alloc 10/98</v>
          </cell>
        </row>
        <row r="66">
          <cell r="C66">
            <v>17613</v>
          </cell>
          <cell r="E66">
            <v>1460</v>
          </cell>
          <cell r="G66" t="str">
            <v>912</v>
          </cell>
          <cell r="H66" t="str">
            <v>0000</v>
          </cell>
          <cell r="I66">
            <v>9</v>
          </cell>
        </row>
        <row r="67">
          <cell r="F67" t="str">
            <v>Energy Ops Alloc 10/98</v>
          </cell>
        </row>
        <row r="69">
          <cell r="C69">
            <v>1123</v>
          </cell>
          <cell r="E69">
            <v>1460</v>
          </cell>
          <cell r="G69" t="str">
            <v>963</v>
          </cell>
          <cell r="H69" t="str">
            <v>0000</v>
          </cell>
          <cell r="I69">
            <v>9</v>
          </cell>
        </row>
        <row r="70">
          <cell r="F70" t="str">
            <v>Energy Ops Alloc 10/98</v>
          </cell>
        </row>
        <row r="72">
          <cell r="C72">
            <v>36724</v>
          </cell>
          <cell r="E72">
            <v>1460</v>
          </cell>
          <cell r="G72" t="str">
            <v>460</v>
          </cell>
          <cell r="H72" t="str">
            <v>0000</v>
          </cell>
          <cell r="I72">
            <v>9</v>
          </cell>
        </row>
        <row r="73">
          <cell r="F73" t="str">
            <v>Energy Ops Alloc 10/98</v>
          </cell>
        </row>
        <row r="75">
          <cell r="C75">
            <v>-225353</v>
          </cell>
          <cell r="E75">
            <v>9230</v>
          </cell>
          <cell r="F75">
            <v>999</v>
          </cell>
          <cell r="G75" t="str">
            <v>860</v>
          </cell>
          <cell r="H75" t="str">
            <v>1925</v>
          </cell>
          <cell r="I75">
            <v>9</v>
          </cell>
        </row>
        <row r="76">
          <cell r="F76" t="str">
            <v>Human Resources Alloc 10/98</v>
          </cell>
        </row>
        <row r="78">
          <cell r="C78">
            <v>121525</v>
          </cell>
          <cell r="E78">
            <v>1460</v>
          </cell>
          <cell r="G78" t="str">
            <v>912</v>
          </cell>
          <cell r="H78" t="str">
            <v>0000</v>
          </cell>
          <cell r="I78">
            <v>9</v>
          </cell>
        </row>
        <row r="79">
          <cell r="F79" t="str">
            <v>Human Resources Alloc 10/98</v>
          </cell>
        </row>
        <row r="81">
          <cell r="C81">
            <v>103828</v>
          </cell>
          <cell r="E81">
            <v>1460</v>
          </cell>
          <cell r="G81" t="str">
            <v>912</v>
          </cell>
          <cell r="H81" t="str">
            <v>0000</v>
          </cell>
          <cell r="I81">
            <v>9</v>
          </cell>
        </row>
        <row r="82">
          <cell r="F82" t="str">
            <v>Human Resources Alloc 10/98</v>
          </cell>
        </row>
        <row r="84">
          <cell r="C84">
            <v>-313507</v>
          </cell>
          <cell r="E84">
            <v>9230</v>
          </cell>
          <cell r="F84">
            <v>999</v>
          </cell>
          <cell r="G84" t="str">
            <v>860</v>
          </cell>
          <cell r="H84" t="str">
            <v>1898</v>
          </cell>
        </row>
        <row r="85">
          <cell r="F85" t="str">
            <v>Legal Alloc 10/98</v>
          </cell>
        </row>
        <row r="87">
          <cell r="C87">
            <v>144395</v>
          </cell>
          <cell r="E87">
            <v>1460</v>
          </cell>
          <cell r="G87" t="str">
            <v>969</v>
          </cell>
          <cell r="H87" t="str">
            <v>0000</v>
          </cell>
          <cell r="I87">
            <v>9</v>
          </cell>
        </row>
        <row r="88">
          <cell r="F88" t="str">
            <v>Legal Alloc 10/98</v>
          </cell>
        </row>
        <row r="93">
          <cell r="D93" t="str">
            <v>To record the Intercompany Billings for the month of October  (Sept Allocations).</v>
          </cell>
        </row>
        <row r="108">
          <cell r="C108">
            <v>29939</v>
          </cell>
          <cell r="E108">
            <v>1460</v>
          </cell>
          <cell r="G108" t="str">
            <v>912</v>
          </cell>
          <cell r="H108" t="str">
            <v>0000</v>
          </cell>
          <cell r="I108">
            <v>9</v>
          </cell>
        </row>
        <row r="109">
          <cell r="F109" t="str">
            <v>Legal Alloc 10/98</v>
          </cell>
        </row>
        <row r="111">
          <cell r="C111">
            <v>60888</v>
          </cell>
          <cell r="E111">
            <v>1460</v>
          </cell>
          <cell r="F111">
            <v>999</v>
          </cell>
          <cell r="G111" t="str">
            <v>963</v>
          </cell>
          <cell r="H111" t="str">
            <v>0000</v>
          </cell>
          <cell r="I111">
            <v>9</v>
          </cell>
        </row>
        <row r="112">
          <cell r="F112" t="str">
            <v>Legal Alloc 10/98</v>
          </cell>
        </row>
        <row r="114">
          <cell r="C114">
            <v>72072</v>
          </cell>
          <cell r="E114">
            <v>1460</v>
          </cell>
          <cell r="G114" t="str">
            <v>912</v>
          </cell>
          <cell r="H114" t="str">
            <v>0000</v>
          </cell>
          <cell r="I114">
            <v>9</v>
          </cell>
        </row>
        <row r="115">
          <cell r="F115" t="str">
            <v>Legal Alloc 10/98</v>
          </cell>
        </row>
        <row r="117">
          <cell r="C117">
            <v>4971</v>
          </cell>
          <cell r="E117">
            <v>1460</v>
          </cell>
          <cell r="G117" t="str">
            <v>912</v>
          </cell>
          <cell r="H117" t="str">
            <v>0000</v>
          </cell>
          <cell r="I117">
            <v>9</v>
          </cell>
        </row>
        <row r="118">
          <cell r="F118" t="str">
            <v>Legal Alloc 10/98</v>
          </cell>
        </row>
        <row r="120">
          <cell r="C120">
            <v>1242</v>
          </cell>
          <cell r="E120">
            <v>1460</v>
          </cell>
          <cell r="G120" t="str">
            <v>912</v>
          </cell>
          <cell r="H120" t="str">
            <v>0000</v>
          </cell>
          <cell r="I120">
            <v>9</v>
          </cell>
        </row>
        <row r="121">
          <cell r="F121" t="str">
            <v>Legal Alloc 10/98</v>
          </cell>
        </row>
        <row r="123">
          <cell r="C123">
            <v>-118891</v>
          </cell>
          <cell r="D123" t="str">
            <v>985</v>
          </cell>
          <cell r="E123">
            <v>9230</v>
          </cell>
          <cell r="F123">
            <v>999</v>
          </cell>
          <cell r="G123" t="str">
            <v>860</v>
          </cell>
          <cell r="H123" t="str">
            <v>1900</v>
          </cell>
        </row>
        <row r="124">
          <cell r="F124" t="str">
            <v>Structuring Alloc 10/98</v>
          </cell>
        </row>
        <row r="126">
          <cell r="C126">
            <v>118891</v>
          </cell>
          <cell r="E126">
            <v>1460</v>
          </cell>
          <cell r="F126">
            <v>999</v>
          </cell>
          <cell r="G126" t="str">
            <v>963</v>
          </cell>
          <cell r="H126" t="str">
            <v>0000</v>
          </cell>
          <cell r="I126">
            <v>9</v>
          </cell>
        </row>
        <row r="127">
          <cell r="F127" t="str">
            <v>Structuring Alloc 10/98</v>
          </cell>
        </row>
        <row r="129">
          <cell r="C129">
            <v>-152555</v>
          </cell>
          <cell r="E129">
            <v>9230</v>
          </cell>
          <cell r="F129">
            <v>999</v>
          </cell>
          <cell r="G129" t="str">
            <v>860</v>
          </cell>
          <cell r="H129" t="str">
            <v>1901</v>
          </cell>
          <cell r="I129">
            <v>9</v>
          </cell>
        </row>
        <row r="130">
          <cell r="F130" t="str">
            <v>Tax Support Alloc  10/98</v>
          </cell>
        </row>
        <row r="132">
          <cell r="C132">
            <v>36855</v>
          </cell>
          <cell r="E132">
            <v>1460</v>
          </cell>
          <cell r="G132" t="str">
            <v>969</v>
          </cell>
          <cell r="H132" t="str">
            <v>0000</v>
          </cell>
          <cell r="I132">
            <v>9</v>
          </cell>
        </row>
        <row r="133">
          <cell r="F133" t="str">
            <v>Tax Support Alloc 10/98</v>
          </cell>
        </row>
        <row r="135">
          <cell r="C135">
            <v>86731</v>
          </cell>
          <cell r="E135">
            <v>1460</v>
          </cell>
          <cell r="G135" t="str">
            <v>912</v>
          </cell>
          <cell r="H135" t="str">
            <v>0000</v>
          </cell>
          <cell r="I135">
            <v>9</v>
          </cell>
        </row>
        <row r="136">
          <cell r="F136" t="str">
            <v>Tax Support Alloc  10/98</v>
          </cell>
        </row>
        <row r="141">
          <cell r="D141" t="str">
            <v>To record the Intercompany Billings for the month of October  (Sept Allocations).</v>
          </cell>
        </row>
        <row r="156">
          <cell r="C156">
            <v>6856</v>
          </cell>
          <cell r="E156">
            <v>1460</v>
          </cell>
          <cell r="G156" t="str">
            <v>963</v>
          </cell>
          <cell r="H156" t="str">
            <v>0000</v>
          </cell>
          <cell r="I156">
            <v>9</v>
          </cell>
        </row>
        <row r="157">
          <cell r="F157" t="str">
            <v>Tax Support Alloc  10/98</v>
          </cell>
        </row>
        <row r="159">
          <cell r="C159">
            <v>22113</v>
          </cell>
          <cell r="D159" t="str">
            <v>985</v>
          </cell>
          <cell r="E159">
            <v>9230</v>
          </cell>
          <cell r="F159">
            <v>999</v>
          </cell>
          <cell r="G159" t="str">
            <v>904</v>
          </cell>
          <cell r="H159" t="str">
            <v>1422</v>
          </cell>
        </row>
        <row r="160">
          <cell r="F160" t="str">
            <v>Tax Support Alloc 10/98</v>
          </cell>
        </row>
        <row r="162">
          <cell r="C162">
            <v>-675042</v>
          </cell>
          <cell r="E162">
            <v>9230</v>
          </cell>
          <cell r="F162">
            <v>999</v>
          </cell>
          <cell r="G162" t="str">
            <v>860</v>
          </cell>
          <cell r="H162" t="str">
            <v>1806</v>
          </cell>
        </row>
        <row r="163">
          <cell r="F163" t="str">
            <v>IT Alloc 10/98</v>
          </cell>
        </row>
        <row r="165">
          <cell r="C165">
            <v>675042</v>
          </cell>
          <cell r="E165">
            <v>1460</v>
          </cell>
          <cell r="G165" t="str">
            <v>912</v>
          </cell>
          <cell r="H165" t="str">
            <v>0000</v>
          </cell>
          <cell r="I165">
            <v>9</v>
          </cell>
        </row>
        <row r="166">
          <cell r="F166" t="str">
            <v>IT Alloc 10/98</v>
          </cell>
        </row>
        <row r="189">
          <cell r="D189" t="str">
            <v>To record the Intercompany Billings for the month of October  (Sept Allocations).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OICE"/>
      <sheetName val="YTDEurope"/>
      <sheetName val="ICSept"/>
      <sheetName val="Step1"/>
      <sheetName val="Step2"/>
      <sheetName val="Analysts and Associates"/>
      <sheetName val="A and A for Other Divisions"/>
      <sheetName val="Energy Operations"/>
      <sheetName val="Legal"/>
      <sheetName val="Structuring"/>
      <sheetName val="Tax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regina"/>
    </defined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Allocation RC"/>
      <sheetName val="Department Summary"/>
      <sheetName val="RAC Corr"/>
      <sheetName val="Correction"/>
      <sheetName val="Energy Ops Tmrpt"/>
      <sheetName val="EO Actual"/>
      <sheetName val="BA&amp;R"/>
      <sheetName val="BA&amp;R Trans Sup"/>
      <sheetName val="Build Out"/>
      <sheetName val="Corp Ben"/>
      <sheetName val="ECM"/>
      <sheetName val="EO"/>
      <sheetName val="EnronOnline"/>
      <sheetName val="IT"/>
      <sheetName val="HR"/>
      <sheetName val="Legal"/>
      <sheetName val="London"/>
      <sheetName val="Longterm Comp"/>
      <sheetName val="OCC"/>
      <sheetName val="PGE"/>
      <sheetName val="PR"/>
      <sheetName val="RAC"/>
      <sheetName val="Tax"/>
      <sheetName val="Canada Trading"/>
      <sheetName val="Canada Fin"/>
      <sheetName val="Headct"/>
      <sheetName val="Sheet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3">
          <cell r="C23" t="str">
            <v>Assets Enron Storage Development</v>
          </cell>
          <cell r="D23">
            <v>4</v>
          </cell>
          <cell r="E23">
            <v>2.1208907741251328E-3</v>
          </cell>
          <cell r="F23">
            <v>0</v>
          </cell>
          <cell r="G23">
            <v>0</v>
          </cell>
        </row>
        <row r="24">
          <cell r="C24" t="str">
            <v>Assets Enron Offshore Services</v>
          </cell>
          <cell r="D24">
            <v>5</v>
          </cell>
          <cell r="E24">
            <v>2.6511134676564158E-3</v>
          </cell>
          <cell r="F24">
            <v>2</v>
          </cell>
          <cell r="G24">
            <v>1.0770639237438742E-3</v>
          </cell>
        </row>
        <row r="25">
          <cell r="C25" t="str">
            <v>Assets Enron Power Transmission</v>
          </cell>
          <cell r="D25">
            <v>5</v>
          </cell>
          <cell r="E25">
            <v>2.6511134676564158E-3</v>
          </cell>
          <cell r="F25">
            <v>9</v>
          </cell>
          <cell r="G25">
            <v>4.8467876568474341E-3</v>
          </cell>
        </row>
        <row r="26">
          <cell r="C26" t="str">
            <v>Assets Executive</v>
          </cell>
          <cell r="D26">
            <v>3</v>
          </cell>
          <cell r="E26">
            <v>1.5906680805938495E-3</v>
          </cell>
          <cell r="F26">
            <v>26</v>
          </cell>
          <cell r="G26">
            <v>1.4001831008670364E-2</v>
          </cell>
        </row>
        <row r="27">
          <cell r="C27" t="str">
            <v>Assets Gas Network Engineering</v>
          </cell>
          <cell r="D27">
            <v>38</v>
          </cell>
          <cell r="E27">
            <v>2.0148462354188761E-2</v>
          </cell>
          <cell r="F27">
            <v>22</v>
          </cell>
          <cell r="G27">
            <v>1.1847703161182615E-2</v>
          </cell>
        </row>
        <row r="28">
          <cell r="C28" t="str">
            <v>Assets Gas Network Operations</v>
          </cell>
          <cell r="D28">
            <v>13</v>
          </cell>
          <cell r="E28">
            <v>6.8928950159066809E-3</v>
          </cell>
          <cell r="F28">
            <v>9</v>
          </cell>
          <cell r="G28">
            <v>4.8467876568474341E-3</v>
          </cell>
        </row>
        <row r="29">
          <cell r="C29" t="str">
            <v>Assets Gas Network Services</v>
          </cell>
          <cell r="D29">
            <v>42</v>
          </cell>
          <cell r="E29">
            <v>2.2269353128313893E-2</v>
          </cell>
          <cell r="F29">
            <v>27</v>
          </cell>
          <cell r="G29">
            <v>1.45403629705423E-2</v>
          </cell>
        </row>
        <row r="30">
          <cell r="C30" t="str">
            <v>Assets Network Development</v>
          </cell>
          <cell r="D30">
            <v>3</v>
          </cell>
          <cell r="E30">
            <v>1.5906680805938495E-3</v>
          </cell>
          <cell r="F30">
            <v>9</v>
          </cell>
          <cell r="G30">
            <v>4.8467876568474341E-3</v>
          </cell>
        </row>
        <row r="31">
          <cell r="C31" t="str">
            <v>Assets Rocky Mountain Gas</v>
          </cell>
          <cell r="D31">
            <v>19</v>
          </cell>
          <cell r="E31">
            <v>1.007423117709438E-2</v>
          </cell>
          <cell r="F31">
            <v>21</v>
          </cell>
          <cell r="G31">
            <v>1.1309171199310679E-2</v>
          </cell>
        </row>
        <row r="32">
          <cell r="C32" t="str">
            <v>Assets Trading</v>
          </cell>
          <cell r="D32">
            <v>19</v>
          </cell>
          <cell r="E32">
            <v>1.007423117709438E-2</v>
          </cell>
          <cell r="F32">
            <v>24</v>
          </cell>
          <cell r="G32">
            <v>1.292476708492649E-2</v>
          </cell>
        </row>
        <row r="33">
          <cell r="C33" t="str">
            <v>Assets Transportation</v>
          </cell>
          <cell r="D33">
            <v>16</v>
          </cell>
          <cell r="E33">
            <v>8.483563096500531E-3</v>
          </cell>
          <cell r="F33">
            <v>10</v>
          </cell>
          <cell r="G33">
            <v>5.3853196187193704E-3</v>
          </cell>
        </row>
        <row r="34">
          <cell r="C34" t="str">
            <v>Canada Finance</v>
          </cell>
          <cell r="D34">
            <v>20.5</v>
          </cell>
          <cell r="E34">
            <v>1.0869565217391304E-2</v>
          </cell>
        </row>
        <row r="35">
          <cell r="C35" t="str">
            <v>Canada Trading</v>
          </cell>
          <cell r="D35">
            <v>20.5</v>
          </cell>
          <cell r="E35">
            <v>1.0869565217391304E-2</v>
          </cell>
          <cell r="F35">
            <v>44.5</v>
          </cell>
          <cell r="G35">
            <v>2.3964672303301199E-2</v>
          </cell>
        </row>
        <row r="36">
          <cell r="C36" t="str">
            <v>Clean Energy Solutions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C37" t="str">
            <v>Coal</v>
          </cell>
          <cell r="D37">
            <v>22</v>
          </cell>
          <cell r="E37">
            <v>1.166489925768823E-2</v>
          </cell>
          <cell r="F37">
            <v>45</v>
          </cell>
          <cell r="G37">
            <v>2.4233938284237169E-2</v>
          </cell>
        </row>
        <row r="38">
          <cell r="C38" t="str">
            <v>Credit Spread Trading</v>
          </cell>
          <cell r="D38">
            <v>6</v>
          </cell>
          <cell r="E38">
            <v>3.1813361611876989E-3</v>
          </cell>
          <cell r="F38">
            <v>9</v>
          </cell>
          <cell r="G38">
            <v>4.8467876568474341E-3</v>
          </cell>
        </row>
        <row r="39">
          <cell r="C39" t="str">
            <v>CTG</v>
          </cell>
          <cell r="D39">
            <v>167</v>
          </cell>
          <cell r="E39">
            <v>8.8547189819724287E-2</v>
          </cell>
          <cell r="F39">
            <v>128</v>
          </cell>
          <cell r="G39">
            <v>6.8932091119607949E-2</v>
          </cell>
        </row>
        <row r="40">
          <cell r="C40" t="str">
            <v>Downstream Industrial Originations</v>
          </cell>
          <cell r="D40">
            <v>26</v>
          </cell>
          <cell r="E40">
            <v>1.3785790031813362E-2</v>
          </cell>
          <cell r="F40">
            <v>33</v>
          </cell>
          <cell r="G40">
            <v>1.7771554741773922E-2</v>
          </cell>
        </row>
        <row r="41">
          <cell r="C41" t="str">
            <v>East Midstream Origination</v>
          </cell>
          <cell r="D41">
            <v>41</v>
          </cell>
          <cell r="E41">
            <v>2.1739130434782608E-2</v>
          </cell>
          <cell r="F41">
            <v>61</v>
          </cell>
          <cell r="G41">
            <v>3.285044967418816E-2</v>
          </cell>
        </row>
        <row r="42">
          <cell r="C42" t="str">
            <v>East Power Trading</v>
          </cell>
          <cell r="D42">
            <v>89</v>
          </cell>
          <cell r="E42">
            <v>4.7189819724284196E-2</v>
          </cell>
          <cell r="F42">
            <v>49</v>
          </cell>
          <cell r="G42">
            <v>2.6388066131724917E-2</v>
          </cell>
        </row>
        <row r="43">
          <cell r="C43" t="str">
            <v>Environmental Energy</v>
          </cell>
          <cell r="D43">
            <v>10</v>
          </cell>
          <cell r="E43">
            <v>5.3022269353128317E-3</v>
          </cell>
          <cell r="F43">
            <v>9</v>
          </cell>
          <cell r="G43">
            <v>4.8467876568474341E-3</v>
          </cell>
        </row>
        <row r="44">
          <cell r="C44" t="str">
            <v>Equity Trading</v>
          </cell>
          <cell r="D44">
            <v>12</v>
          </cell>
          <cell r="E44">
            <v>6.3626723223753979E-3</v>
          </cell>
          <cell r="F44">
            <v>10</v>
          </cell>
          <cell r="G44">
            <v>5.3853196187193704E-3</v>
          </cell>
        </row>
        <row r="45">
          <cell r="C45" t="str">
            <v>Executive Originations</v>
          </cell>
          <cell r="D45">
            <v>0</v>
          </cell>
          <cell r="E45">
            <v>0</v>
          </cell>
          <cell r="F45">
            <v>2</v>
          </cell>
          <cell r="G45">
            <v>1.0770639237438742E-3</v>
          </cell>
        </row>
        <row r="46">
          <cell r="C46" t="str">
            <v>Executive Trading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</row>
        <row r="47">
          <cell r="C47" t="str">
            <v>Financial Origination</v>
          </cell>
          <cell r="D47">
            <v>13</v>
          </cell>
          <cell r="E47">
            <v>6.8928950159066809E-3</v>
          </cell>
          <cell r="F47">
            <v>17</v>
          </cell>
          <cell r="G47">
            <v>9.15504335182293E-3</v>
          </cell>
        </row>
        <row r="48">
          <cell r="C48" t="str">
            <v>Genco</v>
          </cell>
          <cell r="D48">
            <v>0</v>
          </cell>
          <cell r="E48">
            <v>0</v>
          </cell>
          <cell r="F48">
            <v>12</v>
          </cell>
          <cell r="G48">
            <v>6.4623835424632448E-3</v>
          </cell>
        </row>
        <row r="49">
          <cell r="C49" t="str">
            <v>Group</v>
          </cell>
          <cell r="D49">
            <v>954</v>
          </cell>
          <cell r="E49">
            <v>0.50583244962884411</v>
          </cell>
          <cell r="F49">
            <v>886.4</v>
          </cell>
          <cell r="G49">
            <v>0.47735473100328502</v>
          </cell>
        </row>
        <row r="50">
          <cell r="C50" t="str">
            <v>Insurance - Porfolio Management</v>
          </cell>
          <cell r="D50">
            <v>0</v>
          </cell>
          <cell r="E50">
            <v>0</v>
          </cell>
          <cell r="F50">
            <v>3</v>
          </cell>
          <cell r="G50">
            <v>1.6155958856158112E-3</v>
          </cell>
        </row>
        <row r="51">
          <cell r="C51" t="str">
            <v>Insurance - Risk Products</v>
          </cell>
          <cell r="D51">
            <v>19</v>
          </cell>
          <cell r="E51">
            <v>1.007423117709438E-2</v>
          </cell>
          <cell r="F51">
            <v>20</v>
          </cell>
          <cell r="G51">
            <v>1.0770639237438741E-2</v>
          </cell>
        </row>
        <row r="52">
          <cell r="C52" t="str">
            <v xml:space="preserve">Interest Rate/Foreign Exchange </v>
          </cell>
          <cell r="D52">
            <v>12</v>
          </cell>
          <cell r="E52">
            <v>6.3626723223753979E-3</v>
          </cell>
          <cell r="F52">
            <v>14</v>
          </cell>
          <cell r="G52">
            <v>7.5394474662071193E-3</v>
          </cell>
        </row>
        <row r="53">
          <cell r="C53" t="str">
            <v>Long-term gas trading</v>
          </cell>
          <cell r="D53">
            <v>16</v>
          </cell>
          <cell r="E53">
            <v>8.483563096500531E-3</v>
          </cell>
          <cell r="F53">
            <v>9</v>
          </cell>
          <cell r="G53">
            <v>4.8467876568474341E-3</v>
          </cell>
        </row>
        <row r="54">
          <cell r="C54" t="str">
            <v>Mexico</v>
          </cell>
          <cell r="D54">
            <v>5</v>
          </cell>
          <cell r="E54">
            <v>2.6511134676564158E-3</v>
          </cell>
          <cell r="F54">
            <v>22</v>
          </cell>
          <cell r="G54">
            <v>1.1847703161182615E-2</v>
          </cell>
        </row>
        <row r="55">
          <cell r="C55" t="str">
            <v>Midstream IPP Origination</v>
          </cell>
          <cell r="D55">
            <v>0</v>
          </cell>
          <cell r="E55">
            <v>0</v>
          </cell>
          <cell r="F55">
            <v>18</v>
          </cell>
          <cell r="G55">
            <v>9.6935753136948681E-3</v>
          </cell>
        </row>
        <row r="56">
          <cell r="C56" t="str">
            <v xml:space="preserve">New Business Development </v>
          </cell>
          <cell r="D56">
            <v>13</v>
          </cell>
          <cell r="E56">
            <v>6.8928950159066809E-3</v>
          </cell>
          <cell r="F56">
            <v>14</v>
          </cell>
          <cell r="G56">
            <v>7.5394474662071193E-3</v>
          </cell>
        </row>
        <row r="57">
          <cell r="C57" t="str">
            <v>Office of Chairman</v>
          </cell>
          <cell r="D57">
            <v>35</v>
          </cell>
          <cell r="E57">
            <v>1.855779427359491E-2</v>
          </cell>
          <cell r="F57">
            <v>48</v>
          </cell>
          <cell r="G57">
            <v>2.5849534169852979E-2</v>
          </cell>
        </row>
        <row r="58">
          <cell r="C58" t="str">
            <v>Pulp &amp; Paper</v>
          </cell>
          <cell r="D58">
            <v>32</v>
          </cell>
          <cell r="E58">
            <v>1.6967126193001062E-2</v>
          </cell>
          <cell r="F58">
            <v>43</v>
          </cell>
          <cell r="G58">
            <v>2.3156874360493296E-2</v>
          </cell>
        </row>
        <row r="59">
          <cell r="C59" t="str">
            <v>Restructuring</v>
          </cell>
          <cell r="D59">
            <v>0</v>
          </cell>
          <cell r="E59">
            <v>0</v>
          </cell>
          <cell r="F59">
            <v>11</v>
          </cell>
          <cell r="G59">
            <v>5.9238515805913076E-3</v>
          </cell>
        </row>
        <row r="60">
          <cell r="C60" t="str">
            <v>Risk Management (Middle Mkt) - Hou</v>
          </cell>
          <cell r="D60">
            <v>19</v>
          </cell>
          <cell r="E60">
            <v>1.007423117709438E-2</v>
          </cell>
          <cell r="F60">
            <v>14</v>
          </cell>
          <cell r="G60">
            <v>7.5394474662071193E-3</v>
          </cell>
        </row>
        <row r="61">
          <cell r="C61" t="str">
            <v>Risk Management (Middle Mkt) - NY</v>
          </cell>
          <cell r="D61">
            <v>3</v>
          </cell>
          <cell r="E61">
            <v>1.5906680805938495E-3</v>
          </cell>
          <cell r="F61">
            <v>4</v>
          </cell>
          <cell r="G61">
            <v>2.1541278474877484E-3</v>
          </cell>
        </row>
        <row r="62">
          <cell r="C62" t="str">
            <v>Short-term gas trading - Central</v>
          </cell>
          <cell r="D62">
            <v>20</v>
          </cell>
          <cell r="E62">
            <v>1.0604453870625663E-2</v>
          </cell>
          <cell r="F62">
            <v>12</v>
          </cell>
          <cell r="G62">
            <v>6.4623835424632448E-3</v>
          </cell>
        </row>
        <row r="63">
          <cell r="C63" t="str">
            <v>Short-term gas trading - East</v>
          </cell>
          <cell r="D63">
            <v>22</v>
          </cell>
          <cell r="E63">
            <v>1.166489925768823E-2</v>
          </cell>
          <cell r="F63">
            <v>16</v>
          </cell>
          <cell r="G63">
            <v>8.6165113899509937E-3</v>
          </cell>
        </row>
        <row r="64">
          <cell r="C64" t="str">
            <v>Short-term gas trading - Texas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C65" t="str">
            <v>Short-term gas trading - West</v>
          </cell>
          <cell r="D65">
            <v>12</v>
          </cell>
          <cell r="E65">
            <v>6.3626723223753979E-3</v>
          </cell>
          <cell r="F65">
            <v>8</v>
          </cell>
          <cell r="G65">
            <v>4.3082556949754968E-3</v>
          </cell>
        </row>
        <row r="66">
          <cell r="C66" t="str">
            <v>SO2</v>
          </cell>
          <cell r="D66">
            <v>4</v>
          </cell>
          <cell r="E66">
            <v>2.1208907741251328E-3</v>
          </cell>
          <cell r="F66">
            <v>2</v>
          </cell>
          <cell r="G66">
            <v>1.0770639237438742E-3</v>
          </cell>
        </row>
        <row r="67">
          <cell r="C67" t="str">
            <v>Upstream Origination</v>
          </cell>
          <cell r="D67">
            <v>25</v>
          </cell>
          <cell r="E67">
            <v>1.3255567338282079E-2</v>
          </cell>
          <cell r="F67">
            <v>15</v>
          </cell>
          <cell r="G67">
            <v>8.0779794280790556E-3</v>
          </cell>
        </row>
        <row r="68">
          <cell r="C68" t="str">
            <v>Weather Derivatives</v>
          </cell>
          <cell r="D68">
            <v>13</v>
          </cell>
          <cell r="E68">
            <v>6.8928950159066809E-3</v>
          </cell>
          <cell r="F68">
            <v>23</v>
          </cell>
          <cell r="G68">
            <v>1.2386235123054553E-2</v>
          </cell>
        </row>
        <row r="69">
          <cell r="C69" t="str">
            <v>West Midstream Origination</v>
          </cell>
          <cell r="D69">
            <v>35</v>
          </cell>
          <cell r="E69">
            <v>1.855779427359491E-2</v>
          </cell>
          <cell r="F69">
            <v>38</v>
          </cell>
          <cell r="G69">
            <v>2.0464214551133609E-2</v>
          </cell>
        </row>
        <row r="70">
          <cell r="C70" t="str">
            <v>West Power Trading</v>
          </cell>
          <cell r="D70">
            <v>53</v>
          </cell>
          <cell r="E70">
            <v>2.8101802757158005E-2</v>
          </cell>
          <cell r="F70">
            <v>58</v>
          </cell>
          <cell r="G70">
            <v>3.123485378857235E-2</v>
          </cell>
        </row>
        <row r="72">
          <cell r="C72" t="str">
            <v>Totals</v>
          </cell>
          <cell r="D72">
            <v>1886</v>
          </cell>
          <cell r="E72">
            <v>1.0000000000000002</v>
          </cell>
          <cell r="F72">
            <v>1856.9</v>
          </cell>
          <cell r="G72">
            <v>1</v>
          </cell>
        </row>
      </sheetData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Forecast vs 00 budget"/>
      <sheetName val="Budget vs budget"/>
      <sheetName val="Forecast vs 01 budget"/>
      <sheetName val="Allocation"/>
      <sheetName val="2000 Budget"/>
      <sheetName val="2000 Forecast"/>
      <sheetName val="2001 allocation"/>
      <sheetName val="Research"/>
      <sheetName val="Uploa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6">
          <cell r="D86">
            <v>908035.125</v>
          </cell>
          <cell r="E86">
            <v>871954.03749999998</v>
          </cell>
          <cell r="F86">
            <v>871954.03749999998</v>
          </cell>
          <cell r="G86">
            <v>871954.03749999998</v>
          </cell>
          <cell r="H86">
            <v>871954.03749999998</v>
          </cell>
          <cell r="I86">
            <v>874954.03749999998</v>
          </cell>
          <cell r="J86">
            <v>874954.03749999998</v>
          </cell>
          <cell r="K86">
            <v>874954.03749999998</v>
          </cell>
          <cell r="L86">
            <v>874954.03749999998</v>
          </cell>
          <cell r="M86">
            <v>874954.03749999998</v>
          </cell>
          <cell r="N86">
            <v>874954.03749999998</v>
          </cell>
          <cell r="O86">
            <v>874954.03749999998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58"/>
  <sheetViews>
    <sheetView zoomScale="60" workbookViewId="0">
      <selection activeCell="C9" sqref="C9"/>
    </sheetView>
  </sheetViews>
  <sheetFormatPr defaultRowHeight="12.75"/>
  <cols>
    <col min="1" max="1" width="14.42578125" customWidth="1"/>
    <col min="2" max="2" width="59.42578125" customWidth="1"/>
    <col min="3" max="3" width="22" style="1" customWidth="1"/>
    <col min="4" max="4" width="16.140625" customWidth="1"/>
  </cols>
  <sheetData>
    <row r="1" spans="1:18" ht="65.25" customHeight="1">
      <c r="C1" s="4" t="s">
        <v>0</v>
      </c>
    </row>
    <row r="2" spans="1:18" ht="15.75">
      <c r="B2" s="3" t="s">
        <v>1</v>
      </c>
      <c r="C2"/>
    </row>
    <row r="3" spans="1:18" ht="15.75">
      <c r="B3" s="3" t="s">
        <v>2</v>
      </c>
    </row>
    <row r="4" spans="1:18" ht="15.75">
      <c r="B4" s="3" t="s">
        <v>3</v>
      </c>
    </row>
    <row r="5" spans="1:18" ht="35.25" customHeight="1">
      <c r="B5" s="3" t="s">
        <v>54</v>
      </c>
    </row>
    <row r="6" spans="1:18" ht="35.25" customHeight="1">
      <c r="B6" s="2"/>
    </row>
    <row r="7" spans="1:18">
      <c r="B7" s="2"/>
    </row>
    <row r="8" spans="1:18" s="7" customFormat="1" ht="15">
      <c r="A8" s="5" t="s">
        <v>49</v>
      </c>
      <c r="B8" s="5"/>
      <c r="C8" s="118" t="s">
        <v>96</v>
      </c>
    </row>
    <row r="9" spans="1:18" s="7" customFormat="1" ht="15">
      <c r="A9" s="7" t="str">
        <f>'Co 011 Invoice'!A9</f>
        <v>Regina Hawley, Lisa Wilson, Shelly Pierce</v>
      </c>
      <c r="B9" s="5"/>
      <c r="C9" s="6"/>
    </row>
    <row r="10" spans="1:18" s="7" customFormat="1" ht="41.25" customHeight="1" thickBot="1">
      <c r="C10" s="6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</row>
    <row r="11" spans="1:18" s="7" customFormat="1" ht="22.5" customHeight="1" thickBot="1">
      <c r="A11" s="74" t="s">
        <v>4</v>
      </c>
      <c r="B11" s="80"/>
      <c r="C11" s="53" t="s">
        <v>5</v>
      </c>
      <c r="H11" s="95"/>
      <c r="I11" s="95"/>
      <c r="J11" s="100"/>
      <c r="K11" s="95"/>
      <c r="L11" s="95"/>
      <c r="M11" s="95"/>
      <c r="N11" s="95"/>
      <c r="O11" s="95"/>
      <c r="P11" s="95"/>
      <c r="Q11" s="95"/>
      <c r="R11" s="95"/>
    </row>
    <row r="12" spans="1:18" s="7" customFormat="1" ht="18.75" hidden="1" customHeight="1">
      <c r="A12" s="81" t="s">
        <v>79</v>
      </c>
      <c r="B12" s="82"/>
      <c r="C12" s="79"/>
      <c r="H12" s="95"/>
      <c r="I12" s="95"/>
      <c r="J12" s="100"/>
      <c r="K12" s="95"/>
      <c r="L12" s="95"/>
      <c r="M12" s="95"/>
      <c r="N12" s="95"/>
      <c r="O12" s="95"/>
      <c r="P12" s="95"/>
      <c r="Q12" s="95"/>
      <c r="R12" s="95"/>
    </row>
    <row r="13" spans="1:18" s="7" customFormat="1" ht="20.25" hidden="1" customHeight="1" thickBot="1">
      <c r="A13" s="58" t="s">
        <v>86</v>
      </c>
      <c r="B13" s="83"/>
      <c r="C13" s="106"/>
      <c r="H13" s="95"/>
      <c r="I13" s="95"/>
      <c r="J13" s="100"/>
      <c r="K13" s="95"/>
      <c r="L13" s="95"/>
      <c r="M13" s="95"/>
      <c r="N13" s="95"/>
      <c r="O13" s="95"/>
      <c r="P13" s="95"/>
      <c r="Q13" s="95"/>
      <c r="R13" s="95"/>
    </row>
    <row r="14" spans="1:18" s="7" customFormat="1" ht="20.25" hidden="1" customHeight="1" thickTop="1">
      <c r="A14" s="107" t="s">
        <v>80</v>
      </c>
      <c r="B14" s="92"/>
      <c r="C14" s="116">
        <f>SUM(C12:C13)</f>
        <v>0</v>
      </c>
      <c r="H14" s="95"/>
      <c r="I14" s="95"/>
      <c r="J14" s="100"/>
      <c r="K14" s="95"/>
      <c r="L14" s="95"/>
      <c r="M14" s="95"/>
      <c r="N14" s="95"/>
      <c r="O14" s="95"/>
      <c r="P14" s="95"/>
      <c r="Q14" s="95"/>
      <c r="R14" s="95"/>
    </row>
    <row r="15" spans="1:18" s="7" customFormat="1" ht="20.25" hidden="1" customHeight="1">
      <c r="A15" s="107"/>
      <c r="B15" s="83"/>
      <c r="C15" s="108"/>
      <c r="H15" s="95"/>
      <c r="I15" s="95"/>
      <c r="J15" s="100"/>
      <c r="K15" s="95"/>
      <c r="L15" s="95"/>
      <c r="M15" s="95"/>
      <c r="N15" s="95"/>
      <c r="O15" s="95"/>
      <c r="P15" s="95"/>
      <c r="Q15" s="95"/>
      <c r="R15" s="95"/>
    </row>
    <row r="16" spans="1:18" s="7" customFormat="1" ht="20.25" customHeight="1">
      <c r="A16" s="9" t="s">
        <v>73</v>
      </c>
      <c r="B16" s="83"/>
      <c r="C16" s="108"/>
      <c r="H16" s="95"/>
      <c r="I16" s="95"/>
      <c r="J16" s="100"/>
      <c r="K16" s="95"/>
      <c r="L16" s="95"/>
      <c r="M16" s="95"/>
      <c r="N16" s="95"/>
      <c r="O16" s="95"/>
      <c r="P16" s="95"/>
      <c r="Q16" s="95"/>
      <c r="R16" s="95"/>
    </row>
    <row r="17" spans="1:18" s="7" customFormat="1" ht="20.25" customHeight="1" thickBot="1">
      <c r="A17" s="9" t="s">
        <v>77</v>
      </c>
      <c r="C17" s="109"/>
      <c r="D17" s="9"/>
      <c r="H17" s="95"/>
      <c r="I17" s="95"/>
      <c r="J17" s="100"/>
      <c r="K17" s="95"/>
      <c r="L17" s="95"/>
      <c r="M17" s="95"/>
      <c r="N17" s="95"/>
      <c r="O17" s="95"/>
      <c r="P17" s="95"/>
      <c r="Q17" s="95"/>
      <c r="R17" s="95"/>
    </row>
    <row r="18" spans="1:18" s="7" customFormat="1" ht="20.25" customHeight="1" thickTop="1">
      <c r="A18" s="85" t="s">
        <v>74</v>
      </c>
      <c r="C18" s="119">
        <f>SUM(C16:C17)</f>
        <v>0</v>
      </c>
      <c r="D18" s="90"/>
      <c r="H18" s="95"/>
      <c r="I18" s="95"/>
      <c r="J18" s="100"/>
      <c r="K18" s="95"/>
      <c r="L18" s="95"/>
      <c r="M18" s="95"/>
      <c r="N18" s="95"/>
      <c r="O18" s="95"/>
      <c r="P18" s="95"/>
      <c r="Q18" s="95"/>
      <c r="R18" s="95"/>
    </row>
    <row r="19" spans="1:18" s="7" customFormat="1" ht="20.25" customHeight="1">
      <c r="A19" s="9"/>
      <c r="C19" s="9"/>
      <c r="D19" s="9"/>
      <c r="H19" s="95"/>
      <c r="I19" s="95"/>
      <c r="J19" s="100"/>
      <c r="K19" s="95"/>
      <c r="L19" s="95"/>
      <c r="M19" s="95"/>
      <c r="N19" s="95"/>
      <c r="O19" s="95"/>
      <c r="P19" s="95"/>
      <c r="Q19" s="95"/>
      <c r="R19" s="95"/>
    </row>
    <row r="20" spans="1:18" s="7" customFormat="1" ht="20.25" customHeight="1">
      <c r="A20" s="9" t="s">
        <v>75</v>
      </c>
      <c r="C20" s="9"/>
      <c r="D20" s="9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</row>
    <row r="21" spans="1:18" s="7" customFormat="1" ht="20.25" customHeight="1" thickBot="1">
      <c r="A21" s="9" t="s">
        <v>72</v>
      </c>
      <c r="C21" s="109"/>
      <c r="D21" s="9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</row>
    <row r="22" spans="1:18" s="7" customFormat="1" ht="20.25" customHeight="1" thickTop="1">
      <c r="A22" s="85" t="s">
        <v>69</v>
      </c>
      <c r="C22" s="117">
        <f>SUM(C20:C21)</f>
        <v>0</v>
      </c>
      <c r="D22" s="90"/>
    </row>
    <row r="23" spans="1:18" s="7" customFormat="1" ht="20.25" customHeight="1">
      <c r="A23" s="85"/>
      <c r="C23" s="9"/>
      <c r="D23" s="9"/>
    </row>
    <row r="24" spans="1:18" s="7" customFormat="1" ht="20.25" customHeight="1">
      <c r="A24" s="9" t="s">
        <v>76</v>
      </c>
      <c r="C24" s="9"/>
      <c r="D24" s="9"/>
    </row>
    <row r="25" spans="1:18" s="7" customFormat="1" ht="20.25" customHeight="1" thickBot="1">
      <c r="A25" s="9" t="s">
        <v>72</v>
      </c>
      <c r="C25" s="109"/>
      <c r="D25" s="9"/>
    </row>
    <row r="26" spans="1:18" s="7" customFormat="1" ht="20.25" customHeight="1" thickTop="1">
      <c r="A26" s="85" t="s">
        <v>70</v>
      </c>
      <c r="B26" s="90"/>
      <c r="C26" s="116">
        <f>SUM(C24:C25)</f>
        <v>0</v>
      </c>
    </row>
    <row r="27" spans="1:18" s="7" customFormat="1" ht="20.25" customHeight="1">
      <c r="A27" s="58"/>
      <c r="B27" s="83"/>
      <c r="C27" s="79"/>
    </row>
    <row r="28" spans="1:18" s="7" customFormat="1" ht="30" customHeight="1">
      <c r="A28" s="9"/>
      <c r="B28" s="10"/>
      <c r="C28" s="56"/>
    </row>
    <row r="29" spans="1:18" s="7" customFormat="1" ht="30" customHeight="1">
      <c r="A29" s="9"/>
      <c r="B29" s="113" t="s">
        <v>6</v>
      </c>
      <c r="C29" s="114">
        <f>C26+C22+C18+C14</f>
        <v>0</v>
      </c>
    </row>
    <row r="30" spans="1:18" s="7" customFormat="1" ht="30" customHeight="1">
      <c r="A30" s="9"/>
      <c r="B30" s="78" t="s">
        <v>7</v>
      </c>
      <c r="C30" s="56"/>
    </row>
    <row r="31" spans="1:18" s="7" customFormat="1" ht="15" thickBot="1">
      <c r="A31" s="9"/>
      <c r="B31" s="78" t="s">
        <v>8</v>
      </c>
      <c r="C31" s="56"/>
    </row>
    <row r="32" spans="1:18" s="7" customFormat="1" ht="15">
      <c r="A32" s="59"/>
      <c r="B32" s="110" t="s">
        <v>9</v>
      </c>
      <c r="C32" s="115">
        <f>C31+C30+C29</f>
        <v>0</v>
      </c>
    </row>
    <row r="33" spans="3:3" s="7" customFormat="1" ht="14.25">
      <c r="C33" s="6"/>
    </row>
    <row r="34" spans="3:3" s="7" customFormat="1" ht="14.25">
      <c r="C34" s="6"/>
    </row>
    <row r="35" spans="3:3" s="7" customFormat="1" ht="14.25">
      <c r="C35" s="6"/>
    </row>
    <row r="36" spans="3:3" s="7" customFormat="1" ht="14.25">
      <c r="C36" s="6"/>
    </row>
    <row r="37" spans="3:3" s="7" customFormat="1" ht="14.25">
      <c r="C37" s="6"/>
    </row>
    <row r="38" spans="3:3" s="7" customFormat="1" ht="14.25">
      <c r="C38" s="6"/>
    </row>
    <row r="39" spans="3:3" s="7" customFormat="1" ht="14.25">
      <c r="C39" s="6"/>
    </row>
    <row r="40" spans="3:3" s="7" customFormat="1" ht="14.25">
      <c r="C40" s="6"/>
    </row>
    <row r="41" spans="3:3" s="7" customFormat="1" ht="14.25">
      <c r="C41" s="6"/>
    </row>
    <row r="42" spans="3:3" s="7" customFormat="1" ht="14.25">
      <c r="C42" s="6"/>
    </row>
    <row r="43" spans="3:3" s="7" customFormat="1" ht="14.25">
      <c r="C43" s="6"/>
    </row>
    <row r="44" spans="3:3" s="7" customFormat="1" ht="14.25">
      <c r="C44" s="6"/>
    </row>
    <row r="45" spans="3:3" s="7" customFormat="1" ht="14.25">
      <c r="C45" s="6"/>
    </row>
    <row r="46" spans="3:3" s="7" customFormat="1" ht="14.25">
      <c r="C46" s="6"/>
    </row>
    <row r="47" spans="3:3" s="7" customFormat="1" ht="14.25">
      <c r="C47" s="6"/>
    </row>
    <row r="48" spans="3:3" s="7" customFormat="1" ht="14.25">
      <c r="C48" s="6"/>
    </row>
    <row r="49" spans="1:3" s="7" customFormat="1" ht="14.25">
      <c r="C49" s="6"/>
    </row>
    <row r="50" spans="1:3" s="7" customFormat="1" ht="14.25">
      <c r="C50" s="6"/>
    </row>
    <row r="51" spans="1:3" s="7" customFormat="1" ht="14.25">
      <c r="C51" s="6"/>
    </row>
    <row r="52" spans="1:3" s="7" customFormat="1" ht="14.25">
      <c r="C52" s="6"/>
    </row>
    <row r="53" spans="1:3" s="7" customFormat="1" ht="14.25">
      <c r="C53" s="6"/>
    </row>
    <row r="54" spans="1:3" s="7" customFormat="1" ht="14.25">
      <c r="C54" s="6"/>
    </row>
    <row r="55" spans="1:3" s="7" customFormat="1" ht="14.25">
      <c r="C55" s="6"/>
    </row>
    <row r="56" spans="1:3" s="7" customFormat="1" ht="14.25">
      <c r="C56" s="6"/>
    </row>
    <row r="57" spans="1:3" ht="14.25">
      <c r="A57" s="7"/>
      <c r="B57" s="7"/>
      <c r="C57" s="6"/>
    </row>
    <row r="58" spans="1:3" ht="14.25">
      <c r="A58" s="7"/>
      <c r="B58" s="7"/>
      <c r="C58" s="6"/>
    </row>
  </sheetData>
  <pageMargins left="0.75" right="0.75" top="1" bottom="1" header="0.5" footer="0.5"/>
  <pageSetup scale="8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4" name="Button 4">
              <controlPr defaultSize="0" print="0" autoFill="0" autoPict="0" macro="[3]!regina">
                <anchor moveWithCells="1" sizeWithCells="1">
                  <from>
                    <xdr:col>9</xdr:col>
                    <xdr:colOff>28575</xdr:colOff>
                    <xdr:row>0</xdr:row>
                    <xdr:rowOff>76200</xdr:rowOff>
                  </from>
                  <to>
                    <xdr:col>13</xdr:col>
                    <xdr:colOff>47625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"/>
  <sheetViews>
    <sheetView workbookViewId="0">
      <selection activeCell="F14" sqref="F14"/>
    </sheetView>
  </sheetViews>
  <sheetFormatPr defaultRowHeight="12.75"/>
  <sheetData>
    <row r="5" spans="1:1">
      <c r="A5" t="s">
        <v>301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4"/>
  <sheetViews>
    <sheetView workbookViewId="0">
      <selection activeCell="D8" sqref="D8"/>
    </sheetView>
  </sheetViews>
  <sheetFormatPr defaultRowHeight="12.75"/>
  <cols>
    <col min="1" max="1" width="20.42578125" style="72" customWidth="1"/>
    <col min="3" max="3" width="6.42578125" customWidth="1"/>
    <col min="4" max="4" width="13.140625" customWidth="1"/>
    <col min="5" max="5" width="13.5703125" customWidth="1"/>
    <col min="6" max="6" width="5" customWidth="1"/>
    <col min="7" max="7" width="13.28515625" customWidth="1"/>
    <col min="8" max="8" width="13" customWidth="1"/>
    <col min="9" max="9" width="10.28515625" bestFit="1" customWidth="1"/>
  </cols>
  <sheetData>
    <row r="1" spans="1:8" ht="15.75">
      <c r="A1" s="139" t="s">
        <v>87</v>
      </c>
    </row>
    <row r="2" spans="1:8">
      <c r="A2" s="144" t="str">
        <f>'Co 011 Invoice'!C8</f>
        <v>2001 Plan</v>
      </c>
    </row>
    <row r="3" spans="1:8">
      <c r="B3" s="72"/>
      <c r="C3" s="72"/>
    </row>
    <row r="4" spans="1:8" ht="15.75">
      <c r="A4" s="145" t="s">
        <v>88</v>
      </c>
      <c r="B4" s="72"/>
      <c r="C4" s="72"/>
      <c r="D4" s="142" t="s">
        <v>66</v>
      </c>
      <c r="E4" s="142" t="s">
        <v>62</v>
      </c>
      <c r="F4" s="137"/>
      <c r="G4" s="142" t="s">
        <v>10</v>
      </c>
    </row>
    <row r="5" spans="1:8" ht="15.75">
      <c r="A5" s="146"/>
      <c r="B5" s="72"/>
      <c r="C5" s="72"/>
      <c r="D5" s="142" t="s">
        <v>78</v>
      </c>
      <c r="E5" s="142" t="s">
        <v>78</v>
      </c>
      <c r="F5" s="137"/>
      <c r="G5" s="142" t="s">
        <v>78</v>
      </c>
    </row>
    <row r="6" spans="1:8">
      <c r="A6" s="146"/>
      <c r="B6" s="72"/>
      <c r="C6" s="72"/>
      <c r="D6" s="143" t="s">
        <v>84</v>
      </c>
      <c r="E6" s="143" t="s">
        <v>84</v>
      </c>
      <c r="F6" s="137"/>
      <c r="G6" s="143" t="s">
        <v>84</v>
      </c>
    </row>
    <row r="7" spans="1:8">
      <c r="A7" s="146"/>
      <c r="B7" s="72"/>
      <c r="C7" s="72"/>
      <c r="E7" s="70"/>
    </row>
    <row r="8" spans="1:8">
      <c r="A8" s="120" t="s">
        <v>67</v>
      </c>
      <c r="B8" s="73"/>
      <c r="C8" s="73"/>
      <c r="D8" s="105"/>
      <c r="E8" s="70"/>
      <c r="G8" s="121">
        <f>SUM(D8:F8)</f>
        <v>0</v>
      </c>
    </row>
    <row r="9" spans="1:8">
      <c r="A9" s="120"/>
      <c r="B9" s="73"/>
      <c r="C9" s="73"/>
      <c r="D9" s="105"/>
      <c r="E9" s="70"/>
      <c r="G9" s="121"/>
    </row>
    <row r="10" spans="1:8">
      <c r="A10" s="120" t="s">
        <v>89</v>
      </c>
      <c r="B10" s="73"/>
      <c r="C10" s="73"/>
      <c r="D10" s="156"/>
      <c r="E10" s="157">
        <f>+'Co 011 Invoice'!C25</f>
        <v>0</v>
      </c>
      <c r="G10" s="158">
        <f>SUM(D10:F10)</f>
        <v>0</v>
      </c>
    </row>
    <row r="11" spans="1:8">
      <c r="A11" s="120"/>
      <c r="B11" s="73"/>
      <c r="C11" s="73"/>
      <c r="E11" s="70"/>
      <c r="F11" s="72"/>
      <c r="G11" s="121"/>
    </row>
    <row r="12" spans="1:8" ht="13.5" thickBot="1">
      <c r="A12" s="147" t="s">
        <v>85</v>
      </c>
      <c r="B12" s="73"/>
      <c r="C12" s="73"/>
      <c r="D12" s="141">
        <f>SUM(D8:D8)</f>
        <v>0</v>
      </c>
      <c r="E12" s="141">
        <f>SUM(E8:E10)</f>
        <v>0</v>
      </c>
      <c r="F12" s="147"/>
      <c r="G12" s="135">
        <f>SUM(G8:G10)</f>
        <v>0</v>
      </c>
      <c r="H12" s="104"/>
    </row>
    <row r="13" spans="1:8" ht="13.5" thickTop="1">
      <c r="B13" s="72"/>
      <c r="C13" s="72"/>
      <c r="F13" s="72"/>
    </row>
    <row r="14" spans="1:8">
      <c r="B14" s="72"/>
      <c r="C14" s="72"/>
    </row>
    <row r="15" spans="1:8" s="72" customFormat="1" ht="15.75">
      <c r="A15" s="145"/>
      <c r="D15" s="148"/>
      <c r="E15" s="148"/>
      <c r="F15" s="149"/>
      <c r="G15" s="148"/>
    </row>
    <row r="16" spans="1:8" s="72" customFormat="1" ht="15.75">
      <c r="D16" s="148"/>
      <c r="E16" s="148"/>
      <c r="F16" s="149"/>
      <c r="G16" s="148"/>
    </row>
    <row r="17" spans="1:9" s="72" customFormat="1">
      <c r="D17" s="150"/>
      <c r="E17" s="150"/>
      <c r="F17" s="149"/>
      <c r="G17" s="150"/>
    </row>
    <row r="18" spans="1:9" s="72" customFormat="1">
      <c r="D18" s="151"/>
      <c r="E18" s="151"/>
      <c r="G18" s="151"/>
    </row>
    <row r="19" spans="1:9" s="72" customFormat="1">
      <c r="A19" s="120"/>
      <c r="D19" s="152"/>
      <c r="E19" s="152"/>
      <c r="G19" s="153"/>
    </row>
    <row r="20" spans="1:9" s="72" customFormat="1">
      <c r="A20" s="136"/>
      <c r="B20" s="136"/>
      <c r="C20" s="136"/>
      <c r="E20" s="152"/>
      <c r="G20" s="153"/>
    </row>
    <row r="21" spans="1:9" s="72" customFormat="1">
      <c r="A21" s="136"/>
      <c r="B21" s="136"/>
      <c r="C21" s="136"/>
      <c r="E21" s="152"/>
      <c r="G21" s="153"/>
    </row>
    <row r="22" spans="1:9" s="72" customFormat="1">
      <c r="A22" s="136"/>
      <c r="B22" s="136"/>
      <c r="C22" s="136"/>
      <c r="E22" s="152"/>
      <c r="G22" s="153"/>
    </row>
    <row r="23" spans="1:9" s="72" customFormat="1">
      <c r="A23" s="136"/>
      <c r="B23" s="136"/>
      <c r="C23" s="136"/>
      <c r="E23" s="152"/>
      <c r="G23" s="153"/>
      <c r="H23" s="152"/>
      <c r="I23" s="152"/>
    </row>
    <row r="24" spans="1:9" s="72" customFormat="1">
      <c r="A24" s="136"/>
      <c r="B24" s="136"/>
      <c r="C24" s="136"/>
      <c r="E24" s="152"/>
      <c r="G24" s="153"/>
      <c r="H24" s="152"/>
      <c r="I24" s="152"/>
    </row>
    <row r="25" spans="1:9" s="72" customFormat="1">
      <c r="A25" s="136"/>
      <c r="B25" s="136"/>
      <c r="C25" s="136"/>
      <c r="E25" s="152"/>
      <c r="G25" s="153"/>
      <c r="H25" s="152"/>
      <c r="I25" s="152"/>
    </row>
    <row r="26" spans="1:9" s="72" customFormat="1">
      <c r="A26" s="136"/>
      <c r="B26" s="136"/>
      <c r="C26" s="136"/>
      <c r="E26" s="152"/>
      <c r="G26" s="153"/>
      <c r="H26" s="152"/>
      <c r="I26" s="152"/>
    </row>
    <row r="27" spans="1:9" s="72" customFormat="1">
      <c r="A27" s="140"/>
      <c r="D27" s="152"/>
      <c r="E27" s="152"/>
      <c r="G27" s="153"/>
    </row>
    <row r="28" spans="1:9" s="72" customFormat="1">
      <c r="A28" s="140"/>
      <c r="D28" s="152"/>
      <c r="E28" s="152"/>
      <c r="G28" s="153"/>
    </row>
    <row r="29" spans="1:9" s="72" customFormat="1">
      <c r="A29" s="140"/>
      <c r="D29" s="152"/>
      <c r="E29" s="152"/>
      <c r="G29" s="153"/>
    </row>
    <row r="30" spans="1:9" s="72" customFormat="1">
      <c r="A30" s="140"/>
      <c r="D30" s="152"/>
      <c r="E30" s="152"/>
      <c r="G30" s="153"/>
    </row>
    <row r="31" spans="1:9" s="72" customFormat="1">
      <c r="A31" s="140"/>
      <c r="D31" s="152"/>
      <c r="E31" s="152"/>
      <c r="G31" s="153"/>
    </row>
    <row r="32" spans="1:9" s="72" customFormat="1">
      <c r="A32" s="140"/>
      <c r="D32" s="152"/>
      <c r="E32" s="152"/>
      <c r="G32" s="153"/>
    </row>
    <row r="33" spans="1:7" s="72" customFormat="1">
      <c r="A33" s="140"/>
      <c r="D33" s="152"/>
      <c r="E33" s="152"/>
      <c r="G33" s="153"/>
    </row>
    <row r="34" spans="1:7" s="72" customFormat="1">
      <c r="A34" s="140"/>
      <c r="D34" s="152"/>
      <c r="E34" s="152"/>
      <c r="G34" s="153"/>
    </row>
    <row r="35" spans="1:7" s="72" customFormat="1">
      <c r="A35" s="140"/>
      <c r="D35" s="152"/>
      <c r="E35" s="152"/>
      <c r="G35" s="153"/>
    </row>
    <row r="36" spans="1:7" s="72" customFormat="1">
      <c r="A36" s="140"/>
      <c r="D36" s="152"/>
      <c r="E36" s="152"/>
      <c r="G36" s="153"/>
    </row>
    <row r="37" spans="1:7" s="72" customFormat="1">
      <c r="A37" s="140"/>
      <c r="D37" s="152"/>
      <c r="E37" s="152"/>
      <c r="G37" s="153"/>
    </row>
    <row r="38" spans="1:7" s="72" customFormat="1">
      <c r="A38" s="120"/>
      <c r="D38" s="147"/>
      <c r="E38" s="152"/>
      <c r="G38" s="154"/>
    </row>
    <row r="39" spans="1:7" s="72" customFormat="1">
      <c r="A39" s="147"/>
      <c r="D39" s="154"/>
      <c r="E39" s="153"/>
      <c r="G39" s="155"/>
    </row>
    <row r="40" spans="1:7" s="72" customFormat="1"/>
    <row r="41" spans="1:7" s="72" customFormat="1"/>
    <row r="42" spans="1:7" s="72" customFormat="1"/>
    <row r="43" spans="1:7" s="72" customFormat="1"/>
    <row r="44" spans="1:7" s="72" customFormat="1"/>
  </sheetData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9"/>
  <sheetViews>
    <sheetView topLeftCell="A2" zoomScale="60" workbookViewId="0">
      <selection activeCell="C28" sqref="C28"/>
    </sheetView>
  </sheetViews>
  <sheetFormatPr defaultRowHeight="12.75"/>
  <cols>
    <col min="1" max="1" width="14.42578125" customWidth="1"/>
    <col min="2" max="2" width="59.42578125" customWidth="1"/>
    <col min="3" max="3" width="29.85546875" style="1" customWidth="1"/>
    <col min="7" max="9" width="9.140625" style="94"/>
  </cols>
  <sheetData>
    <row r="1" spans="1:17" ht="65.25" customHeight="1">
      <c r="C1" s="4" t="s">
        <v>0</v>
      </c>
    </row>
    <row r="2" spans="1:17" ht="15.75">
      <c r="B2" s="3" t="s">
        <v>1</v>
      </c>
      <c r="C2"/>
    </row>
    <row r="3" spans="1:17" ht="15.75">
      <c r="B3" s="3" t="s">
        <v>2</v>
      </c>
    </row>
    <row r="4" spans="1:17" ht="15.75">
      <c r="B4" s="3" t="s">
        <v>3</v>
      </c>
    </row>
    <row r="5" spans="1:17" ht="35.25" customHeight="1">
      <c r="B5" s="271" t="s">
        <v>182</v>
      </c>
    </row>
    <row r="6" spans="1:17" ht="35.25" customHeight="1">
      <c r="B6" s="2"/>
    </row>
    <row r="7" spans="1:17">
      <c r="B7" s="2"/>
    </row>
    <row r="8" spans="1:17" s="7" customFormat="1" ht="15">
      <c r="A8" s="5" t="s">
        <v>82</v>
      </c>
      <c r="B8" s="5"/>
      <c r="C8" s="68" t="s">
        <v>181</v>
      </c>
      <c r="G8" s="95"/>
      <c r="H8" s="95"/>
      <c r="I8" s="95"/>
    </row>
    <row r="9" spans="1:17" s="7" customFormat="1" ht="15">
      <c r="A9" s="7" t="s">
        <v>81</v>
      </c>
      <c r="B9" s="5"/>
      <c r="C9" s="6"/>
      <c r="G9" s="95"/>
      <c r="H9" s="95"/>
      <c r="I9" s="95"/>
    </row>
    <row r="10" spans="1:17" s="7" customFormat="1" ht="41.25" customHeight="1" thickBot="1">
      <c r="B10" s="86"/>
      <c r="C10" s="6"/>
      <c r="G10" s="95"/>
      <c r="H10" s="95"/>
      <c r="I10" s="95"/>
    </row>
    <row r="11" spans="1:17" s="7" customFormat="1" ht="22.5" customHeight="1" thickBot="1">
      <c r="A11" s="74" t="s">
        <v>4</v>
      </c>
      <c r="B11" s="75"/>
      <c r="C11" s="8" t="s">
        <v>5</v>
      </c>
      <c r="G11" s="95"/>
      <c r="H11" s="96"/>
      <c r="I11" s="97"/>
      <c r="J11" s="90"/>
      <c r="K11" s="90"/>
      <c r="L11" s="90"/>
      <c r="M11" s="90"/>
      <c r="N11" s="90"/>
      <c r="O11" s="90"/>
      <c r="P11" s="90"/>
      <c r="Q11" s="90"/>
    </row>
    <row r="12" spans="1:17" s="7" customFormat="1" ht="18.75" customHeight="1">
      <c r="A12" s="76" t="s">
        <v>183</v>
      </c>
      <c r="B12" s="77"/>
      <c r="C12" s="56">
        <f>+'Research Detail'!Z65+'Research Detail'!Z63</f>
        <v>2019941.6712</v>
      </c>
      <c r="G12" s="98"/>
      <c r="H12" s="98"/>
      <c r="I12" s="99"/>
      <c r="J12" s="90"/>
      <c r="K12" s="90"/>
      <c r="L12" s="90"/>
      <c r="M12" s="90"/>
      <c r="N12" s="90"/>
      <c r="O12" s="90"/>
      <c r="P12" s="90"/>
      <c r="Q12" s="90"/>
    </row>
    <row r="13" spans="1:17" s="7" customFormat="1" ht="20.25" hidden="1" customHeight="1" thickBot="1">
      <c r="A13" s="9" t="s">
        <v>72</v>
      </c>
      <c r="B13" s="10"/>
      <c r="C13" s="84"/>
      <c r="G13" s="90"/>
      <c r="H13" s="90"/>
      <c r="I13" s="100"/>
      <c r="J13" s="90"/>
      <c r="K13" s="90"/>
      <c r="L13" s="90"/>
      <c r="M13" s="90"/>
      <c r="N13" s="90"/>
      <c r="O13" s="90"/>
      <c r="P13" s="90"/>
      <c r="Q13" s="90"/>
    </row>
    <row r="14" spans="1:17" s="7" customFormat="1" ht="20.25" hidden="1" customHeight="1" thickTop="1">
      <c r="A14" s="211" t="s">
        <v>68</v>
      </c>
      <c r="B14" s="111"/>
      <c r="C14" s="216">
        <f>SUM(C12:C13)</f>
        <v>2019941.6712</v>
      </c>
      <c r="G14" s="90"/>
      <c r="H14" s="90"/>
      <c r="I14" s="100"/>
      <c r="J14" s="90"/>
      <c r="K14" s="90"/>
      <c r="L14" s="90"/>
      <c r="M14" s="90"/>
      <c r="N14" s="90"/>
      <c r="O14" s="90"/>
      <c r="P14" s="90"/>
      <c r="Q14" s="90"/>
    </row>
    <row r="15" spans="1:17" s="7" customFormat="1" ht="20.25" customHeight="1">
      <c r="A15" s="9"/>
      <c r="C15" s="87"/>
      <c r="G15" s="90"/>
      <c r="H15" s="90"/>
      <c r="I15" s="100"/>
      <c r="J15" s="90"/>
      <c r="K15" s="90"/>
      <c r="L15" s="90"/>
      <c r="M15" s="90"/>
      <c r="N15" s="90"/>
      <c r="O15" s="90"/>
      <c r="P15" s="90"/>
      <c r="Q15" s="90"/>
    </row>
    <row r="16" spans="1:17" s="7" customFormat="1" ht="20.25" customHeight="1">
      <c r="A16" s="9" t="s">
        <v>73</v>
      </c>
      <c r="C16" s="88">
        <f>+'HR Detail'!J75</f>
        <v>837176.05633802817</v>
      </c>
      <c r="G16" s="90"/>
      <c r="H16" s="90"/>
      <c r="I16" s="100"/>
      <c r="J16" s="90"/>
      <c r="K16" s="90"/>
      <c r="L16" s="90"/>
      <c r="M16" s="90"/>
      <c r="N16" s="90"/>
      <c r="O16" s="90"/>
      <c r="P16" s="90"/>
      <c r="Q16" s="90"/>
    </row>
    <row r="17" spans="1:17" s="7" customFormat="1" ht="20.25" hidden="1" customHeight="1" thickBot="1">
      <c r="A17" s="9" t="s">
        <v>77</v>
      </c>
      <c r="C17" s="89"/>
      <c r="G17" s="90"/>
      <c r="H17" s="90"/>
      <c r="I17" s="100"/>
      <c r="J17" s="90"/>
      <c r="K17" s="90"/>
      <c r="L17" s="90"/>
      <c r="M17" s="90"/>
      <c r="N17" s="90"/>
      <c r="O17" s="90"/>
      <c r="P17" s="90"/>
      <c r="Q17" s="90"/>
    </row>
    <row r="18" spans="1:17" s="7" customFormat="1" ht="20.25" hidden="1" customHeight="1" thickTop="1">
      <c r="A18" s="211" t="s">
        <v>74</v>
      </c>
      <c r="C18" s="214">
        <f>SUM(C16:C17)</f>
        <v>837176.05633802817</v>
      </c>
      <c r="G18" s="90"/>
      <c r="H18" s="90"/>
      <c r="I18" s="100"/>
      <c r="J18" s="90"/>
      <c r="K18" s="90"/>
      <c r="L18" s="90"/>
      <c r="M18" s="90"/>
      <c r="N18" s="90"/>
      <c r="O18" s="90"/>
      <c r="P18" s="90"/>
      <c r="Q18" s="90"/>
    </row>
    <row r="19" spans="1:17" s="7" customFormat="1" ht="20.25" customHeight="1">
      <c r="A19" s="9"/>
      <c r="C19" s="87"/>
      <c r="G19" s="90"/>
      <c r="H19" s="90"/>
      <c r="I19" s="100"/>
      <c r="J19" s="90"/>
      <c r="K19" s="90"/>
      <c r="L19" s="90"/>
      <c r="M19" s="90"/>
      <c r="N19" s="90"/>
      <c r="O19" s="90"/>
      <c r="P19" s="90"/>
      <c r="Q19" s="90"/>
    </row>
    <row r="20" spans="1:17" s="7" customFormat="1" ht="20.25" customHeight="1">
      <c r="A20" s="9" t="s">
        <v>300</v>
      </c>
      <c r="B20" s="10"/>
      <c r="C20" s="56">
        <f>395876+52781</f>
        <v>448657</v>
      </c>
      <c r="G20" s="90"/>
      <c r="H20" s="90"/>
      <c r="I20" s="100"/>
      <c r="J20" s="90"/>
      <c r="K20" s="90"/>
      <c r="L20" s="90"/>
      <c r="M20" s="90"/>
      <c r="N20" s="90"/>
      <c r="O20" s="90"/>
      <c r="P20" s="90"/>
      <c r="Q20" s="90"/>
    </row>
    <row r="21" spans="1:17" s="7" customFormat="1" ht="20.25" hidden="1" customHeight="1" thickBot="1">
      <c r="A21" s="9"/>
      <c r="B21" s="10"/>
      <c r="C21" s="84"/>
      <c r="G21" s="95"/>
      <c r="H21" s="95"/>
      <c r="I21" s="100"/>
      <c r="J21" s="90"/>
      <c r="K21" s="90"/>
      <c r="L21" s="90"/>
      <c r="M21" s="90"/>
      <c r="N21" s="90"/>
      <c r="O21" s="90"/>
      <c r="P21" s="90"/>
      <c r="Q21" s="90"/>
    </row>
    <row r="22" spans="1:17" s="7" customFormat="1" ht="20.25" hidden="1" customHeight="1" thickTop="1">
      <c r="A22" s="211" t="s">
        <v>69</v>
      </c>
      <c r="B22" s="90"/>
      <c r="C22" s="213">
        <f>SUM(C20:C21)</f>
        <v>448657</v>
      </c>
      <c r="G22" s="95"/>
      <c r="H22" s="95"/>
      <c r="I22" s="100"/>
      <c r="J22" s="90"/>
      <c r="K22" s="90"/>
      <c r="L22" s="90"/>
      <c r="M22" s="90"/>
      <c r="N22" s="90"/>
      <c r="O22" s="90"/>
      <c r="P22" s="90"/>
      <c r="Q22" s="90"/>
    </row>
    <row r="23" spans="1:17" s="7" customFormat="1" ht="20.25" customHeight="1">
      <c r="A23" s="85"/>
      <c r="B23" s="10"/>
      <c r="C23" s="56"/>
      <c r="G23" s="95"/>
      <c r="H23" s="95"/>
      <c r="I23" s="100"/>
      <c r="J23" s="90"/>
      <c r="K23" s="90"/>
      <c r="L23" s="90"/>
      <c r="M23" s="90"/>
      <c r="N23" s="90"/>
      <c r="O23" s="90"/>
      <c r="P23" s="90"/>
      <c r="Q23" s="90"/>
    </row>
    <row r="24" spans="1:17" s="7" customFormat="1" ht="20.25" customHeight="1">
      <c r="A24" s="9" t="s">
        <v>76</v>
      </c>
      <c r="B24" s="10"/>
      <c r="C24" s="56">
        <v>0</v>
      </c>
      <c r="G24" s="95"/>
      <c r="H24" s="95"/>
      <c r="I24" s="100"/>
      <c r="J24" s="90"/>
      <c r="K24" s="90"/>
      <c r="L24" s="90"/>
      <c r="M24" s="90"/>
      <c r="N24" s="90"/>
      <c r="O24" s="90"/>
      <c r="P24" s="90"/>
      <c r="Q24" s="90"/>
    </row>
    <row r="25" spans="1:17" s="7" customFormat="1" ht="20.25" hidden="1" customHeight="1" thickBot="1">
      <c r="A25" s="9" t="s">
        <v>72</v>
      </c>
      <c r="B25" s="10"/>
      <c r="C25" s="84"/>
      <c r="G25" s="95"/>
      <c r="H25" s="95"/>
      <c r="I25" s="100"/>
    </row>
    <row r="26" spans="1:17" s="7" customFormat="1" ht="20.25" hidden="1" customHeight="1" thickTop="1">
      <c r="A26" s="211" t="s">
        <v>70</v>
      </c>
      <c r="B26" s="111"/>
      <c r="C26" s="216">
        <f>SUM(C24:C25)</f>
        <v>0</v>
      </c>
      <c r="G26" s="95"/>
      <c r="H26" s="95"/>
      <c r="I26" s="100"/>
    </row>
    <row r="27" spans="1:17" s="7" customFormat="1" ht="20.25" customHeight="1">
      <c r="A27" s="9"/>
      <c r="B27" s="10"/>
      <c r="C27" s="56"/>
      <c r="G27" s="95"/>
      <c r="H27" s="95"/>
      <c r="I27" s="100"/>
    </row>
    <row r="28" spans="1:17" s="7" customFormat="1" ht="20.25" customHeight="1">
      <c r="A28" s="9" t="s">
        <v>287</v>
      </c>
      <c r="B28" s="10"/>
      <c r="C28" s="56">
        <f>34695+31572</f>
        <v>66267</v>
      </c>
      <c r="G28" s="95"/>
      <c r="H28" s="95"/>
      <c r="I28" s="100"/>
    </row>
    <row r="29" spans="1:17" s="7" customFormat="1" ht="20.25" hidden="1" customHeight="1" thickBot="1">
      <c r="A29" s="9" t="s">
        <v>72</v>
      </c>
      <c r="B29" s="10"/>
      <c r="C29" s="84"/>
      <c r="G29" s="95"/>
      <c r="H29" s="95"/>
      <c r="I29" s="100"/>
    </row>
    <row r="30" spans="1:17" s="7" customFormat="1" ht="20.25" hidden="1" customHeight="1" thickTop="1">
      <c r="A30" s="211" t="s">
        <v>288</v>
      </c>
      <c r="B30" s="111"/>
      <c r="C30" s="216">
        <f>SUM(C28:C29)</f>
        <v>66267</v>
      </c>
      <c r="G30" s="95"/>
      <c r="H30" s="95"/>
      <c r="I30" s="100"/>
    </row>
    <row r="31" spans="1:17" s="7" customFormat="1" ht="21.75" customHeight="1">
      <c r="A31" s="9"/>
      <c r="B31" s="10"/>
      <c r="C31" s="56"/>
      <c r="G31" s="95"/>
      <c r="H31" s="101"/>
      <c r="I31" s="102"/>
    </row>
    <row r="32" spans="1:17" s="7" customFormat="1" ht="21.75" customHeight="1">
      <c r="A32" s="9"/>
      <c r="B32" s="212" t="s">
        <v>6</v>
      </c>
      <c r="C32" s="215">
        <f>C26+C22+C18+C14+C30</f>
        <v>3372041.7275380278</v>
      </c>
      <c r="G32" s="95"/>
      <c r="H32" s="103"/>
      <c r="I32" s="102"/>
    </row>
    <row r="33" spans="1:9" s="7" customFormat="1" ht="21.75" customHeight="1">
      <c r="A33" s="9"/>
      <c r="B33" s="78" t="s">
        <v>7</v>
      </c>
      <c r="C33" s="56"/>
      <c r="G33" s="95"/>
      <c r="H33" s="95"/>
      <c r="I33" s="97"/>
    </row>
    <row r="34" spans="1:9" s="7" customFormat="1" ht="21.75" customHeight="1" thickBot="1">
      <c r="A34" s="9"/>
      <c r="B34" s="78" t="s">
        <v>8</v>
      </c>
      <c r="C34" s="56"/>
      <c r="G34" s="95"/>
      <c r="H34" s="95"/>
      <c r="I34" s="95"/>
    </row>
    <row r="35" spans="1:9" s="7" customFormat="1" ht="21.75" customHeight="1">
      <c r="A35" s="59"/>
      <c r="B35" s="217" t="s">
        <v>9</v>
      </c>
      <c r="C35" s="218">
        <f>C34+C33+C32</f>
        <v>3372041.7275380278</v>
      </c>
      <c r="G35" s="95"/>
      <c r="H35" s="95"/>
      <c r="I35" s="95"/>
    </row>
    <row r="36" spans="1:9" s="7" customFormat="1" ht="21.75" customHeight="1">
      <c r="A36" s="9"/>
      <c r="C36" s="57"/>
      <c r="G36" s="95"/>
      <c r="H36" s="95"/>
      <c r="I36" s="95"/>
    </row>
    <row r="37" spans="1:9" s="7" customFormat="1" ht="14.25">
      <c r="A37" s="90"/>
      <c r="B37" s="90"/>
      <c r="C37" s="93"/>
    </row>
    <row r="38" spans="1:9" s="7" customFormat="1" ht="14.25">
      <c r="A38" s="90"/>
      <c r="B38" s="90"/>
      <c r="C38" s="93"/>
    </row>
    <row r="39" spans="1:9" s="7" customFormat="1" ht="14.25">
      <c r="A39" s="90"/>
      <c r="B39" s="90"/>
      <c r="C39" s="93"/>
    </row>
    <row r="40" spans="1:9" s="7" customFormat="1" ht="14.25">
      <c r="A40" s="90"/>
      <c r="B40" s="90"/>
      <c r="C40" s="93"/>
    </row>
    <row r="41" spans="1:9" s="7" customFormat="1" ht="14.25">
      <c r="A41" s="90"/>
      <c r="B41" s="90"/>
      <c r="C41" s="93"/>
    </row>
    <row r="42" spans="1:9" s="7" customFormat="1" ht="14.25">
      <c r="A42" s="90"/>
      <c r="B42" s="90"/>
      <c r="C42" s="93"/>
    </row>
    <row r="43" spans="1:9" s="7" customFormat="1" ht="14.25">
      <c r="A43" s="90"/>
      <c r="B43" s="90"/>
      <c r="C43" s="93"/>
    </row>
    <row r="44" spans="1:9" s="7" customFormat="1" ht="14.25">
      <c r="A44" s="90"/>
      <c r="B44" s="90"/>
      <c r="C44" s="93"/>
    </row>
    <row r="45" spans="1:9" s="7" customFormat="1" ht="14.25">
      <c r="A45" s="90"/>
      <c r="B45" s="90"/>
      <c r="C45" s="91"/>
      <c r="G45" s="95"/>
      <c r="H45" s="95"/>
      <c r="I45" s="95"/>
    </row>
    <row r="46" spans="1:9" s="7" customFormat="1" ht="14.25">
      <c r="A46" s="90"/>
      <c r="B46" s="90"/>
      <c r="C46" s="91"/>
      <c r="G46" s="95"/>
      <c r="H46" s="95"/>
      <c r="I46" s="95"/>
    </row>
    <row r="47" spans="1:9" s="7" customFormat="1" ht="14.25">
      <c r="A47" s="90"/>
      <c r="B47" s="90"/>
      <c r="C47" s="91"/>
      <c r="G47" s="95"/>
      <c r="H47" s="95"/>
      <c r="I47" s="95"/>
    </row>
    <row r="48" spans="1:9" s="7" customFormat="1" ht="14.25">
      <c r="A48" s="90"/>
      <c r="B48" s="90"/>
      <c r="C48" s="91"/>
      <c r="G48" s="95"/>
      <c r="H48" s="95"/>
      <c r="I48" s="95"/>
    </row>
    <row r="49" spans="1:9" s="7" customFormat="1" ht="14.25">
      <c r="C49" s="6"/>
      <c r="G49" s="95"/>
      <c r="H49" s="95"/>
      <c r="I49" s="95"/>
    </row>
    <row r="50" spans="1:9" s="7" customFormat="1" ht="14.25">
      <c r="C50" s="6"/>
      <c r="G50" s="95"/>
      <c r="H50" s="95"/>
      <c r="I50" s="95"/>
    </row>
    <row r="51" spans="1:9" s="7" customFormat="1" ht="14.25">
      <c r="C51" s="6"/>
      <c r="G51" s="95"/>
      <c r="H51" s="95"/>
      <c r="I51" s="95"/>
    </row>
    <row r="52" spans="1:9" s="7" customFormat="1" ht="14.25">
      <c r="C52" s="6"/>
      <c r="G52" s="95"/>
      <c r="H52" s="95"/>
      <c r="I52" s="95"/>
    </row>
    <row r="53" spans="1:9" s="7" customFormat="1" ht="14.25">
      <c r="C53" s="6"/>
      <c r="G53" s="95"/>
      <c r="H53" s="95"/>
      <c r="I53" s="95"/>
    </row>
    <row r="54" spans="1:9" s="7" customFormat="1" ht="14.25">
      <c r="C54" s="6"/>
      <c r="G54" s="95"/>
      <c r="H54" s="95"/>
      <c r="I54" s="95"/>
    </row>
    <row r="55" spans="1:9" s="7" customFormat="1" ht="14.25">
      <c r="C55" s="6"/>
      <c r="G55" s="95"/>
      <c r="H55" s="95"/>
      <c r="I55" s="95"/>
    </row>
    <row r="56" spans="1:9" s="7" customFormat="1" ht="14.25">
      <c r="C56" s="6"/>
      <c r="G56" s="95"/>
      <c r="H56" s="95"/>
      <c r="I56" s="95"/>
    </row>
    <row r="57" spans="1:9" s="7" customFormat="1" ht="14.25">
      <c r="C57" s="6"/>
      <c r="G57" s="95"/>
      <c r="H57" s="95"/>
      <c r="I57" s="95"/>
    </row>
    <row r="58" spans="1:9" s="7" customFormat="1" ht="14.25">
      <c r="C58" s="6"/>
      <c r="G58" s="95"/>
      <c r="H58" s="95"/>
      <c r="I58" s="95"/>
    </row>
    <row r="59" spans="1:9" s="7" customFormat="1" ht="14.25">
      <c r="C59" s="6"/>
      <c r="G59" s="95"/>
      <c r="H59" s="95"/>
      <c r="I59" s="95"/>
    </row>
    <row r="60" spans="1:9" s="7" customFormat="1" ht="14.25">
      <c r="C60" s="6"/>
      <c r="G60" s="95"/>
      <c r="H60" s="95"/>
      <c r="I60" s="95"/>
    </row>
    <row r="61" spans="1:9" s="7" customFormat="1" ht="14.25">
      <c r="C61" s="6"/>
      <c r="G61" s="95"/>
      <c r="H61" s="95"/>
      <c r="I61" s="95"/>
    </row>
    <row r="62" spans="1:9" s="7" customFormat="1" ht="14.25">
      <c r="A62"/>
      <c r="B62"/>
      <c r="C62" s="1"/>
      <c r="G62" s="95"/>
      <c r="H62" s="95"/>
      <c r="I62" s="95"/>
    </row>
    <row r="63" spans="1:9" s="7" customFormat="1" ht="14.25">
      <c r="A63"/>
      <c r="B63"/>
      <c r="C63" s="1"/>
      <c r="G63" s="95"/>
      <c r="H63" s="95"/>
      <c r="I63" s="95"/>
    </row>
    <row r="64" spans="1:9" s="7" customFormat="1" ht="14.25">
      <c r="A64"/>
      <c r="B64"/>
      <c r="C64" s="1"/>
      <c r="G64" s="95"/>
      <c r="H64" s="95"/>
      <c r="I64" s="95"/>
    </row>
    <row r="65" spans="1:9" s="7" customFormat="1" ht="14.25">
      <c r="A65"/>
      <c r="B65"/>
      <c r="C65" s="1"/>
      <c r="G65" s="95"/>
      <c r="H65" s="95"/>
      <c r="I65" s="95"/>
    </row>
    <row r="66" spans="1:9" s="7" customFormat="1" ht="14.25">
      <c r="A66"/>
      <c r="B66"/>
      <c r="C66" s="1"/>
      <c r="G66" s="95"/>
      <c r="H66" s="95"/>
      <c r="I66" s="95"/>
    </row>
    <row r="67" spans="1:9" s="7" customFormat="1" ht="14.25">
      <c r="A67"/>
      <c r="B67"/>
      <c r="C67" s="1"/>
      <c r="G67" s="95"/>
      <c r="H67" s="95"/>
      <c r="I67" s="95"/>
    </row>
    <row r="68" spans="1:9" s="7" customFormat="1" ht="14.25">
      <c r="A68"/>
      <c r="B68"/>
      <c r="C68" s="1"/>
      <c r="G68" s="95"/>
      <c r="H68" s="95"/>
      <c r="I68" s="95"/>
    </row>
    <row r="69" spans="1:9" s="7" customFormat="1" ht="14.25">
      <c r="A69"/>
      <c r="B69"/>
      <c r="C69" s="1"/>
      <c r="G69" s="95"/>
      <c r="H69" s="95"/>
      <c r="I69" s="95"/>
    </row>
  </sheetData>
  <pageMargins left="0.75" right="0.75" top="1" bottom="1" header="0.5" footer="0.5"/>
  <pageSetup scale="8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9"/>
  <sheetViews>
    <sheetView workbookViewId="0">
      <selection activeCell="C9" sqref="C9"/>
    </sheetView>
  </sheetViews>
  <sheetFormatPr defaultRowHeight="12.75"/>
  <cols>
    <col min="1" max="1" width="14.42578125" customWidth="1"/>
    <col min="2" max="2" width="52.28515625" customWidth="1"/>
    <col min="3" max="3" width="18.7109375" style="1" customWidth="1"/>
    <col min="7" max="9" width="9.140625" style="94"/>
  </cols>
  <sheetData>
    <row r="1" spans="1:17" ht="65.25" customHeight="1">
      <c r="C1" s="4" t="s">
        <v>0</v>
      </c>
    </row>
    <row r="2" spans="1:17" ht="15.75">
      <c r="B2" s="3" t="s">
        <v>1</v>
      </c>
      <c r="C2"/>
    </row>
    <row r="3" spans="1:17" ht="15.75">
      <c r="B3" s="3" t="s">
        <v>2</v>
      </c>
    </row>
    <row r="4" spans="1:17" ht="15.75">
      <c r="B4" s="3" t="s">
        <v>3</v>
      </c>
    </row>
    <row r="5" spans="1:17" ht="35.25" customHeight="1">
      <c r="B5" s="3" t="s">
        <v>54</v>
      </c>
    </row>
    <row r="6" spans="1:17" ht="35.25" customHeight="1">
      <c r="B6" s="2"/>
    </row>
    <row r="7" spans="1:17">
      <c r="B7" s="2"/>
    </row>
    <row r="8" spans="1:17" s="7" customFormat="1" ht="15">
      <c r="A8" s="5" t="s">
        <v>83</v>
      </c>
      <c r="B8" s="5"/>
      <c r="C8" s="68" t="str">
        <f>+'Co 359 Invoice'!C8</f>
        <v>3/2000</v>
      </c>
      <c r="G8" s="95"/>
      <c r="H8" s="95"/>
      <c r="I8" s="95"/>
    </row>
    <row r="9" spans="1:17" s="7" customFormat="1" ht="15">
      <c r="A9" s="7" t="s">
        <v>81</v>
      </c>
      <c r="B9" s="5"/>
      <c r="C9" s="6"/>
      <c r="G9" s="95"/>
      <c r="H9" s="95"/>
      <c r="I9" s="95"/>
    </row>
    <row r="10" spans="1:17" s="7" customFormat="1" ht="41.25" customHeight="1" thickBot="1">
      <c r="B10" s="86"/>
      <c r="C10" s="6"/>
      <c r="G10" s="95"/>
      <c r="H10" s="95"/>
      <c r="I10" s="95"/>
    </row>
    <row r="11" spans="1:17" s="7" customFormat="1" ht="22.5" customHeight="1" thickBot="1">
      <c r="A11" s="122" t="s">
        <v>4</v>
      </c>
      <c r="B11" s="75"/>
      <c r="C11" s="8" t="s">
        <v>5</v>
      </c>
      <c r="G11" s="95"/>
      <c r="H11" s="96"/>
      <c r="I11" s="97"/>
      <c r="J11" s="90"/>
      <c r="K11" s="90"/>
      <c r="L11" s="90"/>
      <c r="M11" s="90"/>
      <c r="N11" s="90"/>
      <c r="O11" s="90"/>
      <c r="P11" s="90"/>
      <c r="Q11" s="90"/>
    </row>
    <row r="12" spans="1:17" s="7" customFormat="1" ht="18.75" hidden="1" customHeight="1">
      <c r="A12" s="76" t="s">
        <v>71</v>
      </c>
      <c r="B12" s="77"/>
      <c r="C12" s="123">
        <v>0</v>
      </c>
      <c r="G12" s="98"/>
      <c r="H12" s="98"/>
      <c r="I12" s="99"/>
      <c r="J12" s="90"/>
      <c r="K12" s="90"/>
      <c r="L12" s="90"/>
      <c r="M12" s="90"/>
      <c r="N12" s="90"/>
      <c r="O12" s="90"/>
      <c r="P12" s="90"/>
      <c r="Q12" s="90"/>
    </row>
    <row r="13" spans="1:17" s="7" customFormat="1" ht="20.25" hidden="1" customHeight="1" thickBot="1">
      <c r="A13" s="9" t="s">
        <v>72</v>
      </c>
      <c r="B13" s="10"/>
      <c r="C13" s="124">
        <v>0</v>
      </c>
      <c r="G13" s="90"/>
      <c r="H13" s="90"/>
      <c r="I13" s="100"/>
      <c r="J13" s="90"/>
      <c r="K13" s="90"/>
      <c r="L13" s="90"/>
      <c r="M13" s="90"/>
      <c r="N13" s="90"/>
      <c r="O13" s="90"/>
      <c r="P13" s="90"/>
      <c r="Q13" s="90"/>
    </row>
    <row r="14" spans="1:17" s="7" customFormat="1" ht="20.25" hidden="1" customHeight="1" thickTop="1">
      <c r="A14" s="85" t="s">
        <v>68</v>
      </c>
      <c r="B14" s="111"/>
      <c r="C14" s="125">
        <f>SUM(C12:C13)</f>
        <v>0</v>
      </c>
      <c r="G14" s="90"/>
      <c r="H14" s="90"/>
      <c r="I14" s="100"/>
      <c r="J14" s="90"/>
      <c r="K14" s="90"/>
      <c r="L14" s="90"/>
      <c r="M14" s="90"/>
      <c r="N14" s="90"/>
      <c r="O14" s="90"/>
      <c r="P14" s="90"/>
      <c r="Q14" s="90"/>
    </row>
    <row r="15" spans="1:17" s="7" customFormat="1" ht="20.25" hidden="1" customHeight="1">
      <c r="A15" s="9"/>
      <c r="B15" s="10"/>
      <c r="C15" s="123"/>
      <c r="G15" s="90"/>
      <c r="H15" s="90"/>
      <c r="I15" s="100"/>
      <c r="J15" s="90"/>
      <c r="K15" s="90"/>
      <c r="L15" s="90"/>
      <c r="M15" s="90"/>
      <c r="N15" s="90"/>
      <c r="O15" s="90"/>
      <c r="P15" s="90"/>
      <c r="Q15" s="90"/>
    </row>
    <row r="16" spans="1:17" s="7" customFormat="1" ht="20.25" hidden="1" customHeight="1">
      <c r="A16" s="9"/>
      <c r="B16" s="90"/>
      <c r="C16" s="126"/>
      <c r="G16" s="90"/>
      <c r="H16" s="90"/>
      <c r="I16" s="100"/>
      <c r="J16" s="90"/>
      <c r="K16" s="90"/>
      <c r="L16" s="90"/>
      <c r="M16" s="90"/>
      <c r="N16" s="90"/>
      <c r="O16" s="90"/>
      <c r="P16" s="90"/>
      <c r="Q16" s="90"/>
    </row>
    <row r="17" spans="1:17" s="7" customFormat="1" ht="20.25" customHeight="1">
      <c r="A17" s="9" t="s">
        <v>73</v>
      </c>
      <c r="B17" s="90"/>
      <c r="C17" s="127"/>
      <c r="G17" s="90"/>
      <c r="H17" s="90"/>
      <c r="I17" s="100"/>
      <c r="J17" s="90"/>
      <c r="K17" s="90"/>
      <c r="L17" s="90"/>
      <c r="M17" s="90"/>
      <c r="N17" s="90"/>
      <c r="O17" s="90"/>
      <c r="P17" s="90"/>
      <c r="Q17" s="90"/>
    </row>
    <row r="18" spans="1:17" s="7" customFormat="1" ht="20.25" customHeight="1" thickBot="1">
      <c r="A18" s="9" t="s">
        <v>77</v>
      </c>
      <c r="B18" s="90"/>
      <c r="C18" s="128"/>
      <c r="G18" s="90"/>
      <c r="H18" s="90"/>
      <c r="I18" s="100"/>
      <c r="J18" s="90"/>
      <c r="K18" s="90"/>
      <c r="L18" s="90"/>
      <c r="M18" s="90"/>
      <c r="N18" s="90"/>
      <c r="O18" s="90"/>
      <c r="P18" s="90"/>
      <c r="Q18" s="90"/>
    </row>
    <row r="19" spans="1:17" s="7" customFormat="1" ht="20.25" customHeight="1" thickTop="1">
      <c r="A19" s="85" t="s">
        <v>74</v>
      </c>
      <c r="B19" s="90"/>
      <c r="C19" s="129">
        <f>SUM(C17:C18)</f>
        <v>0</v>
      </c>
      <c r="G19" s="90"/>
      <c r="H19" s="90"/>
      <c r="I19" s="100"/>
      <c r="J19" s="90"/>
      <c r="K19" s="90"/>
      <c r="L19" s="90"/>
      <c r="M19" s="90"/>
      <c r="N19" s="90"/>
      <c r="O19" s="90"/>
      <c r="P19" s="90"/>
      <c r="Q19" s="90"/>
    </row>
    <row r="20" spans="1:17" s="7" customFormat="1" ht="20.25" customHeight="1">
      <c r="A20" s="9"/>
      <c r="B20" s="90"/>
      <c r="C20" s="126"/>
      <c r="G20" s="90"/>
      <c r="H20" s="90"/>
      <c r="I20" s="100"/>
      <c r="J20" s="90"/>
      <c r="K20" s="90"/>
      <c r="L20" s="90"/>
      <c r="M20" s="90"/>
      <c r="N20" s="90"/>
      <c r="O20" s="90"/>
      <c r="P20" s="90"/>
      <c r="Q20" s="90"/>
    </row>
    <row r="21" spans="1:17" s="7" customFormat="1" ht="20.25" customHeight="1">
      <c r="A21" s="9" t="s">
        <v>75</v>
      </c>
      <c r="B21" s="10"/>
      <c r="C21" s="123"/>
      <c r="G21" s="90"/>
      <c r="H21" s="90"/>
      <c r="I21" s="100"/>
      <c r="J21" s="90"/>
      <c r="K21" s="90"/>
      <c r="L21" s="90"/>
      <c r="M21" s="90"/>
      <c r="N21" s="90"/>
      <c r="O21" s="90"/>
      <c r="P21" s="90"/>
      <c r="Q21" s="90"/>
    </row>
    <row r="22" spans="1:17" s="7" customFormat="1" ht="20.25" customHeight="1" thickBot="1">
      <c r="A22" s="9" t="s">
        <v>72</v>
      </c>
      <c r="B22" s="10"/>
      <c r="C22" s="124"/>
      <c r="G22" s="95"/>
      <c r="H22" s="95"/>
      <c r="I22" s="100"/>
      <c r="J22" s="90"/>
      <c r="K22" s="90"/>
      <c r="L22" s="90"/>
      <c r="M22" s="90"/>
      <c r="N22" s="90"/>
      <c r="O22" s="90"/>
      <c r="P22" s="90"/>
      <c r="Q22" s="90"/>
    </row>
    <row r="23" spans="1:17" s="7" customFormat="1" ht="20.25" customHeight="1" thickTop="1">
      <c r="A23" s="85" t="s">
        <v>69</v>
      </c>
      <c r="B23" s="90"/>
      <c r="C23" s="130">
        <v>0</v>
      </c>
      <c r="G23" s="95"/>
      <c r="H23" s="95"/>
      <c r="I23" s="100"/>
      <c r="J23" s="90"/>
      <c r="K23" s="90"/>
      <c r="L23" s="90"/>
      <c r="M23" s="90"/>
      <c r="N23" s="90"/>
      <c r="O23" s="90"/>
      <c r="P23" s="90"/>
      <c r="Q23" s="90"/>
    </row>
    <row r="24" spans="1:17" s="7" customFormat="1" ht="20.25" customHeight="1">
      <c r="A24" s="85"/>
      <c r="B24" s="10"/>
      <c r="C24" s="123"/>
      <c r="G24" s="95"/>
      <c r="H24" s="95"/>
      <c r="I24" s="100"/>
      <c r="J24" s="90"/>
      <c r="K24" s="90"/>
      <c r="L24" s="90"/>
      <c r="M24" s="90"/>
      <c r="N24" s="90"/>
      <c r="O24" s="90"/>
      <c r="P24" s="90"/>
      <c r="Q24" s="90"/>
    </row>
    <row r="25" spans="1:17" s="7" customFormat="1" ht="20.25" customHeight="1">
      <c r="A25" s="9" t="s">
        <v>76</v>
      </c>
      <c r="B25" s="10"/>
      <c r="C25" s="123"/>
      <c r="G25" s="95"/>
      <c r="H25" s="95"/>
      <c r="I25" s="100"/>
      <c r="J25" s="90"/>
      <c r="K25" s="90"/>
      <c r="L25" s="90"/>
      <c r="M25" s="90"/>
      <c r="N25" s="90"/>
      <c r="O25" s="90"/>
      <c r="P25" s="90"/>
      <c r="Q25" s="90"/>
    </row>
    <row r="26" spans="1:17" s="7" customFormat="1" ht="20.25" customHeight="1" thickBot="1">
      <c r="A26" s="9" t="s">
        <v>72</v>
      </c>
      <c r="B26" s="10"/>
      <c r="C26" s="124"/>
      <c r="G26" s="95"/>
      <c r="H26" s="95"/>
      <c r="I26" s="100"/>
    </row>
    <row r="27" spans="1:17" s="7" customFormat="1" ht="20.25" customHeight="1" thickTop="1">
      <c r="A27" s="85" t="s">
        <v>70</v>
      </c>
      <c r="B27" s="111"/>
      <c r="C27" s="125">
        <f>SUM(C25:C26)</f>
        <v>0</v>
      </c>
      <c r="G27" s="95"/>
      <c r="H27" s="95"/>
      <c r="I27" s="100"/>
    </row>
    <row r="28" spans="1:17" s="7" customFormat="1" ht="20.25" customHeight="1">
      <c r="A28" s="9"/>
      <c r="B28" s="10"/>
      <c r="C28" s="123"/>
      <c r="G28" s="95"/>
      <c r="H28" s="95"/>
      <c r="I28" s="100"/>
    </row>
    <row r="29" spans="1:17" s="7" customFormat="1" ht="20.25" customHeight="1">
      <c r="A29" s="9"/>
      <c r="B29" s="10"/>
      <c r="C29" s="123"/>
      <c r="G29" s="95"/>
      <c r="H29" s="95"/>
      <c r="I29" s="100"/>
    </row>
    <row r="30" spans="1:17" s="7" customFormat="1" ht="21.75" customHeight="1">
      <c r="A30" s="9"/>
      <c r="B30" s="10"/>
      <c r="C30" s="123"/>
      <c r="G30" s="95"/>
      <c r="H30" s="101"/>
      <c r="I30" s="102"/>
    </row>
    <row r="31" spans="1:17" s="7" customFormat="1" ht="21.75" customHeight="1">
      <c r="A31" s="9"/>
      <c r="B31" s="10"/>
      <c r="C31" s="123"/>
      <c r="G31" s="95"/>
      <c r="H31" s="101"/>
      <c r="I31" s="102"/>
    </row>
    <row r="32" spans="1:17" s="7" customFormat="1" ht="21.75" customHeight="1">
      <c r="A32" s="9"/>
      <c r="B32" s="113" t="s">
        <v>6</v>
      </c>
      <c r="C32" s="131">
        <f>C27+C23+C19+C14</f>
        <v>0</v>
      </c>
      <c r="G32" s="95"/>
      <c r="H32" s="103"/>
      <c r="I32" s="102"/>
    </row>
    <row r="33" spans="1:9" s="7" customFormat="1" ht="21.75" customHeight="1">
      <c r="A33" s="9"/>
      <c r="B33" s="78" t="s">
        <v>7</v>
      </c>
      <c r="C33" s="123"/>
      <c r="G33" s="95"/>
      <c r="H33" s="95"/>
      <c r="I33" s="97"/>
    </row>
    <row r="34" spans="1:9" s="7" customFormat="1" ht="21.75" customHeight="1" thickBot="1">
      <c r="A34" s="9"/>
      <c r="B34" s="78" t="s">
        <v>8</v>
      </c>
      <c r="C34" s="123"/>
      <c r="G34" s="95"/>
      <c r="H34" s="95"/>
      <c r="I34" s="95"/>
    </row>
    <row r="35" spans="1:9" s="7" customFormat="1" ht="21.75" customHeight="1" thickBot="1">
      <c r="A35" s="138"/>
      <c r="B35" s="132" t="s">
        <v>9</v>
      </c>
      <c r="C35" s="133">
        <f>C34+C33+C32</f>
        <v>0</v>
      </c>
      <c r="G35" s="95"/>
      <c r="H35" s="95"/>
      <c r="I35" s="95"/>
    </row>
    <row r="36" spans="1:9" s="7" customFormat="1" ht="21.75" customHeight="1">
      <c r="A36" s="9"/>
      <c r="C36" s="57"/>
      <c r="G36" s="95"/>
      <c r="H36" s="95"/>
      <c r="I36" s="95"/>
    </row>
    <row r="37" spans="1:9" s="7" customFormat="1" ht="14.25">
      <c r="A37" s="90"/>
      <c r="B37" s="90"/>
      <c r="C37" s="93"/>
    </row>
    <row r="38" spans="1:9" s="7" customFormat="1" ht="14.25">
      <c r="A38" s="90"/>
      <c r="B38" s="90"/>
      <c r="C38" s="93"/>
    </row>
    <row r="39" spans="1:9" s="7" customFormat="1" ht="14.25">
      <c r="A39" s="90"/>
      <c r="B39" s="90"/>
      <c r="C39" s="93"/>
    </row>
    <row r="40" spans="1:9" s="7" customFormat="1" ht="14.25">
      <c r="A40" s="90"/>
      <c r="B40" s="90"/>
      <c r="C40" s="93"/>
    </row>
    <row r="41" spans="1:9" s="7" customFormat="1" ht="14.25">
      <c r="A41" s="90"/>
      <c r="B41" s="90"/>
      <c r="C41" s="93"/>
    </row>
    <row r="42" spans="1:9" s="7" customFormat="1" ht="14.25">
      <c r="A42" s="90"/>
      <c r="B42" s="90"/>
      <c r="C42" s="93"/>
    </row>
    <row r="43" spans="1:9" s="7" customFormat="1" ht="14.25">
      <c r="A43" s="90"/>
      <c r="B43" s="90"/>
      <c r="C43" s="93"/>
    </row>
    <row r="44" spans="1:9" s="7" customFormat="1" ht="14.25">
      <c r="A44" s="90"/>
      <c r="B44" s="90"/>
      <c r="C44" s="93"/>
    </row>
    <row r="45" spans="1:9" s="7" customFormat="1" ht="14.25">
      <c r="A45" s="90"/>
      <c r="B45" s="90"/>
      <c r="C45" s="91"/>
      <c r="G45" s="95"/>
      <c r="H45" s="95"/>
      <c r="I45" s="95"/>
    </row>
    <row r="46" spans="1:9" s="7" customFormat="1" ht="14.25">
      <c r="A46" s="90"/>
      <c r="B46" s="90"/>
      <c r="C46" s="91"/>
      <c r="G46" s="95"/>
      <c r="H46" s="95"/>
      <c r="I46" s="95"/>
    </row>
    <row r="47" spans="1:9" s="7" customFormat="1" ht="14.25">
      <c r="A47" s="90"/>
      <c r="B47" s="90"/>
      <c r="C47" s="91"/>
      <c r="G47" s="95"/>
      <c r="H47" s="95"/>
      <c r="I47" s="95"/>
    </row>
    <row r="48" spans="1:9" s="7" customFormat="1" ht="14.25">
      <c r="A48" s="90"/>
      <c r="B48" s="90"/>
      <c r="C48" s="91"/>
      <c r="G48" s="95"/>
      <c r="H48" s="95"/>
      <c r="I48" s="95"/>
    </row>
    <row r="49" spans="1:9" s="7" customFormat="1" ht="14.25">
      <c r="C49" s="6"/>
      <c r="G49" s="95"/>
      <c r="H49" s="95"/>
      <c r="I49" s="95"/>
    </row>
    <row r="50" spans="1:9" s="7" customFormat="1" ht="14.25">
      <c r="C50" s="6"/>
      <c r="G50" s="95"/>
      <c r="H50" s="95"/>
      <c r="I50" s="95"/>
    </row>
    <row r="51" spans="1:9" s="7" customFormat="1" ht="14.25">
      <c r="C51" s="6"/>
      <c r="G51" s="95"/>
      <c r="H51" s="95"/>
      <c r="I51" s="95"/>
    </row>
    <row r="52" spans="1:9" s="7" customFormat="1" ht="14.25">
      <c r="C52" s="6"/>
      <c r="G52" s="95"/>
      <c r="H52" s="95"/>
      <c r="I52" s="95"/>
    </row>
    <row r="53" spans="1:9" s="7" customFormat="1" ht="14.25">
      <c r="C53" s="6"/>
      <c r="G53" s="95"/>
      <c r="H53" s="95"/>
      <c r="I53" s="95"/>
    </row>
    <row r="54" spans="1:9" s="7" customFormat="1" ht="14.25">
      <c r="C54" s="6"/>
      <c r="G54" s="95"/>
      <c r="H54" s="95"/>
      <c r="I54" s="95"/>
    </row>
    <row r="55" spans="1:9" s="7" customFormat="1" ht="14.25">
      <c r="C55" s="6"/>
      <c r="G55" s="95"/>
      <c r="H55" s="95"/>
      <c r="I55" s="95"/>
    </row>
    <row r="56" spans="1:9" s="7" customFormat="1" ht="14.25">
      <c r="C56" s="6"/>
      <c r="G56" s="95"/>
      <c r="H56" s="95"/>
      <c r="I56" s="95"/>
    </row>
    <row r="57" spans="1:9" s="7" customFormat="1" ht="14.25">
      <c r="C57" s="6"/>
      <c r="G57" s="95"/>
      <c r="H57" s="95"/>
      <c r="I57" s="95"/>
    </row>
    <row r="58" spans="1:9" s="7" customFormat="1" ht="14.25">
      <c r="C58" s="6"/>
      <c r="G58" s="95"/>
      <c r="H58" s="95"/>
      <c r="I58" s="95"/>
    </row>
    <row r="59" spans="1:9" s="7" customFormat="1" ht="14.25">
      <c r="C59" s="6"/>
      <c r="G59" s="95"/>
      <c r="H59" s="95"/>
      <c r="I59" s="95"/>
    </row>
    <row r="60" spans="1:9" s="7" customFormat="1" ht="14.25">
      <c r="C60" s="6"/>
      <c r="G60" s="95"/>
      <c r="H60" s="95"/>
      <c r="I60" s="95"/>
    </row>
    <row r="61" spans="1:9" s="7" customFormat="1" ht="14.25">
      <c r="C61" s="6"/>
      <c r="G61" s="95"/>
      <c r="H61" s="95"/>
      <c r="I61" s="95"/>
    </row>
    <row r="62" spans="1:9" s="7" customFormat="1" ht="14.25">
      <c r="A62"/>
      <c r="B62"/>
      <c r="C62" s="1"/>
      <c r="G62" s="95"/>
      <c r="H62" s="95"/>
      <c r="I62" s="95"/>
    </row>
    <row r="63" spans="1:9" s="7" customFormat="1" ht="14.25">
      <c r="A63"/>
      <c r="B63"/>
      <c r="C63" s="1"/>
      <c r="G63" s="95"/>
      <c r="H63" s="95"/>
      <c r="I63" s="95"/>
    </row>
    <row r="64" spans="1:9" s="7" customFormat="1" ht="14.25">
      <c r="A64"/>
      <c r="B64"/>
      <c r="C64" s="1"/>
      <c r="G64" s="95"/>
      <c r="H64" s="95"/>
      <c r="I64" s="95"/>
    </row>
    <row r="65" spans="1:9" s="7" customFormat="1" ht="14.25">
      <c r="A65"/>
      <c r="B65"/>
      <c r="C65" s="1"/>
      <c r="G65" s="95"/>
      <c r="H65" s="95"/>
      <c r="I65" s="95"/>
    </row>
    <row r="66" spans="1:9" s="7" customFormat="1" ht="14.25">
      <c r="A66"/>
      <c r="B66"/>
      <c r="C66" s="1"/>
      <c r="G66" s="95"/>
      <c r="H66" s="95"/>
      <c r="I66" s="95"/>
    </row>
    <row r="67" spans="1:9" s="7" customFormat="1" ht="14.25">
      <c r="A67"/>
      <c r="B67"/>
      <c r="C67" s="1"/>
      <c r="G67" s="95"/>
      <c r="H67" s="95"/>
      <c r="I67" s="95"/>
    </row>
    <row r="68" spans="1:9" s="7" customFormat="1" ht="14.25">
      <c r="A68"/>
      <c r="B68"/>
      <c r="C68" s="1"/>
      <c r="G68" s="95"/>
      <c r="H68" s="95"/>
      <c r="I68" s="95"/>
    </row>
    <row r="69" spans="1:9" s="7" customFormat="1" ht="14.25">
      <c r="A69"/>
      <c r="B69"/>
      <c r="C69" s="1"/>
      <c r="G69" s="95"/>
      <c r="H69" s="95"/>
      <c r="I69" s="95"/>
    </row>
  </sheetData>
  <pageMargins left="0.54" right="0.75" top="1" bottom="1" header="0.5" footer="0.5"/>
  <pageSetup scale="7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8"/>
  <sheetViews>
    <sheetView workbookViewId="0">
      <selection activeCell="V9" sqref="V9:V24"/>
    </sheetView>
  </sheetViews>
  <sheetFormatPr defaultRowHeight="15"/>
  <cols>
    <col min="1" max="1" width="13.7109375" style="11" customWidth="1"/>
    <col min="2" max="2" width="2.7109375" style="12" customWidth="1"/>
    <col min="3" max="3" width="26.28515625" style="12" customWidth="1"/>
    <col min="4" max="4" width="2.7109375" style="12" customWidth="1"/>
    <col min="5" max="5" width="15.85546875" style="12" customWidth="1"/>
    <col min="6" max="6" width="14.28515625" style="12" customWidth="1"/>
    <col min="7" max="7" width="11.7109375" style="12" customWidth="1"/>
    <col min="8" max="8" width="5.140625" style="12" hidden="1" customWidth="1"/>
    <col min="9" max="9" width="16.42578125" style="12" hidden="1" customWidth="1"/>
    <col min="10" max="10" width="14.140625" style="12" hidden="1" customWidth="1"/>
    <col min="11" max="11" width="11.7109375" style="12" hidden="1" customWidth="1"/>
    <col min="12" max="12" width="2.7109375" style="12" hidden="1" customWidth="1"/>
    <col min="13" max="13" width="16.42578125" style="12" hidden="1" customWidth="1"/>
    <col min="14" max="14" width="13.28515625" style="12" hidden="1" customWidth="1"/>
    <col min="15" max="15" width="11.7109375" style="12" hidden="1" customWidth="1"/>
    <col min="16" max="16" width="2.7109375" style="12" hidden="1" customWidth="1"/>
    <col min="17" max="17" width="16.42578125" style="12" hidden="1" customWidth="1"/>
    <col min="18" max="18" width="13.28515625" style="12" hidden="1" customWidth="1"/>
    <col min="19" max="19" width="11.7109375" style="12" hidden="1" customWidth="1"/>
    <col min="20" max="20" width="2.7109375" style="12" hidden="1" customWidth="1"/>
    <col min="21" max="21" width="14.7109375" style="12" hidden="1" customWidth="1"/>
    <col min="22" max="22" width="14" style="12" hidden="1" customWidth="1"/>
    <col min="23" max="23" width="11.7109375" style="12" hidden="1" customWidth="1"/>
    <col min="24" max="24" width="2.7109375" style="12" hidden="1" customWidth="1"/>
    <col min="25" max="25" width="15.42578125" style="12" hidden="1" customWidth="1"/>
    <col min="26" max="26" width="14.140625" style="12" hidden="1" customWidth="1"/>
    <col min="27" max="27" width="15.7109375" style="12" hidden="1" customWidth="1"/>
    <col min="28" max="28" width="2.7109375" style="12" hidden="1" customWidth="1"/>
    <col min="29" max="29" width="15.42578125" style="12" hidden="1" customWidth="1"/>
    <col min="30" max="30" width="14.140625" style="12" hidden="1" customWidth="1"/>
    <col min="31" max="31" width="15.7109375" style="12" hidden="1" customWidth="1"/>
    <col min="32" max="32" width="2.7109375" style="12" hidden="1" customWidth="1"/>
    <col min="33" max="33" width="14.85546875" style="12" hidden="1" customWidth="1"/>
    <col min="34" max="34" width="16.7109375" style="12" hidden="1" customWidth="1"/>
    <col min="35" max="35" width="14.28515625" style="12" hidden="1" customWidth="1"/>
    <col min="36" max="36" width="14.85546875" style="12" hidden="1" customWidth="1"/>
    <col min="37" max="39" width="0" style="12" hidden="1" customWidth="1"/>
    <col min="40" max="16384" width="9.140625" style="12"/>
  </cols>
  <sheetData>
    <row r="1" spans="1:44">
      <c r="A1" s="60" t="s">
        <v>52</v>
      </c>
      <c r="B1" s="61"/>
      <c r="C1" s="62">
        <v>36220</v>
      </c>
    </row>
    <row r="2" spans="1:44" ht="15.75" thickBot="1">
      <c r="A2" s="63" t="s">
        <v>53</v>
      </c>
      <c r="B2" s="64"/>
      <c r="C2" s="65">
        <v>36161</v>
      </c>
    </row>
    <row r="4" spans="1:44">
      <c r="E4" s="13" t="s">
        <v>12</v>
      </c>
      <c r="I4" s="13" t="s">
        <v>13</v>
      </c>
      <c r="M4" s="13" t="s">
        <v>14</v>
      </c>
      <c r="Q4" s="13" t="s">
        <v>15</v>
      </c>
      <c r="U4" s="13" t="s">
        <v>16</v>
      </c>
      <c r="Y4" s="13" t="s">
        <v>17</v>
      </c>
      <c r="AC4" s="13" t="s">
        <v>41</v>
      </c>
    </row>
    <row r="5" spans="1:44">
      <c r="A5" s="14" t="s">
        <v>18</v>
      </c>
      <c r="C5" s="15" t="s">
        <v>63</v>
      </c>
      <c r="E5" s="16" t="s">
        <v>19</v>
      </c>
      <c r="F5" s="17"/>
      <c r="G5" s="18"/>
      <c r="I5" s="16" t="s">
        <v>20</v>
      </c>
      <c r="J5" s="17"/>
      <c r="K5" s="18"/>
      <c r="M5" s="16" t="s">
        <v>21</v>
      </c>
      <c r="N5" s="17"/>
      <c r="O5" s="18"/>
      <c r="Q5" s="16" t="s">
        <v>22</v>
      </c>
      <c r="R5" s="17"/>
      <c r="S5" s="18"/>
      <c r="U5" s="16" t="s">
        <v>23</v>
      </c>
      <c r="V5" s="17"/>
      <c r="W5" s="18"/>
      <c r="Y5" s="16" t="s">
        <v>24</v>
      </c>
      <c r="Z5" s="17"/>
      <c r="AA5" s="18"/>
      <c r="AC5" s="16" t="s">
        <v>42</v>
      </c>
      <c r="AD5" s="17"/>
      <c r="AE5" s="18"/>
      <c r="AG5" s="16" t="s">
        <v>25</v>
      </c>
      <c r="AH5" s="19"/>
      <c r="AI5" s="20"/>
    </row>
    <row r="6" spans="1:44">
      <c r="A6" s="21" t="s">
        <v>26</v>
      </c>
      <c r="C6" s="22" t="s">
        <v>11</v>
      </c>
      <c r="E6" s="23" t="s">
        <v>27</v>
      </c>
      <c r="F6" s="24" t="s">
        <v>28</v>
      </c>
      <c r="G6" s="25" t="s">
        <v>10</v>
      </c>
      <c r="I6" s="23" t="s">
        <v>27</v>
      </c>
      <c r="J6" s="24" t="s">
        <v>28</v>
      </c>
      <c r="K6" s="25" t="s">
        <v>10</v>
      </c>
      <c r="M6" s="23" t="s">
        <v>27</v>
      </c>
      <c r="N6" s="24" t="s">
        <v>28</v>
      </c>
      <c r="O6" s="25" t="s">
        <v>10</v>
      </c>
      <c r="Q6" s="23" t="s">
        <v>27</v>
      </c>
      <c r="R6" s="24" t="s">
        <v>28</v>
      </c>
      <c r="S6" s="25" t="s">
        <v>10</v>
      </c>
      <c r="U6" s="23" t="s">
        <v>27</v>
      </c>
      <c r="V6" s="24" t="s">
        <v>28</v>
      </c>
      <c r="W6" s="25" t="s">
        <v>10</v>
      </c>
      <c r="Y6" s="23" t="s">
        <v>27</v>
      </c>
      <c r="Z6" s="24" t="s">
        <v>28</v>
      </c>
      <c r="AA6" s="25" t="s">
        <v>10</v>
      </c>
      <c r="AC6" s="23" t="s">
        <v>27</v>
      </c>
      <c r="AD6" s="24" t="s">
        <v>28</v>
      </c>
      <c r="AE6" s="25" t="s">
        <v>10</v>
      </c>
      <c r="AG6" s="23" t="s">
        <v>27</v>
      </c>
      <c r="AH6" s="24" t="s">
        <v>28</v>
      </c>
      <c r="AI6" s="25" t="s">
        <v>10</v>
      </c>
      <c r="AK6" s="12" t="s">
        <v>43</v>
      </c>
      <c r="AL6" s="12" t="s">
        <v>44</v>
      </c>
    </row>
    <row r="7" spans="1:44" ht="3" customHeight="1"/>
    <row r="8" spans="1:44">
      <c r="A8" s="11">
        <v>969</v>
      </c>
      <c r="C8" s="12" t="s">
        <v>29</v>
      </c>
      <c r="E8" s="26"/>
      <c r="F8" s="26">
        <v>12.134583563154992</v>
      </c>
      <c r="G8" s="26">
        <f t="shared" ref="G8:G18" si="0">SUM(E8:F8)</f>
        <v>12.134583563154992</v>
      </c>
      <c r="H8" s="26"/>
      <c r="I8" s="51">
        <v>0</v>
      </c>
      <c r="J8" s="26"/>
      <c r="K8" s="26">
        <f t="shared" ref="K8:K18" si="1">SUM(I8:J8)</f>
        <v>0</v>
      </c>
      <c r="L8" s="26"/>
      <c r="M8" s="51">
        <f>36088-28752</f>
        <v>7336</v>
      </c>
      <c r="N8" s="26">
        <f t="shared" ref="N8:N20" si="2">(M8/M$25)*N$25</f>
        <v>497.74115095654867</v>
      </c>
      <c r="O8" s="26">
        <f t="shared" ref="O8:O18" si="3">SUM(M8:N8)</f>
        <v>7833.7411509565491</v>
      </c>
      <c r="P8" s="26"/>
      <c r="Q8" s="51"/>
      <c r="R8" s="26">
        <v>644.02589998315057</v>
      </c>
      <c r="S8" s="26">
        <f t="shared" ref="S8:S22" si="4">SUM(Q8:R8)</f>
        <v>644.02589998315057</v>
      </c>
      <c r="T8" s="26"/>
      <c r="U8" s="51">
        <v>0</v>
      </c>
      <c r="V8" s="26">
        <v>0</v>
      </c>
      <c r="W8" s="26">
        <f t="shared" ref="W8:W18" si="5">U8+V8</f>
        <v>0</v>
      </c>
      <c r="X8" s="26"/>
      <c r="Y8" s="51">
        <f>27228-13444</f>
        <v>13784</v>
      </c>
      <c r="Z8" s="27">
        <f t="shared" ref="Z8:Z18" si="6">(Y8/Y$25)*Z$25</f>
        <v>793.06978530880531</v>
      </c>
      <c r="AA8" s="26">
        <f t="shared" ref="AA8:AA18" si="7">SUM(Y8:Z8)</f>
        <v>14577.069785308806</v>
      </c>
      <c r="AC8" s="26"/>
      <c r="AD8" s="27">
        <v>2362.9502667160332</v>
      </c>
      <c r="AE8" s="26">
        <f t="shared" ref="AE8:AE22" si="8">SUM(AC8:AD8)</f>
        <v>2362.9502667160332</v>
      </c>
      <c r="AG8" s="28">
        <f t="shared" ref="AG8:AI22" si="9">E8+I8+Q8+U8+Y8+M8+AC8</f>
        <v>21120</v>
      </c>
      <c r="AH8" s="28">
        <f t="shared" si="9"/>
        <v>4309.9216865276921</v>
      </c>
      <c r="AI8" s="28">
        <f t="shared" si="9"/>
        <v>25429.921686527694</v>
      </c>
      <c r="AK8" s="54">
        <v>5</v>
      </c>
      <c r="AP8" s="11">
        <v>969</v>
      </c>
      <c r="AQ8" s="55"/>
      <c r="AR8" s="66">
        <v>14</v>
      </c>
    </row>
    <row r="9" spans="1:44">
      <c r="A9" s="11">
        <v>912</v>
      </c>
      <c r="C9" s="12" t="s">
        <v>30</v>
      </c>
      <c r="E9" s="26"/>
      <c r="F9" s="26">
        <v>0</v>
      </c>
      <c r="G9" s="26">
        <f t="shared" si="0"/>
        <v>0</v>
      </c>
      <c r="H9" s="26"/>
      <c r="I9" s="51"/>
      <c r="J9" s="26">
        <v>288.62465818103124</v>
      </c>
      <c r="K9" s="26">
        <f t="shared" si="1"/>
        <v>288.62465818103124</v>
      </c>
      <c r="L9" s="26"/>
      <c r="M9" s="51">
        <v>0</v>
      </c>
      <c r="N9" s="26">
        <f t="shared" si="2"/>
        <v>0</v>
      </c>
      <c r="O9" s="26">
        <f t="shared" si="3"/>
        <v>0</v>
      </c>
      <c r="P9" s="26"/>
      <c r="Q9" s="51"/>
      <c r="R9" s="26">
        <v>133.40412157724433</v>
      </c>
      <c r="S9" s="26">
        <f t="shared" si="4"/>
        <v>133.40412157724433</v>
      </c>
      <c r="T9" s="26"/>
      <c r="U9" s="51"/>
      <c r="V9" s="26">
        <v>0</v>
      </c>
      <c r="W9" s="26">
        <f>SUM(U9:V9)</f>
        <v>0</v>
      </c>
      <c r="X9" s="26"/>
      <c r="Y9" s="51"/>
      <c r="Z9" s="27">
        <f t="shared" si="6"/>
        <v>0</v>
      </c>
      <c r="AA9" s="26">
        <f t="shared" si="7"/>
        <v>0</v>
      </c>
      <c r="AC9" s="26"/>
      <c r="AD9" s="27">
        <v>1100.6905442652624</v>
      </c>
      <c r="AE9" s="26">
        <f t="shared" si="8"/>
        <v>1100.6905442652624</v>
      </c>
      <c r="AG9" s="28">
        <f t="shared" si="9"/>
        <v>0</v>
      </c>
      <c r="AH9" s="28">
        <f t="shared" si="9"/>
        <v>1522.7193240235379</v>
      </c>
      <c r="AI9" s="28">
        <f t="shared" si="9"/>
        <v>1522.7193240235379</v>
      </c>
      <c r="AK9" s="54">
        <v>0</v>
      </c>
      <c r="AP9" s="11">
        <v>912</v>
      </c>
      <c r="AQ9" s="55"/>
      <c r="AR9" s="66"/>
    </row>
    <row r="10" spans="1:44">
      <c r="A10" s="11" t="s">
        <v>55</v>
      </c>
      <c r="C10" s="12" t="s">
        <v>56</v>
      </c>
      <c r="E10" s="26"/>
      <c r="F10" s="26">
        <v>211.86982901268618</v>
      </c>
      <c r="G10" s="26">
        <f t="shared" si="0"/>
        <v>211.86982901268618</v>
      </c>
      <c r="H10" s="26"/>
      <c r="I10" s="51"/>
      <c r="J10" s="26">
        <v>52.759969310066694</v>
      </c>
      <c r="K10" s="26">
        <f t="shared" si="1"/>
        <v>52.759969310066694</v>
      </c>
      <c r="L10" s="26"/>
      <c r="M10" s="51">
        <v>0</v>
      </c>
      <c r="N10" s="26">
        <f t="shared" si="2"/>
        <v>0</v>
      </c>
      <c r="O10" s="26">
        <f t="shared" si="3"/>
        <v>0</v>
      </c>
      <c r="P10" s="26"/>
      <c r="Q10" s="51"/>
      <c r="R10" s="26">
        <v>384.22432438938006</v>
      </c>
      <c r="S10" s="26">
        <f t="shared" si="4"/>
        <v>384.22432438938006</v>
      </c>
      <c r="T10" s="26"/>
      <c r="U10" s="51">
        <v>0</v>
      </c>
      <c r="V10" s="26">
        <v>83</v>
      </c>
      <c r="W10" s="26">
        <f>SUM(U10:V10)</f>
        <v>83</v>
      </c>
      <c r="X10" s="26"/>
      <c r="Y10" s="51"/>
      <c r="Z10" s="27">
        <f t="shared" si="6"/>
        <v>0</v>
      </c>
      <c r="AA10" s="26">
        <f t="shared" si="7"/>
        <v>0</v>
      </c>
      <c r="AC10" s="26"/>
      <c r="AD10" s="27">
        <v>166.00220092150732</v>
      </c>
      <c r="AE10" s="26">
        <f t="shared" si="8"/>
        <v>166.00220092150732</v>
      </c>
      <c r="AG10" s="28">
        <f t="shared" si="9"/>
        <v>0</v>
      </c>
      <c r="AH10" s="28">
        <f t="shared" si="9"/>
        <v>897.85632363364027</v>
      </c>
      <c r="AI10" s="28">
        <f t="shared" si="9"/>
        <v>897.85632363364027</v>
      </c>
      <c r="AK10" s="54">
        <v>87.3</v>
      </c>
      <c r="AP10" s="11" t="s">
        <v>55</v>
      </c>
      <c r="AQ10" s="55"/>
      <c r="AR10" s="67">
        <v>1</v>
      </c>
    </row>
    <row r="11" spans="1:44">
      <c r="A11" s="11" t="s">
        <v>31</v>
      </c>
      <c r="C11" s="12" t="s">
        <v>32</v>
      </c>
      <c r="E11" s="26"/>
      <c r="F11" s="26">
        <v>60.672917815774966</v>
      </c>
      <c r="G11" s="26">
        <f t="shared" si="0"/>
        <v>60.672917815774966</v>
      </c>
      <c r="H11" s="26"/>
      <c r="I11" s="51"/>
      <c r="J11" s="26">
        <v>0</v>
      </c>
      <c r="K11" s="26">
        <f t="shared" si="1"/>
        <v>0</v>
      </c>
      <c r="L11" s="26"/>
      <c r="M11" s="51">
        <f>27427-21852</f>
        <v>5575</v>
      </c>
      <c r="N11" s="26">
        <f t="shared" si="2"/>
        <v>378.25884904345133</v>
      </c>
      <c r="O11" s="26">
        <f t="shared" si="3"/>
        <v>5953.2588490434509</v>
      </c>
      <c r="P11" s="26"/>
      <c r="Q11" s="51"/>
      <c r="R11" s="26">
        <v>0</v>
      </c>
      <c r="S11" s="26">
        <f t="shared" si="4"/>
        <v>0</v>
      </c>
      <c r="T11" s="26"/>
      <c r="U11" s="51">
        <v>0</v>
      </c>
      <c r="V11" s="26">
        <v>0</v>
      </c>
      <c r="W11" s="26">
        <f t="shared" si="5"/>
        <v>0</v>
      </c>
      <c r="X11" s="26"/>
      <c r="Y11" s="51"/>
      <c r="Z11" s="27">
        <f t="shared" si="6"/>
        <v>0</v>
      </c>
      <c r="AA11" s="26">
        <f t="shared" si="7"/>
        <v>0</v>
      </c>
      <c r="AC11" s="26"/>
      <c r="AD11" s="27">
        <v>2198.0252488892543</v>
      </c>
      <c r="AE11" s="26">
        <f t="shared" si="8"/>
        <v>2198.0252488892543</v>
      </c>
      <c r="AG11" s="28">
        <f t="shared" si="9"/>
        <v>5575</v>
      </c>
      <c r="AH11" s="28">
        <f t="shared" si="9"/>
        <v>2636.9570157484804</v>
      </c>
      <c r="AI11" s="28">
        <f t="shared" si="9"/>
        <v>8211.9570157484795</v>
      </c>
      <c r="AK11" s="54">
        <v>25</v>
      </c>
      <c r="AP11" s="11" t="s">
        <v>31</v>
      </c>
      <c r="AQ11" s="55"/>
      <c r="AR11" s="67">
        <v>25</v>
      </c>
    </row>
    <row r="12" spans="1:44">
      <c r="A12" s="29" t="s">
        <v>33</v>
      </c>
      <c r="C12" s="12" t="s">
        <v>34</v>
      </c>
      <c r="E12" s="26"/>
      <c r="F12" s="26">
        <v>46.11141753998897</v>
      </c>
      <c r="G12" s="26">
        <f t="shared" si="0"/>
        <v>46.11141753998897</v>
      </c>
      <c r="H12" s="26"/>
      <c r="I12" s="51"/>
      <c r="J12" s="26">
        <v>0</v>
      </c>
      <c r="K12" s="26">
        <f t="shared" si="1"/>
        <v>0</v>
      </c>
      <c r="L12" s="26"/>
      <c r="M12" s="51">
        <v>0</v>
      </c>
      <c r="N12" s="26">
        <f t="shared" si="2"/>
        <v>0</v>
      </c>
      <c r="O12" s="26">
        <f t="shared" si="3"/>
        <v>0</v>
      </c>
      <c r="P12" s="26"/>
      <c r="Q12" s="51"/>
      <c r="R12" s="26">
        <v>0</v>
      </c>
      <c r="S12" s="26">
        <f t="shared" si="4"/>
        <v>0</v>
      </c>
      <c r="T12" s="26"/>
      <c r="U12" s="51">
        <v>0</v>
      </c>
      <c r="V12" s="26">
        <v>0</v>
      </c>
      <c r="W12" s="26">
        <f t="shared" si="5"/>
        <v>0</v>
      </c>
      <c r="X12" s="26"/>
      <c r="Y12" s="51"/>
      <c r="Z12" s="27">
        <f t="shared" si="6"/>
        <v>0</v>
      </c>
      <c r="AA12" s="26">
        <f t="shared" si="7"/>
        <v>0</v>
      </c>
      <c r="AC12" s="26"/>
      <c r="AD12" s="27">
        <v>0</v>
      </c>
      <c r="AE12" s="26">
        <f t="shared" si="8"/>
        <v>0</v>
      </c>
      <c r="AG12" s="28">
        <f t="shared" si="9"/>
        <v>0</v>
      </c>
      <c r="AH12" s="28">
        <f t="shared" si="9"/>
        <v>46.11141753998897</v>
      </c>
      <c r="AI12" s="28">
        <f t="shared" si="9"/>
        <v>46.11141753998897</v>
      </c>
      <c r="AK12" s="54">
        <f>16+3</f>
        <v>19</v>
      </c>
      <c r="AP12" s="29" t="s">
        <v>33</v>
      </c>
      <c r="AQ12" s="55"/>
      <c r="AR12" s="67">
        <f>86-1+0.65+1</f>
        <v>86.65</v>
      </c>
    </row>
    <row r="13" spans="1:44">
      <c r="A13" s="11">
        <v>985</v>
      </c>
      <c r="C13" s="12" t="s">
        <v>35</v>
      </c>
      <c r="E13" s="26"/>
      <c r="F13" s="26">
        <v>87.369001654715944</v>
      </c>
      <c r="G13" s="26">
        <f t="shared" si="0"/>
        <v>87.369001654715944</v>
      </c>
      <c r="H13" s="26"/>
      <c r="I13" s="51"/>
      <c r="J13" s="26">
        <v>0</v>
      </c>
      <c r="K13" s="26">
        <f t="shared" si="1"/>
        <v>0</v>
      </c>
      <c r="L13" s="26"/>
      <c r="M13" s="51">
        <v>0</v>
      </c>
      <c r="N13" s="26">
        <f t="shared" si="2"/>
        <v>0</v>
      </c>
      <c r="O13" s="26">
        <f t="shared" si="3"/>
        <v>0</v>
      </c>
      <c r="P13" s="26"/>
      <c r="Q13" s="51"/>
      <c r="R13" s="26">
        <v>0</v>
      </c>
      <c r="S13" s="26">
        <f t="shared" si="4"/>
        <v>0</v>
      </c>
      <c r="T13" s="26"/>
      <c r="U13" s="51">
        <v>0</v>
      </c>
      <c r="V13" s="26">
        <v>0</v>
      </c>
      <c r="W13" s="26">
        <f t="shared" si="5"/>
        <v>0</v>
      </c>
      <c r="X13" s="26"/>
      <c r="Y13" s="51">
        <f>5826-2876</f>
        <v>2950</v>
      </c>
      <c r="Z13" s="27">
        <f t="shared" si="6"/>
        <v>169.72982201545094</v>
      </c>
      <c r="AA13" s="26">
        <f t="shared" si="7"/>
        <v>3119.7298220154507</v>
      </c>
      <c r="AC13" s="26"/>
      <c r="AD13" s="27">
        <v>33.748974960232573</v>
      </c>
      <c r="AE13" s="26">
        <f t="shared" si="8"/>
        <v>33.748974960232573</v>
      </c>
      <c r="AG13" s="28">
        <f t="shared" si="9"/>
        <v>2950</v>
      </c>
      <c r="AH13" s="28">
        <f t="shared" si="9"/>
        <v>290.84779863039944</v>
      </c>
      <c r="AI13" s="28">
        <f t="shared" si="9"/>
        <v>3240.8477986303997</v>
      </c>
      <c r="AK13" s="54">
        <v>36</v>
      </c>
      <c r="AP13" s="11">
        <v>985</v>
      </c>
      <c r="AQ13" s="55"/>
      <c r="AR13" s="67">
        <f>18-2+1+1</f>
        <v>18</v>
      </c>
    </row>
    <row r="14" spans="1:44" ht="15.75" customHeight="1">
      <c r="A14" s="69" t="s">
        <v>58</v>
      </c>
      <c r="C14" s="12" t="s">
        <v>45</v>
      </c>
      <c r="E14" s="26"/>
      <c r="F14" s="26">
        <v>0</v>
      </c>
      <c r="G14" s="26">
        <f t="shared" si="0"/>
        <v>0</v>
      </c>
      <c r="H14" s="26"/>
      <c r="I14" s="51"/>
      <c r="J14" s="26">
        <v>0</v>
      </c>
      <c r="K14" s="26">
        <f t="shared" si="1"/>
        <v>0</v>
      </c>
      <c r="L14" s="26"/>
      <c r="M14" s="51">
        <v>0</v>
      </c>
      <c r="N14" s="26">
        <f t="shared" si="2"/>
        <v>0</v>
      </c>
      <c r="O14" s="26">
        <f t="shared" si="3"/>
        <v>0</v>
      </c>
      <c r="P14" s="26"/>
      <c r="Q14" s="51"/>
      <c r="R14" s="26">
        <v>0</v>
      </c>
      <c r="S14" s="26">
        <f t="shared" si="4"/>
        <v>0</v>
      </c>
      <c r="T14" s="26"/>
      <c r="U14" s="51">
        <v>0</v>
      </c>
      <c r="V14" s="26">
        <v>0</v>
      </c>
      <c r="W14" s="26">
        <f t="shared" si="5"/>
        <v>0</v>
      </c>
      <c r="X14" s="26"/>
      <c r="Y14" s="51">
        <v>0</v>
      </c>
      <c r="Z14" s="27">
        <f t="shared" si="6"/>
        <v>0</v>
      </c>
      <c r="AA14" s="26">
        <f t="shared" si="7"/>
        <v>0</v>
      </c>
      <c r="AC14" s="26"/>
      <c r="AD14" s="27">
        <v>0</v>
      </c>
      <c r="AE14" s="26">
        <f t="shared" si="8"/>
        <v>0</v>
      </c>
      <c r="AG14" s="28">
        <f t="shared" si="9"/>
        <v>0</v>
      </c>
      <c r="AH14" s="28">
        <f t="shared" si="9"/>
        <v>0</v>
      </c>
      <c r="AI14" s="28">
        <f t="shared" si="9"/>
        <v>0</v>
      </c>
      <c r="AK14" s="54">
        <v>0</v>
      </c>
      <c r="AP14" s="69" t="s">
        <v>58</v>
      </c>
      <c r="AQ14" s="55"/>
      <c r="AR14" s="67">
        <v>36</v>
      </c>
    </row>
    <row r="15" spans="1:44">
      <c r="A15" s="11">
        <v>119</v>
      </c>
      <c r="C15" s="12" t="s">
        <v>36</v>
      </c>
      <c r="E15" s="26"/>
      <c r="F15" s="26">
        <v>0</v>
      </c>
      <c r="G15" s="26">
        <f t="shared" si="0"/>
        <v>0</v>
      </c>
      <c r="H15" s="26"/>
      <c r="I15" s="51"/>
      <c r="J15" s="26">
        <v>0</v>
      </c>
      <c r="K15" s="26">
        <f t="shared" si="1"/>
        <v>0</v>
      </c>
      <c r="L15" s="26"/>
      <c r="M15" s="51">
        <v>0</v>
      </c>
      <c r="N15" s="26">
        <f t="shared" si="2"/>
        <v>0</v>
      </c>
      <c r="O15" s="26">
        <f t="shared" si="3"/>
        <v>0</v>
      </c>
      <c r="P15" s="26"/>
      <c r="Q15" s="51"/>
      <c r="R15" s="26">
        <v>0</v>
      </c>
      <c r="S15" s="26">
        <f t="shared" si="4"/>
        <v>0</v>
      </c>
      <c r="T15" s="26"/>
      <c r="U15" s="51">
        <v>0</v>
      </c>
      <c r="V15" s="26">
        <v>0</v>
      </c>
      <c r="W15" s="26">
        <f t="shared" si="5"/>
        <v>0</v>
      </c>
      <c r="X15" s="26"/>
      <c r="Y15" s="51">
        <v>0</v>
      </c>
      <c r="Z15" s="27">
        <f t="shared" si="6"/>
        <v>0</v>
      </c>
      <c r="AA15" s="26">
        <f t="shared" si="7"/>
        <v>0</v>
      </c>
      <c r="AC15" s="26"/>
      <c r="AD15" s="27">
        <v>0</v>
      </c>
      <c r="AE15" s="26">
        <f t="shared" si="8"/>
        <v>0</v>
      </c>
      <c r="AG15" s="28">
        <f t="shared" si="9"/>
        <v>0</v>
      </c>
      <c r="AH15" s="28">
        <f t="shared" si="9"/>
        <v>0</v>
      </c>
      <c r="AI15" s="28">
        <f t="shared" si="9"/>
        <v>0</v>
      </c>
      <c r="AK15" s="54"/>
      <c r="AP15" s="11">
        <v>119</v>
      </c>
      <c r="AQ15" s="55"/>
      <c r="AR15" s="67"/>
    </row>
    <row r="16" spans="1:44">
      <c r="A16" s="11">
        <v>912</v>
      </c>
      <c r="C16" s="12" t="s">
        <v>37</v>
      </c>
      <c r="E16" s="26"/>
      <c r="F16" s="26">
        <v>0</v>
      </c>
      <c r="G16" s="26">
        <f t="shared" si="0"/>
        <v>0</v>
      </c>
      <c r="H16" s="26"/>
      <c r="I16" s="51"/>
      <c r="J16" s="26">
        <v>0</v>
      </c>
      <c r="K16" s="26">
        <f t="shared" si="1"/>
        <v>0</v>
      </c>
      <c r="L16" s="26"/>
      <c r="M16" s="51">
        <v>0</v>
      </c>
      <c r="N16" s="26">
        <f t="shared" si="2"/>
        <v>0</v>
      </c>
      <c r="O16" s="26">
        <f t="shared" si="3"/>
        <v>0</v>
      </c>
      <c r="P16" s="26"/>
      <c r="Q16" s="51"/>
      <c r="R16" s="26">
        <v>0</v>
      </c>
      <c r="S16" s="26">
        <f t="shared" si="4"/>
        <v>0</v>
      </c>
      <c r="T16" s="26"/>
      <c r="U16" s="51">
        <v>0</v>
      </c>
      <c r="V16" s="26">
        <v>0</v>
      </c>
      <c r="W16" s="26">
        <f t="shared" si="5"/>
        <v>0</v>
      </c>
      <c r="X16" s="26"/>
      <c r="Y16" s="51">
        <v>0</v>
      </c>
      <c r="Z16" s="27">
        <f t="shared" si="6"/>
        <v>0</v>
      </c>
      <c r="AA16" s="26">
        <f t="shared" si="7"/>
        <v>0</v>
      </c>
      <c r="AC16" s="26"/>
      <c r="AD16" s="27">
        <v>0</v>
      </c>
      <c r="AE16" s="26">
        <f t="shared" si="8"/>
        <v>0</v>
      </c>
      <c r="AG16" s="28">
        <f t="shared" si="9"/>
        <v>0</v>
      </c>
      <c r="AH16" s="28">
        <f t="shared" si="9"/>
        <v>0</v>
      </c>
      <c r="AI16" s="28">
        <f t="shared" si="9"/>
        <v>0</v>
      </c>
      <c r="AK16" s="54"/>
      <c r="AP16" s="11">
        <v>912</v>
      </c>
      <c r="AQ16" s="55"/>
      <c r="AR16" s="67">
        <v>3</v>
      </c>
    </row>
    <row r="17" spans="1:44">
      <c r="A17" s="11">
        <v>912</v>
      </c>
      <c r="C17" s="12" t="s">
        <v>38</v>
      </c>
      <c r="E17" s="26"/>
      <c r="F17" s="26">
        <v>0</v>
      </c>
      <c r="G17" s="26">
        <f t="shared" si="0"/>
        <v>0</v>
      </c>
      <c r="H17" s="26"/>
      <c r="I17" s="51"/>
      <c r="J17" s="26">
        <v>0</v>
      </c>
      <c r="K17" s="26">
        <f t="shared" si="1"/>
        <v>0</v>
      </c>
      <c r="L17" s="26"/>
      <c r="M17" s="51">
        <v>0</v>
      </c>
      <c r="N17" s="26">
        <f t="shared" si="2"/>
        <v>0</v>
      </c>
      <c r="O17" s="26">
        <f t="shared" si="3"/>
        <v>0</v>
      </c>
      <c r="P17" s="26"/>
      <c r="Q17" s="51"/>
      <c r="R17" s="26">
        <v>34.837499269284862</v>
      </c>
      <c r="S17" s="26">
        <f t="shared" si="4"/>
        <v>34.837499269284862</v>
      </c>
      <c r="T17" s="26"/>
      <c r="U17" s="51">
        <v>0</v>
      </c>
      <c r="V17" s="26">
        <v>0</v>
      </c>
      <c r="W17" s="26">
        <f t="shared" si="5"/>
        <v>0</v>
      </c>
      <c r="X17" s="26"/>
      <c r="Y17" s="51">
        <v>0</v>
      </c>
      <c r="Z17" s="27">
        <f t="shared" si="6"/>
        <v>0</v>
      </c>
      <c r="AA17" s="26">
        <f t="shared" si="7"/>
        <v>0</v>
      </c>
      <c r="AC17" s="26"/>
      <c r="AD17" s="27">
        <v>0</v>
      </c>
      <c r="AE17" s="26">
        <f t="shared" si="8"/>
        <v>0</v>
      </c>
      <c r="AG17" s="28">
        <f t="shared" si="9"/>
        <v>0</v>
      </c>
      <c r="AH17" s="28">
        <f t="shared" si="9"/>
        <v>34.837499269284862</v>
      </c>
      <c r="AI17" s="28">
        <f t="shared" si="9"/>
        <v>34.837499269284862</v>
      </c>
      <c r="AK17" s="54"/>
      <c r="AP17" s="11">
        <v>912</v>
      </c>
      <c r="AQ17" s="55"/>
      <c r="AR17" s="67">
        <f>6-1+0.35</f>
        <v>5.35</v>
      </c>
    </row>
    <row r="18" spans="1:44">
      <c r="A18" s="11">
        <v>912</v>
      </c>
      <c r="C18" s="12" t="s">
        <v>39</v>
      </c>
      <c r="E18" s="26"/>
      <c r="F18" s="26">
        <v>0</v>
      </c>
      <c r="G18" s="26">
        <f t="shared" si="0"/>
        <v>0</v>
      </c>
      <c r="H18" s="26"/>
      <c r="I18" s="51"/>
      <c r="J18" s="26">
        <v>0</v>
      </c>
      <c r="K18" s="26">
        <f t="shared" si="1"/>
        <v>0</v>
      </c>
      <c r="L18" s="26"/>
      <c r="M18" s="51">
        <v>0</v>
      </c>
      <c r="N18" s="26">
        <f t="shared" si="2"/>
        <v>0</v>
      </c>
      <c r="O18" s="26">
        <f t="shared" si="3"/>
        <v>0</v>
      </c>
      <c r="P18" s="26"/>
      <c r="Q18" s="51"/>
      <c r="R18" s="26">
        <v>6.9849077235730421</v>
      </c>
      <c r="S18" s="26">
        <f t="shared" si="4"/>
        <v>6.9849077235730421</v>
      </c>
      <c r="T18" s="26"/>
      <c r="U18" s="51">
        <v>0</v>
      </c>
      <c r="V18" s="26">
        <v>0</v>
      </c>
      <c r="W18" s="26">
        <f t="shared" si="5"/>
        <v>0</v>
      </c>
      <c r="X18" s="26"/>
      <c r="Y18" s="51">
        <v>0</v>
      </c>
      <c r="Z18" s="27">
        <f t="shared" si="6"/>
        <v>0</v>
      </c>
      <c r="AA18" s="26">
        <f t="shared" si="7"/>
        <v>0</v>
      </c>
      <c r="AC18" s="26"/>
      <c r="AD18" s="27">
        <v>0</v>
      </c>
      <c r="AE18" s="26">
        <f t="shared" si="8"/>
        <v>0</v>
      </c>
      <c r="AG18" s="28">
        <f t="shared" si="9"/>
        <v>0</v>
      </c>
      <c r="AH18" s="28">
        <f t="shared" si="9"/>
        <v>6.9849077235730421</v>
      </c>
      <c r="AI18" s="28">
        <f t="shared" si="9"/>
        <v>6.9849077235730421</v>
      </c>
      <c r="AK18" s="54"/>
      <c r="AP18" s="11">
        <v>912</v>
      </c>
      <c r="AQ18" s="55"/>
      <c r="AR18" s="67">
        <v>2</v>
      </c>
    </row>
    <row r="19" spans="1:44">
      <c r="A19" s="11">
        <v>359</v>
      </c>
      <c r="C19" s="12" t="s">
        <v>46</v>
      </c>
      <c r="E19" s="26"/>
      <c r="F19" s="26">
        <v>4.853833425261997</v>
      </c>
      <c r="G19" s="26">
        <f>SUM(E19:F19)</f>
        <v>4.853833425261997</v>
      </c>
      <c r="H19" s="26"/>
      <c r="I19" s="51"/>
      <c r="J19" s="26">
        <v>0</v>
      </c>
      <c r="K19" s="26">
        <f>SUM(I19:J19)</f>
        <v>0</v>
      </c>
      <c r="L19" s="26"/>
      <c r="M19" s="51">
        <v>0</v>
      </c>
      <c r="N19" s="26">
        <f t="shared" si="2"/>
        <v>0</v>
      </c>
      <c r="O19" s="26">
        <f>SUM(M19:N19)</f>
        <v>0</v>
      </c>
      <c r="P19" s="26"/>
      <c r="Q19" s="51"/>
      <c r="R19" s="26">
        <v>0</v>
      </c>
      <c r="S19" s="26">
        <f t="shared" si="4"/>
        <v>0</v>
      </c>
      <c r="T19" s="26"/>
      <c r="U19" s="51"/>
      <c r="V19" s="26"/>
      <c r="W19" s="26"/>
      <c r="X19" s="26"/>
      <c r="Y19" s="51"/>
      <c r="Z19" s="27"/>
      <c r="AA19" s="26"/>
      <c r="AC19" s="26"/>
      <c r="AD19" s="27">
        <v>0</v>
      </c>
      <c r="AE19" s="26">
        <f t="shared" si="8"/>
        <v>0</v>
      </c>
      <c r="AG19" s="28">
        <f t="shared" si="9"/>
        <v>0</v>
      </c>
      <c r="AH19" s="28">
        <f t="shared" si="9"/>
        <v>4.853833425261997</v>
      </c>
      <c r="AI19" s="28">
        <f t="shared" si="9"/>
        <v>4.853833425261997</v>
      </c>
      <c r="AK19" s="54">
        <v>2</v>
      </c>
      <c r="AP19" s="11">
        <v>359</v>
      </c>
    </row>
    <row r="20" spans="1:44">
      <c r="A20" s="11">
        <v>460</v>
      </c>
      <c r="C20" s="12" t="s">
        <v>40</v>
      </c>
      <c r="E20" s="26"/>
      <c r="F20" s="26">
        <v>0</v>
      </c>
      <c r="G20" s="26">
        <f>SUM(E20:F20)</f>
        <v>0</v>
      </c>
      <c r="H20" s="26"/>
      <c r="I20" s="51"/>
      <c r="J20" s="26">
        <v>640.61537250890206</v>
      </c>
      <c r="K20" s="26">
        <f>SUM(I20:J20)</f>
        <v>640.61537250890206</v>
      </c>
      <c r="L20" s="26"/>
      <c r="M20" s="51">
        <v>0</v>
      </c>
      <c r="N20" s="26">
        <f t="shared" si="2"/>
        <v>0</v>
      </c>
      <c r="O20" s="26">
        <f>SUM(M20:N20)</f>
        <v>0</v>
      </c>
      <c r="P20" s="26"/>
      <c r="Q20" s="51"/>
      <c r="R20" s="26">
        <v>405.18448751938547</v>
      </c>
      <c r="S20" s="26">
        <f t="shared" si="4"/>
        <v>405.18448751938547</v>
      </c>
      <c r="T20" s="26"/>
      <c r="U20" s="51"/>
      <c r="V20" s="26"/>
      <c r="W20" s="26"/>
      <c r="X20" s="26"/>
      <c r="Y20" s="51">
        <f>13226-6531</f>
        <v>6695</v>
      </c>
      <c r="Z20" s="27">
        <f>(Y20/Y$25)*Z$25</f>
        <v>385.20039267574373</v>
      </c>
      <c r="AA20" s="26">
        <f>Y20+Z20</f>
        <v>7080.2003926757434</v>
      </c>
      <c r="AC20" s="26"/>
      <c r="AD20" s="27">
        <v>1390</v>
      </c>
      <c r="AE20" s="26">
        <f t="shared" si="8"/>
        <v>1390</v>
      </c>
      <c r="AG20" s="28">
        <f t="shared" si="9"/>
        <v>6695</v>
      </c>
      <c r="AH20" s="28">
        <f t="shared" si="9"/>
        <v>2821.0002527040315</v>
      </c>
      <c r="AI20" s="28">
        <f t="shared" si="9"/>
        <v>9516.0002527040306</v>
      </c>
      <c r="AK20" s="54"/>
      <c r="AP20" s="11">
        <v>460</v>
      </c>
    </row>
    <row r="21" spans="1:44">
      <c r="A21" s="11" t="s">
        <v>50</v>
      </c>
      <c r="C21" t="s">
        <v>51</v>
      </c>
      <c r="E21" s="26"/>
      <c r="F21" s="26">
        <v>14.56150027578599</v>
      </c>
      <c r="G21" s="26">
        <f>SUM(E21:F21)</f>
        <v>14.56150027578599</v>
      </c>
      <c r="H21" s="26"/>
      <c r="I21" s="51"/>
      <c r="J21" s="26"/>
      <c r="K21" s="26"/>
      <c r="L21" s="26"/>
      <c r="M21" s="51"/>
      <c r="N21" s="26"/>
      <c r="O21" s="26"/>
      <c r="P21" s="26"/>
      <c r="Q21" s="51"/>
      <c r="R21" s="26">
        <v>0</v>
      </c>
      <c r="S21" s="26">
        <f t="shared" si="4"/>
        <v>0</v>
      </c>
      <c r="T21" s="26"/>
      <c r="U21" s="51"/>
      <c r="V21" s="26"/>
      <c r="W21" s="26"/>
      <c r="X21" s="26"/>
      <c r="Y21" s="51"/>
      <c r="Z21" s="27"/>
      <c r="AA21" s="26"/>
      <c r="AC21" s="26"/>
      <c r="AD21" s="27">
        <v>0</v>
      </c>
      <c r="AE21" s="26">
        <f t="shared" si="8"/>
        <v>0</v>
      </c>
      <c r="AG21" s="28">
        <f t="shared" si="9"/>
        <v>0</v>
      </c>
      <c r="AH21" s="28">
        <f t="shared" si="9"/>
        <v>14.56150027578599</v>
      </c>
      <c r="AI21" s="28">
        <f t="shared" si="9"/>
        <v>14.56150027578599</v>
      </c>
      <c r="AK21" s="54">
        <v>6</v>
      </c>
      <c r="AP21" s="11" t="s">
        <v>50</v>
      </c>
    </row>
    <row r="22" spans="1:44">
      <c r="A22" s="11" t="s">
        <v>57</v>
      </c>
      <c r="C22"/>
      <c r="E22" s="26"/>
      <c r="F22" s="26"/>
      <c r="G22" s="26"/>
      <c r="H22" s="26"/>
      <c r="I22" s="51"/>
      <c r="J22" s="26"/>
      <c r="K22" s="26"/>
      <c r="L22" s="26"/>
      <c r="M22" s="51"/>
      <c r="N22" s="26"/>
      <c r="O22" s="26"/>
      <c r="P22" s="26"/>
      <c r="Q22" s="51"/>
      <c r="R22" s="26">
        <v>1555.3387595379818</v>
      </c>
      <c r="S22" s="26">
        <f t="shared" si="4"/>
        <v>1555.3387595379818</v>
      </c>
      <c r="T22" s="26"/>
      <c r="U22" s="51"/>
      <c r="V22" s="26"/>
      <c r="W22" s="26"/>
      <c r="X22" s="26"/>
      <c r="Y22" s="51"/>
      <c r="Z22" s="27"/>
      <c r="AA22" s="26"/>
      <c r="AC22" s="26"/>
      <c r="AD22" s="27">
        <v>0</v>
      </c>
      <c r="AE22" s="26">
        <f t="shared" si="8"/>
        <v>0</v>
      </c>
      <c r="AG22" s="28">
        <f t="shared" si="9"/>
        <v>0</v>
      </c>
      <c r="AH22" s="28">
        <f t="shared" si="9"/>
        <v>1555.3387595379818</v>
      </c>
      <c r="AI22" s="28">
        <f t="shared" si="9"/>
        <v>1555.3387595379818</v>
      </c>
      <c r="AK22" s="54"/>
      <c r="AP22" s="11" t="s">
        <v>57</v>
      </c>
    </row>
    <row r="23" spans="1:44">
      <c r="A23" s="11" t="s">
        <v>47</v>
      </c>
      <c r="C23" s="12" t="s">
        <v>48</v>
      </c>
      <c r="E23" s="26"/>
      <c r="F23" s="26">
        <v>2.4269167126309985</v>
      </c>
      <c r="G23" s="26">
        <f>SUM(E23:F23)</f>
        <v>2.4269167126309985</v>
      </c>
      <c r="H23" s="26"/>
      <c r="I23" s="51">
        <v>0</v>
      </c>
      <c r="J23" s="26">
        <v>0</v>
      </c>
      <c r="K23" s="26">
        <f>SUM(I23:J23)</f>
        <v>0</v>
      </c>
      <c r="L23" s="26"/>
      <c r="M23" s="51">
        <v>0</v>
      </c>
      <c r="N23" s="26">
        <f>(M23/M$25)*N$25</f>
        <v>0</v>
      </c>
      <c r="O23" s="26">
        <f>SUM(M23:N23)</f>
        <v>0</v>
      </c>
      <c r="P23" s="26"/>
      <c r="Q23" s="51"/>
      <c r="R23" s="26"/>
      <c r="S23" s="26"/>
      <c r="T23" s="26"/>
      <c r="U23" s="51"/>
      <c r="V23" s="26"/>
      <c r="W23" s="26"/>
      <c r="X23" s="26"/>
      <c r="Y23" s="51"/>
      <c r="Z23" s="27"/>
      <c r="AA23" s="26"/>
      <c r="AC23" s="26"/>
      <c r="AD23" s="27"/>
      <c r="AE23" s="26"/>
      <c r="AG23" s="28">
        <f>E23+I23+Q23+U23+Y23+M23+AC23</f>
        <v>0</v>
      </c>
      <c r="AH23" s="28">
        <f>F23+J23+R23+V23+Z23+N23+AD23</f>
        <v>2.4269167126309985</v>
      </c>
      <c r="AI23" s="28">
        <f>G23+K23+S23+W23+AA23+O23+AE23</f>
        <v>2.4269167126309985</v>
      </c>
      <c r="AK23" s="54">
        <v>1</v>
      </c>
      <c r="AP23" s="11" t="s">
        <v>47</v>
      </c>
    </row>
    <row r="24" spans="1:44">
      <c r="E24" s="30"/>
      <c r="F24" s="31"/>
      <c r="G24" s="31"/>
      <c r="I24" s="31"/>
      <c r="J24" s="31"/>
      <c r="K24" s="31"/>
      <c r="M24" s="31"/>
      <c r="N24" s="31"/>
      <c r="O24" s="31"/>
      <c r="Q24" s="31"/>
      <c r="R24" s="31"/>
      <c r="S24" s="31"/>
      <c r="U24" s="31"/>
      <c r="V24" s="31"/>
      <c r="W24" s="31"/>
      <c r="Y24" s="31"/>
      <c r="Z24" s="31"/>
      <c r="AA24" s="31"/>
      <c r="AC24" s="31"/>
      <c r="AD24" s="31"/>
      <c r="AE24" s="31"/>
      <c r="AG24" s="31"/>
      <c r="AH24" s="31"/>
      <c r="AI24" s="31"/>
      <c r="AK24" s="12">
        <f>SUM(AK8:AK23)</f>
        <v>181.3</v>
      </c>
      <c r="AL24" s="54">
        <f>563101-315478</f>
        <v>247623</v>
      </c>
    </row>
    <row r="25" spans="1:44">
      <c r="C25" s="32" t="s">
        <v>10</v>
      </c>
      <c r="E25" s="26">
        <f>SUM(E8:E24)</f>
        <v>0</v>
      </c>
      <c r="F25" s="52">
        <f>24510-24070</f>
        <v>440</v>
      </c>
      <c r="G25" s="33">
        <f>SUM(G8:G23)</f>
        <v>440</v>
      </c>
      <c r="H25" s="33"/>
      <c r="I25" s="26">
        <f>SUM(I8:I24)</f>
        <v>0</v>
      </c>
      <c r="J25" s="52">
        <f>21584-20602</f>
        <v>982</v>
      </c>
      <c r="K25" s="33">
        <f>SUM(K8:K23)</f>
        <v>982</v>
      </c>
      <c r="L25" s="33"/>
      <c r="M25" s="33">
        <f>SUM(M8:M23)</f>
        <v>12911</v>
      </c>
      <c r="N25" s="52">
        <f>19271-18395</f>
        <v>876</v>
      </c>
      <c r="O25" s="33">
        <f>SUM(O8:O23)</f>
        <v>13787</v>
      </c>
      <c r="P25" s="33"/>
      <c r="Q25" s="33">
        <f>SUM(Q8:Q23)</f>
        <v>0</v>
      </c>
      <c r="R25" s="52">
        <f>27661-24497</f>
        <v>3164</v>
      </c>
      <c r="S25" s="33">
        <f>SUM(S8:S23)</f>
        <v>3164</v>
      </c>
      <c r="T25" s="33"/>
      <c r="U25" s="33">
        <f>SUM(U8:U23)</f>
        <v>0</v>
      </c>
      <c r="V25" s="52">
        <f>1814-1731</f>
        <v>83</v>
      </c>
      <c r="W25" s="33">
        <f>SUM(W8:W23)</f>
        <v>83</v>
      </c>
      <c r="X25" s="33"/>
      <c r="Y25" s="26">
        <f>SUM(Y8:Y24)</f>
        <v>23429</v>
      </c>
      <c r="Z25" s="52">
        <f>11191-9843</f>
        <v>1348</v>
      </c>
      <c r="AA25" s="33">
        <f>SUM(AA8:AA23)</f>
        <v>24777</v>
      </c>
      <c r="AB25" s="33"/>
      <c r="AC25" s="26">
        <f>SUM(AC8:AC24)</f>
        <v>0</v>
      </c>
      <c r="AD25" s="52">
        <f>159455-152204</f>
        <v>7251</v>
      </c>
      <c r="AE25" s="33">
        <f>SUM(AE8:AE23)</f>
        <v>7251.4172357522903</v>
      </c>
      <c r="AF25" s="33"/>
      <c r="AG25" s="33">
        <f>SUM(AG8:AG23)</f>
        <v>36340</v>
      </c>
      <c r="AH25" s="33">
        <f>SUM(AH8:AH23)</f>
        <v>14144.417235752286</v>
      </c>
      <c r="AI25" s="33">
        <f>SUM(AI8:AI23)</f>
        <v>50484.417235752284</v>
      </c>
      <c r="AJ25" s="33">
        <f>AA25+W25+S25+K25+G25+O25+AE25</f>
        <v>50484.417235752291</v>
      </c>
    </row>
    <row r="27" spans="1:44">
      <c r="C27" s="12" t="s">
        <v>59</v>
      </c>
      <c r="E27" s="12" t="s">
        <v>60</v>
      </c>
      <c r="J27" s="34"/>
      <c r="AG27" s="26"/>
    </row>
    <row r="28" spans="1:44">
      <c r="E28" s="12" t="s">
        <v>61</v>
      </c>
      <c r="F28" s="26"/>
      <c r="G28" s="33"/>
      <c r="H28" s="33"/>
      <c r="J28" s="26"/>
      <c r="K28" s="33"/>
      <c r="L28" s="33"/>
      <c r="M28" s="33"/>
      <c r="N28" s="26"/>
      <c r="O28" s="33"/>
      <c r="P28" s="33"/>
      <c r="Q28" s="33"/>
      <c r="R28" s="26"/>
      <c r="S28" s="33"/>
      <c r="T28" s="33"/>
      <c r="U28" s="33"/>
      <c r="V28" s="26"/>
      <c r="W28" s="33"/>
      <c r="X28" s="33"/>
      <c r="Y28" s="26"/>
      <c r="Z28" s="26"/>
      <c r="AA28" s="33"/>
      <c r="AB28" s="33"/>
      <c r="AC28" s="26"/>
      <c r="AD28" s="26"/>
      <c r="AE28" s="33"/>
      <c r="AF28" s="33"/>
      <c r="AG28" s="33"/>
      <c r="AH28" s="33"/>
    </row>
    <row r="29" spans="1:44">
      <c r="U29" s="35"/>
      <c r="V29" s="36"/>
      <c r="W29" s="36"/>
      <c r="X29" s="35"/>
      <c r="Y29" s="37"/>
      <c r="Z29" s="38"/>
      <c r="AC29" s="37"/>
      <c r="AD29" s="38"/>
    </row>
    <row r="30" spans="1:44">
      <c r="T30" s="39"/>
      <c r="U30" s="40"/>
      <c r="V30" s="40"/>
      <c r="W30" s="40"/>
      <c r="X30" s="40"/>
      <c r="Y30" s="40"/>
      <c r="Z30" s="40"/>
      <c r="AC30" s="40"/>
      <c r="AD30" s="40"/>
    </row>
    <row r="31" spans="1:44">
      <c r="T31" s="39"/>
      <c r="U31" s="41"/>
      <c r="V31" s="40"/>
      <c r="W31" s="40"/>
      <c r="X31" s="41"/>
      <c r="Y31" s="42"/>
      <c r="Z31" s="43"/>
      <c r="AA31" s="44"/>
      <c r="AC31" s="42"/>
      <c r="AD31" s="43"/>
      <c r="AE31" s="44"/>
      <c r="AG31" s="45"/>
    </row>
    <row r="32" spans="1:44">
      <c r="T32" s="39"/>
      <c r="U32" s="41"/>
      <c r="V32" s="40"/>
      <c r="W32" s="40"/>
      <c r="X32" s="41"/>
      <c r="Y32" s="42"/>
      <c r="Z32" s="43"/>
      <c r="AA32" s="44"/>
      <c r="AC32" s="42"/>
      <c r="AD32" s="43"/>
      <c r="AE32" s="44"/>
      <c r="AG32" s="45"/>
    </row>
    <row r="33" spans="1:33">
      <c r="T33" s="39"/>
      <c r="U33" s="41"/>
      <c r="V33" s="40"/>
      <c r="W33" s="40"/>
      <c r="X33" s="41"/>
      <c r="Y33" s="42"/>
      <c r="Z33" s="43"/>
      <c r="AA33" s="44"/>
      <c r="AC33" s="42"/>
      <c r="AD33" s="43"/>
      <c r="AE33" s="44"/>
      <c r="AG33" s="45"/>
    </row>
    <row r="34" spans="1:33">
      <c r="T34" s="46"/>
      <c r="U34" s="40"/>
      <c r="V34" s="40"/>
      <c r="W34" s="40"/>
      <c r="X34" s="41"/>
      <c r="Y34" s="42"/>
      <c r="Z34" s="43"/>
      <c r="AA34" s="44"/>
      <c r="AC34" s="42"/>
      <c r="AD34" s="43"/>
      <c r="AE34" s="44"/>
      <c r="AG34" s="45"/>
    </row>
    <row r="35" spans="1:33">
      <c r="U35" s="40"/>
      <c r="V35" s="47"/>
      <c r="W35" s="40"/>
      <c r="X35" s="40"/>
      <c r="Y35" s="48"/>
      <c r="Z35" s="49"/>
      <c r="AA35" s="50"/>
      <c r="AC35" s="48"/>
      <c r="AD35" s="49"/>
      <c r="AE35" s="50"/>
      <c r="AG35" s="45"/>
    </row>
    <row r="37" spans="1:33">
      <c r="A37" s="12"/>
    </row>
    <row r="38" spans="1:33">
      <c r="A38" s="12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9"/>
  <sheetViews>
    <sheetView workbookViewId="0">
      <selection activeCell="V9" sqref="V9:V24"/>
    </sheetView>
  </sheetViews>
  <sheetFormatPr defaultRowHeight="15"/>
  <cols>
    <col min="1" max="1" width="13.7109375" style="11" customWidth="1"/>
    <col min="2" max="2" width="2.7109375" style="12" customWidth="1"/>
    <col min="3" max="3" width="26.28515625" style="12" customWidth="1"/>
    <col min="4" max="4" width="2.7109375" style="12" customWidth="1"/>
    <col min="5" max="5" width="15.85546875" style="12" customWidth="1"/>
    <col min="6" max="6" width="14.28515625" style="12" customWidth="1"/>
    <col min="7" max="7" width="11.7109375" style="12" customWidth="1"/>
    <col min="8" max="8" width="5.140625" style="12" hidden="1" customWidth="1"/>
    <col min="9" max="9" width="16.42578125" style="12" hidden="1" customWidth="1"/>
    <col min="10" max="10" width="14.140625" style="12" hidden="1" customWidth="1"/>
    <col min="11" max="11" width="11.7109375" style="12" hidden="1" customWidth="1"/>
    <col min="12" max="12" width="2.7109375" style="12" hidden="1" customWidth="1"/>
    <col min="13" max="13" width="16.42578125" style="12" hidden="1" customWidth="1"/>
    <col min="14" max="14" width="13.28515625" style="12" hidden="1" customWidth="1"/>
    <col min="15" max="15" width="11.7109375" style="12" hidden="1" customWidth="1"/>
    <col min="16" max="16" width="2.7109375" style="12" hidden="1" customWidth="1"/>
    <col min="17" max="17" width="16.42578125" style="12" hidden="1" customWidth="1"/>
    <col min="18" max="18" width="13.28515625" style="12" hidden="1" customWidth="1"/>
    <col min="19" max="19" width="11.7109375" style="12" hidden="1" customWidth="1"/>
    <col min="20" max="20" width="2.7109375" style="12" hidden="1" customWidth="1"/>
    <col min="21" max="21" width="14.7109375" style="12" hidden="1" customWidth="1"/>
    <col min="22" max="22" width="14" style="12" hidden="1" customWidth="1"/>
    <col min="23" max="23" width="11.7109375" style="12" hidden="1" customWidth="1"/>
    <col min="24" max="24" width="2.7109375" style="12" hidden="1" customWidth="1"/>
    <col min="25" max="25" width="15.42578125" style="12" hidden="1" customWidth="1"/>
    <col min="26" max="26" width="14.140625" style="12" hidden="1" customWidth="1"/>
    <col min="27" max="27" width="15.7109375" style="12" hidden="1" customWidth="1"/>
    <col min="28" max="28" width="2.7109375" style="12" hidden="1" customWidth="1"/>
    <col min="29" max="29" width="15.42578125" style="12" hidden="1" customWidth="1"/>
    <col min="30" max="30" width="14.140625" style="12" hidden="1" customWidth="1"/>
    <col min="31" max="31" width="15.7109375" style="12" hidden="1" customWidth="1"/>
    <col min="32" max="32" width="2.7109375" style="12" hidden="1" customWidth="1"/>
    <col min="33" max="33" width="14.85546875" style="12" hidden="1" customWidth="1"/>
    <col min="34" max="34" width="16.7109375" style="12" hidden="1" customWidth="1"/>
    <col min="35" max="35" width="14.28515625" style="12" hidden="1" customWidth="1"/>
    <col min="36" max="36" width="14.85546875" style="12" hidden="1" customWidth="1"/>
    <col min="37" max="39" width="0" style="12" hidden="1" customWidth="1"/>
    <col min="40" max="16384" width="9.140625" style="12"/>
  </cols>
  <sheetData>
    <row r="1" spans="1:38">
      <c r="A1" s="60" t="s">
        <v>52</v>
      </c>
      <c r="B1" s="61"/>
      <c r="C1" s="62" t="s">
        <v>65</v>
      </c>
    </row>
    <row r="2" spans="1:38" ht="15.75" thickBot="1">
      <c r="A2" s="63" t="s">
        <v>53</v>
      </c>
      <c r="B2" s="64"/>
      <c r="C2" s="65">
        <v>36192</v>
      </c>
    </row>
    <row r="4" spans="1:38">
      <c r="E4" s="13" t="s">
        <v>12</v>
      </c>
      <c r="I4" s="13" t="s">
        <v>13</v>
      </c>
      <c r="M4" s="13" t="s">
        <v>14</v>
      </c>
      <c r="Q4" s="13" t="s">
        <v>15</v>
      </c>
      <c r="U4" s="13" t="s">
        <v>16</v>
      </c>
      <c r="Y4" s="13" t="s">
        <v>17</v>
      </c>
      <c r="AC4" s="13" t="s">
        <v>41</v>
      </c>
    </row>
    <row r="5" spans="1:38">
      <c r="A5" s="14" t="s">
        <v>18</v>
      </c>
      <c r="C5" s="15"/>
      <c r="E5" s="16" t="s">
        <v>19</v>
      </c>
      <c r="F5" s="17"/>
      <c r="G5" s="18"/>
      <c r="I5" s="16" t="s">
        <v>20</v>
      </c>
      <c r="J5" s="17"/>
      <c r="K5" s="18"/>
      <c r="M5" s="16" t="s">
        <v>21</v>
      </c>
      <c r="N5" s="17"/>
      <c r="O5" s="18"/>
      <c r="Q5" s="16" t="s">
        <v>22</v>
      </c>
      <c r="R5" s="17"/>
      <c r="S5" s="18"/>
      <c r="U5" s="16" t="s">
        <v>23</v>
      </c>
      <c r="V5" s="17"/>
      <c r="W5" s="18"/>
      <c r="Y5" s="16" t="s">
        <v>24</v>
      </c>
      <c r="Z5" s="17"/>
      <c r="AA5" s="18"/>
      <c r="AC5" s="16" t="s">
        <v>42</v>
      </c>
      <c r="AD5" s="17"/>
      <c r="AE5" s="18"/>
      <c r="AG5" s="16" t="s">
        <v>25</v>
      </c>
      <c r="AH5" s="19"/>
      <c r="AI5" s="20"/>
    </row>
    <row r="6" spans="1:38">
      <c r="A6" s="21" t="s">
        <v>26</v>
      </c>
      <c r="C6" s="22" t="s">
        <v>11</v>
      </c>
      <c r="E6" s="23" t="s">
        <v>27</v>
      </c>
      <c r="F6" s="24" t="s">
        <v>28</v>
      </c>
      <c r="G6" s="25" t="s">
        <v>10</v>
      </c>
      <c r="I6" s="23" t="s">
        <v>27</v>
      </c>
      <c r="J6" s="24" t="s">
        <v>28</v>
      </c>
      <c r="K6" s="25" t="s">
        <v>10</v>
      </c>
      <c r="M6" s="23" t="s">
        <v>27</v>
      </c>
      <c r="N6" s="24" t="s">
        <v>28</v>
      </c>
      <c r="O6" s="25" t="s">
        <v>10</v>
      </c>
      <c r="Q6" s="23" t="s">
        <v>27</v>
      </c>
      <c r="R6" s="24" t="s">
        <v>28</v>
      </c>
      <c r="S6" s="25" t="s">
        <v>10</v>
      </c>
      <c r="U6" s="23" t="s">
        <v>27</v>
      </c>
      <c r="V6" s="24" t="s">
        <v>28</v>
      </c>
      <c r="W6" s="25" t="s">
        <v>10</v>
      </c>
      <c r="Y6" s="23" t="s">
        <v>27</v>
      </c>
      <c r="Z6" s="24" t="s">
        <v>28</v>
      </c>
      <c r="AA6" s="25" t="s">
        <v>10</v>
      </c>
      <c r="AC6" s="23" t="s">
        <v>27</v>
      </c>
      <c r="AD6" s="24" t="s">
        <v>28</v>
      </c>
      <c r="AE6" s="25" t="s">
        <v>10</v>
      </c>
      <c r="AG6" s="23" t="s">
        <v>27</v>
      </c>
      <c r="AH6" s="24" t="s">
        <v>28</v>
      </c>
      <c r="AI6" s="25" t="s">
        <v>10</v>
      </c>
      <c r="AK6" s="12" t="s">
        <v>43</v>
      </c>
      <c r="AL6" s="12" t="s">
        <v>44</v>
      </c>
    </row>
    <row r="7" spans="1:38" ht="3" customHeight="1"/>
    <row r="8" spans="1:38">
      <c r="A8" s="11">
        <v>969</v>
      </c>
      <c r="C8" s="12" t="s">
        <v>29</v>
      </c>
      <c r="E8" s="44">
        <f t="shared" ref="E8:E23" si="0">AK8/AK$24*AL$24</f>
        <v>35151.404494382019</v>
      </c>
      <c r="F8" s="26">
        <f t="shared" ref="F8:F23" si="1">E8/E$25*F$25</f>
        <v>5144.2528089887628</v>
      </c>
      <c r="G8" s="26">
        <f t="shared" ref="G8:G18" si="2">SUM(E8:F8)</f>
        <v>40295.657303370783</v>
      </c>
      <c r="H8" s="26"/>
      <c r="I8" s="51">
        <v>0</v>
      </c>
      <c r="J8" s="26">
        <f>(ABS(I8)/I$27)*J$25</f>
        <v>0</v>
      </c>
      <c r="K8" s="26">
        <f t="shared" ref="K8:K18" si="3">SUM(I8:J8)</f>
        <v>0</v>
      </c>
      <c r="L8" s="26"/>
      <c r="M8" s="51">
        <v>47434</v>
      </c>
      <c r="N8" s="26">
        <f t="shared" ref="N8:N23" si="4">(M8/M$25)*N$25</f>
        <v>11337.8721951672</v>
      </c>
      <c r="O8" s="26">
        <f t="shared" ref="O8:O18" si="5">SUM(M8:N8)</f>
        <v>58771.872195167198</v>
      </c>
      <c r="P8" s="26"/>
      <c r="Q8" s="51">
        <v>139056</v>
      </c>
      <c r="R8" s="26">
        <f t="shared" ref="R8:R22" si="6">(Q8/Q$25)*R$25</f>
        <v>14679.30628202695</v>
      </c>
      <c r="S8" s="26">
        <f t="shared" ref="S8:S22" si="7">SUM(Q8:R8)</f>
        <v>153735.30628202696</v>
      </c>
      <c r="T8" s="26"/>
      <c r="U8" s="51">
        <v>0</v>
      </c>
      <c r="V8" s="26">
        <f t="shared" ref="V8:V18" si="8">(U8/U$25)*V$25</f>
        <v>0</v>
      </c>
      <c r="W8" s="26">
        <f t="shared" ref="W8:W21" si="9">U8+V8</f>
        <v>0</v>
      </c>
      <c r="X8" s="26"/>
      <c r="Y8" s="51">
        <v>32327</v>
      </c>
      <c r="Z8" s="27">
        <f t="shared" ref="Z8:Z20" si="10">(Y8/Y$25)*Z$25</f>
        <v>8289.2760559791805</v>
      </c>
      <c r="AA8" s="26">
        <f t="shared" ref="AA8:AA22" si="11">SUM(Y8:Z8)</f>
        <v>40616.276055979179</v>
      </c>
      <c r="AC8" s="26">
        <v>285173</v>
      </c>
      <c r="AD8" s="27">
        <f t="shared" ref="AD8:AD21" si="12">(AC8/AC$25)*AD$25</f>
        <v>68753.999072093327</v>
      </c>
      <c r="AE8" s="26">
        <f t="shared" ref="AE8:AE22" si="13">SUM(AC8:AD8)</f>
        <v>353926.99907209334</v>
      </c>
      <c r="AG8" s="28">
        <f>E8+I8+Q8+U8+Y8+M8+AC8</f>
        <v>539141.40449438198</v>
      </c>
      <c r="AH8" s="28">
        <f>F8+J8+R8+V8+Z8+N8+AD8</f>
        <v>108204.70641425542</v>
      </c>
      <c r="AI8" s="28">
        <f>G8+K8+S8+W8+AA8+O8+AE8</f>
        <v>647346.11090863752</v>
      </c>
      <c r="AK8" s="54">
        <v>7</v>
      </c>
    </row>
    <row r="9" spans="1:38">
      <c r="A9" s="11">
        <v>912</v>
      </c>
      <c r="C9" s="12" t="s">
        <v>30</v>
      </c>
      <c r="E9" s="44">
        <f t="shared" si="0"/>
        <v>0</v>
      </c>
      <c r="F9" s="26">
        <f t="shared" si="1"/>
        <v>0</v>
      </c>
      <c r="G9" s="26">
        <f t="shared" si="2"/>
        <v>0</v>
      </c>
      <c r="H9" s="26"/>
      <c r="I9" s="51">
        <v>19517</v>
      </c>
      <c r="J9" s="26">
        <f>(ABS(I9)/I$27)*J$25</f>
        <v>10474.135894960418</v>
      </c>
      <c r="K9" s="26">
        <f t="shared" si="3"/>
        <v>29991.135894960418</v>
      </c>
      <c r="L9" s="26"/>
      <c r="M9" s="51">
        <v>0</v>
      </c>
      <c r="N9" s="26">
        <f t="shared" si="4"/>
        <v>0</v>
      </c>
      <c r="O9" s="26">
        <f t="shared" si="5"/>
        <v>0</v>
      </c>
      <c r="P9" s="26"/>
      <c r="Q9" s="51">
        <v>15153</v>
      </c>
      <c r="R9" s="26">
        <f t="shared" si="6"/>
        <v>1599.6111501233629</v>
      </c>
      <c r="S9" s="26">
        <f t="shared" si="7"/>
        <v>16752.611150123364</v>
      </c>
      <c r="T9" s="26"/>
      <c r="U9" s="51"/>
      <c r="V9" s="26">
        <f t="shared" si="8"/>
        <v>0</v>
      </c>
      <c r="W9" s="26">
        <f>SUM(U9:V9)</f>
        <v>0</v>
      </c>
      <c r="X9" s="26"/>
      <c r="Y9" s="51"/>
      <c r="Z9" s="27">
        <f t="shared" si="10"/>
        <v>0</v>
      </c>
      <c r="AA9" s="26">
        <f t="shared" si="11"/>
        <v>0</v>
      </c>
      <c r="AC9" s="26">
        <v>132837</v>
      </c>
      <c r="AD9" s="27">
        <f t="shared" si="12"/>
        <v>32026.436495529593</v>
      </c>
      <c r="AE9" s="26">
        <f t="shared" si="13"/>
        <v>164863.4364955296</v>
      </c>
      <c r="AG9" s="28">
        <f t="shared" ref="AG9:AI23" si="14">E9+I9+Q9+U9+Y9+M9+AC9</f>
        <v>167507</v>
      </c>
      <c r="AH9" s="28">
        <f t="shared" si="14"/>
        <v>44100.183540613376</v>
      </c>
      <c r="AI9" s="28">
        <f t="shared" si="14"/>
        <v>211607.18354061339</v>
      </c>
      <c r="AK9" s="54"/>
    </row>
    <row r="10" spans="1:38">
      <c r="A10" s="11">
        <v>963</v>
      </c>
      <c r="C10" s="12" t="s">
        <v>64</v>
      </c>
      <c r="E10" s="44">
        <f t="shared" si="0"/>
        <v>416795.2247191011</v>
      </c>
      <c r="F10" s="26">
        <f t="shared" si="1"/>
        <v>60996.140449438193</v>
      </c>
      <c r="G10" s="26">
        <f t="shared" si="2"/>
        <v>477791.36516853928</v>
      </c>
      <c r="H10" s="26"/>
      <c r="I10" s="51">
        <v>277</v>
      </c>
      <c r="J10" s="26">
        <f>(ABS(I10)/I$27)*J$25</f>
        <v>148.65684495076269</v>
      </c>
      <c r="K10" s="26">
        <f t="shared" si="3"/>
        <v>425.65684495076266</v>
      </c>
      <c r="L10" s="26"/>
      <c r="M10" s="51">
        <v>0</v>
      </c>
      <c r="N10" s="26">
        <f t="shared" si="4"/>
        <v>0</v>
      </c>
      <c r="O10" s="26">
        <f t="shared" si="5"/>
        <v>0</v>
      </c>
      <c r="P10" s="26"/>
      <c r="Q10" s="51">
        <v>74927</v>
      </c>
      <c r="R10" s="26">
        <f t="shared" si="6"/>
        <v>7909.5931264629589</v>
      </c>
      <c r="S10" s="26">
        <f t="shared" si="7"/>
        <v>82836.593126462962</v>
      </c>
      <c r="T10" s="26"/>
      <c r="U10" s="51">
        <v>12140</v>
      </c>
      <c r="V10" s="26">
        <f t="shared" si="8"/>
        <v>2120</v>
      </c>
      <c r="W10" s="26">
        <f>SUM(U10:V10)</f>
        <v>14260</v>
      </c>
      <c r="X10" s="26"/>
      <c r="Y10" s="51"/>
      <c r="Z10" s="27">
        <f t="shared" si="10"/>
        <v>0</v>
      </c>
      <c r="AA10" s="26">
        <f t="shared" si="11"/>
        <v>0</v>
      </c>
      <c r="AC10" s="26">
        <v>20034</v>
      </c>
      <c r="AD10" s="27">
        <f t="shared" si="12"/>
        <v>4830.1123087049527</v>
      </c>
      <c r="AE10" s="26">
        <f t="shared" si="13"/>
        <v>24864.112308704953</v>
      </c>
      <c r="AG10" s="28">
        <f t="shared" si="14"/>
        <v>524173.2247191011</v>
      </c>
      <c r="AH10" s="28">
        <f t="shared" si="14"/>
        <v>76004.502729556858</v>
      </c>
      <c r="AI10" s="28">
        <f t="shared" si="14"/>
        <v>600177.72744865797</v>
      </c>
      <c r="AK10" s="54">
        <v>83</v>
      </c>
    </row>
    <row r="11" spans="1:38">
      <c r="A11" s="11" t="s">
        <v>31</v>
      </c>
      <c r="C11" s="12" t="s">
        <v>32</v>
      </c>
      <c r="E11" s="44">
        <f t="shared" si="0"/>
        <v>90389.32584269662</v>
      </c>
      <c r="F11" s="26">
        <f t="shared" si="1"/>
        <v>13228.078651685391</v>
      </c>
      <c r="G11" s="26">
        <f t="shared" si="2"/>
        <v>103617.404494382</v>
      </c>
      <c r="H11" s="26"/>
      <c r="I11" s="51">
        <v>0</v>
      </c>
      <c r="J11" s="26">
        <f t="shared" ref="J11:J23" si="15">(ABS(I11)/I$25)*J$25</f>
        <v>0</v>
      </c>
      <c r="K11" s="26">
        <f t="shared" si="3"/>
        <v>0</v>
      </c>
      <c r="L11" s="26"/>
      <c r="M11" s="51">
        <v>60371</v>
      </c>
      <c r="N11" s="26">
        <f t="shared" si="4"/>
        <v>14430.127804832799</v>
      </c>
      <c r="O11" s="26">
        <f t="shared" si="5"/>
        <v>74801.127804832795</v>
      </c>
      <c r="P11" s="26"/>
      <c r="Q11" s="51"/>
      <c r="R11" s="26">
        <f t="shared" si="6"/>
        <v>0</v>
      </c>
      <c r="S11" s="26">
        <f t="shared" si="7"/>
        <v>0</v>
      </c>
      <c r="T11" s="26"/>
      <c r="U11" s="51">
        <v>0</v>
      </c>
      <c r="V11" s="26">
        <f t="shared" si="8"/>
        <v>0</v>
      </c>
      <c r="W11" s="26">
        <f t="shared" si="9"/>
        <v>0</v>
      </c>
      <c r="X11" s="26"/>
      <c r="Y11" s="51"/>
      <c r="Z11" s="27">
        <f t="shared" si="10"/>
        <v>0</v>
      </c>
      <c r="AA11" s="26">
        <f t="shared" si="11"/>
        <v>0</v>
      </c>
      <c r="AC11" s="26">
        <v>265269</v>
      </c>
      <c r="AD11" s="27">
        <f t="shared" si="12"/>
        <v>63955.229211233607</v>
      </c>
      <c r="AE11" s="26">
        <f t="shared" si="13"/>
        <v>329224.22921123361</v>
      </c>
      <c r="AG11" s="28">
        <f t="shared" si="14"/>
        <v>416029.32584269659</v>
      </c>
      <c r="AH11" s="28">
        <f t="shared" si="14"/>
        <v>91613.435667751794</v>
      </c>
      <c r="AI11" s="28">
        <f t="shared" si="14"/>
        <v>507642.76151044841</v>
      </c>
      <c r="AK11" s="54">
        <v>18</v>
      </c>
    </row>
    <row r="12" spans="1:38">
      <c r="A12" s="29" t="s">
        <v>33</v>
      </c>
      <c r="C12" s="12" t="s">
        <v>34</v>
      </c>
      <c r="E12" s="44">
        <f t="shared" si="0"/>
        <v>70302.808988764038</v>
      </c>
      <c r="F12" s="26">
        <f t="shared" si="1"/>
        <v>10288.505617977526</v>
      </c>
      <c r="G12" s="26">
        <f t="shared" si="2"/>
        <v>80591.314606741566</v>
      </c>
      <c r="H12" s="26"/>
      <c r="I12" s="51">
        <v>0</v>
      </c>
      <c r="J12" s="26">
        <f t="shared" si="15"/>
        <v>0</v>
      </c>
      <c r="K12" s="26">
        <f t="shared" si="3"/>
        <v>0</v>
      </c>
      <c r="L12" s="26"/>
      <c r="M12" s="51">
        <v>0</v>
      </c>
      <c r="N12" s="26">
        <f t="shared" si="4"/>
        <v>0</v>
      </c>
      <c r="O12" s="26">
        <f t="shared" si="5"/>
        <v>0</v>
      </c>
      <c r="P12" s="26"/>
      <c r="Q12" s="51"/>
      <c r="R12" s="26">
        <f t="shared" si="6"/>
        <v>0</v>
      </c>
      <c r="S12" s="26">
        <f t="shared" si="7"/>
        <v>0</v>
      </c>
      <c r="T12" s="26"/>
      <c r="U12" s="51">
        <v>0</v>
      </c>
      <c r="V12" s="26">
        <f t="shared" si="8"/>
        <v>0</v>
      </c>
      <c r="W12" s="26">
        <f t="shared" si="9"/>
        <v>0</v>
      </c>
      <c r="X12" s="26"/>
      <c r="Y12" s="51"/>
      <c r="Z12" s="27">
        <f t="shared" si="10"/>
        <v>0</v>
      </c>
      <c r="AA12" s="26">
        <f t="shared" si="11"/>
        <v>0</v>
      </c>
      <c r="AC12" s="26"/>
      <c r="AD12" s="27">
        <f t="shared" si="12"/>
        <v>0</v>
      </c>
      <c r="AE12" s="26">
        <f t="shared" si="13"/>
        <v>0</v>
      </c>
      <c r="AG12" s="28">
        <f t="shared" si="14"/>
        <v>70302.808988764038</v>
      </c>
      <c r="AH12" s="28">
        <f t="shared" si="14"/>
        <v>10288.505617977526</v>
      </c>
      <c r="AI12" s="28">
        <f t="shared" si="14"/>
        <v>80591.314606741566</v>
      </c>
      <c r="AK12" s="54">
        <v>14</v>
      </c>
    </row>
    <row r="13" spans="1:38">
      <c r="A13" s="11">
        <v>985</v>
      </c>
      <c r="C13" s="12" t="s">
        <v>35</v>
      </c>
      <c r="E13" s="44">
        <f t="shared" si="0"/>
        <v>195843.53932584269</v>
      </c>
      <c r="F13" s="26">
        <f t="shared" si="1"/>
        <v>28660.837078651683</v>
      </c>
      <c r="G13" s="26">
        <f t="shared" si="2"/>
        <v>224504.37640449437</v>
      </c>
      <c r="H13" s="26"/>
      <c r="I13" s="51">
        <v>0</v>
      </c>
      <c r="J13" s="26">
        <f t="shared" si="15"/>
        <v>0</v>
      </c>
      <c r="K13" s="26">
        <f t="shared" si="3"/>
        <v>0</v>
      </c>
      <c r="L13" s="26"/>
      <c r="M13" s="51">
        <v>0</v>
      </c>
      <c r="N13" s="26">
        <f t="shared" si="4"/>
        <v>0</v>
      </c>
      <c r="O13" s="26">
        <f t="shared" si="5"/>
        <v>0</v>
      </c>
      <c r="P13" s="26"/>
      <c r="Q13" s="51"/>
      <c r="R13" s="26">
        <f t="shared" si="6"/>
        <v>0</v>
      </c>
      <c r="S13" s="26">
        <f t="shared" si="7"/>
        <v>0</v>
      </c>
      <c r="T13" s="26"/>
      <c r="U13" s="51">
        <v>0</v>
      </c>
      <c r="V13" s="26">
        <f t="shared" si="8"/>
        <v>0</v>
      </c>
      <c r="W13" s="26">
        <f t="shared" si="9"/>
        <v>0</v>
      </c>
      <c r="X13" s="26"/>
      <c r="Y13" s="51">
        <v>6917</v>
      </c>
      <c r="Z13" s="27">
        <f t="shared" si="10"/>
        <v>1773.6542976214309</v>
      </c>
      <c r="AA13" s="26">
        <f t="shared" si="11"/>
        <v>8690.6542976214314</v>
      </c>
      <c r="AC13" s="26">
        <v>4073</v>
      </c>
      <c r="AD13" s="27">
        <f t="shared" si="12"/>
        <v>981.98300056680023</v>
      </c>
      <c r="AE13" s="26">
        <f t="shared" si="13"/>
        <v>5054.9830005668</v>
      </c>
      <c r="AG13" s="28">
        <f t="shared" si="14"/>
        <v>206833.53932584269</v>
      </c>
      <c r="AH13" s="28">
        <f t="shared" si="14"/>
        <v>31416.474376839913</v>
      </c>
      <c r="AI13" s="28">
        <f t="shared" si="14"/>
        <v>238250.0137026826</v>
      </c>
      <c r="AK13" s="54">
        <v>39</v>
      </c>
    </row>
    <row r="14" spans="1:38" ht="15.75" customHeight="1">
      <c r="A14" s="11">
        <v>426</v>
      </c>
      <c r="C14" s="12" t="s">
        <v>45</v>
      </c>
      <c r="E14" s="44">
        <f t="shared" si="0"/>
        <v>10043.258426966291</v>
      </c>
      <c r="F14" s="26">
        <f t="shared" si="1"/>
        <v>1469.7865168539324</v>
      </c>
      <c r="G14" s="26">
        <f t="shared" si="2"/>
        <v>11513.044943820223</v>
      </c>
      <c r="H14" s="26"/>
      <c r="I14" s="51">
        <v>0</v>
      </c>
      <c r="J14" s="26">
        <f t="shared" si="15"/>
        <v>0</v>
      </c>
      <c r="K14" s="26">
        <f t="shared" si="3"/>
        <v>0</v>
      </c>
      <c r="L14" s="26"/>
      <c r="M14" s="51">
        <v>0</v>
      </c>
      <c r="N14" s="26">
        <f t="shared" si="4"/>
        <v>0</v>
      </c>
      <c r="O14" s="26">
        <f t="shared" si="5"/>
        <v>0</v>
      </c>
      <c r="P14" s="26"/>
      <c r="Q14" s="51"/>
      <c r="R14" s="26">
        <f t="shared" si="6"/>
        <v>0</v>
      </c>
      <c r="S14" s="26">
        <f t="shared" si="7"/>
        <v>0</v>
      </c>
      <c r="T14" s="26"/>
      <c r="U14" s="51">
        <v>0</v>
      </c>
      <c r="V14" s="26">
        <f t="shared" si="8"/>
        <v>0</v>
      </c>
      <c r="W14" s="26">
        <f t="shared" si="9"/>
        <v>0</v>
      </c>
      <c r="X14" s="26"/>
      <c r="Y14" s="51">
        <v>0</v>
      </c>
      <c r="Z14" s="27">
        <f t="shared" si="10"/>
        <v>0</v>
      </c>
      <c r="AA14" s="26">
        <f t="shared" si="11"/>
        <v>0</v>
      </c>
      <c r="AC14" s="26">
        <v>0</v>
      </c>
      <c r="AD14" s="27">
        <f t="shared" si="12"/>
        <v>0</v>
      </c>
      <c r="AE14" s="26">
        <f t="shared" si="13"/>
        <v>0</v>
      </c>
      <c r="AG14" s="28">
        <f t="shared" si="14"/>
        <v>10043.258426966291</v>
      </c>
      <c r="AH14" s="28">
        <f t="shared" si="14"/>
        <v>1469.7865168539324</v>
      </c>
      <c r="AI14" s="28">
        <f t="shared" si="14"/>
        <v>11513.044943820223</v>
      </c>
      <c r="AK14" s="54">
        <v>2</v>
      </c>
    </row>
    <row r="15" spans="1:38">
      <c r="A15" s="11">
        <v>119</v>
      </c>
      <c r="C15" s="12" t="s">
        <v>36</v>
      </c>
      <c r="E15" s="44">
        <f t="shared" si="0"/>
        <v>0</v>
      </c>
      <c r="F15" s="26">
        <f t="shared" si="1"/>
        <v>0</v>
      </c>
      <c r="G15" s="26">
        <f t="shared" si="2"/>
        <v>0</v>
      </c>
      <c r="H15" s="26"/>
      <c r="I15" s="51">
        <v>0</v>
      </c>
      <c r="J15" s="26">
        <f t="shared" si="15"/>
        <v>0</v>
      </c>
      <c r="K15" s="26">
        <f t="shared" si="3"/>
        <v>0</v>
      </c>
      <c r="L15" s="26"/>
      <c r="M15" s="51">
        <v>0</v>
      </c>
      <c r="N15" s="26">
        <f t="shared" si="4"/>
        <v>0</v>
      </c>
      <c r="O15" s="26">
        <f t="shared" si="5"/>
        <v>0</v>
      </c>
      <c r="P15" s="26"/>
      <c r="Q15" s="51"/>
      <c r="R15" s="26">
        <f t="shared" si="6"/>
        <v>0</v>
      </c>
      <c r="S15" s="26">
        <f t="shared" si="7"/>
        <v>0</v>
      </c>
      <c r="T15" s="26"/>
      <c r="U15" s="51">
        <v>0</v>
      </c>
      <c r="V15" s="26">
        <f t="shared" si="8"/>
        <v>0</v>
      </c>
      <c r="W15" s="26">
        <f t="shared" si="9"/>
        <v>0</v>
      </c>
      <c r="X15" s="26"/>
      <c r="Y15" s="51">
        <v>0</v>
      </c>
      <c r="Z15" s="27">
        <f t="shared" si="10"/>
        <v>0</v>
      </c>
      <c r="AA15" s="26">
        <f t="shared" si="11"/>
        <v>0</v>
      </c>
      <c r="AC15" s="26">
        <v>0</v>
      </c>
      <c r="AD15" s="27">
        <f t="shared" si="12"/>
        <v>0</v>
      </c>
      <c r="AE15" s="26">
        <f t="shared" si="13"/>
        <v>0</v>
      </c>
      <c r="AG15" s="28">
        <f t="shared" si="14"/>
        <v>0</v>
      </c>
      <c r="AH15" s="28">
        <f t="shared" si="14"/>
        <v>0</v>
      </c>
      <c r="AI15" s="28">
        <f t="shared" si="14"/>
        <v>0</v>
      </c>
      <c r="AK15" s="54"/>
    </row>
    <row r="16" spans="1:38">
      <c r="A16" s="11">
        <v>912</v>
      </c>
      <c r="C16" s="12" t="s">
        <v>37</v>
      </c>
      <c r="E16" s="44">
        <f t="shared" si="0"/>
        <v>0</v>
      </c>
      <c r="F16" s="26">
        <f t="shared" si="1"/>
        <v>0</v>
      </c>
      <c r="G16" s="26">
        <f t="shared" si="2"/>
        <v>0</v>
      </c>
      <c r="H16" s="26"/>
      <c r="I16" s="51">
        <v>0</v>
      </c>
      <c r="J16" s="26">
        <f t="shared" si="15"/>
        <v>0</v>
      </c>
      <c r="K16" s="26">
        <f t="shared" si="3"/>
        <v>0</v>
      </c>
      <c r="L16" s="26"/>
      <c r="M16" s="51">
        <v>0</v>
      </c>
      <c r="N16" s="26">
        <f t="shared" si="4"/>
        <v>0</v>
      </c>
      <c r="O16" s="26">
        <f t="shared" si="5"/>
        <v>0</v>
      </c>
      <c r="P16" s="26"/>
      <c r="Q16" s="51"/>
      <c r="R16" s="26">
        <f t="shared" si="6"/>
        <v>0</v>
      </c>
      <c r="S16" s="26">
        <f t="shared" si="7"/>
        <v>0</v>
      </c>
      <c r="T16" s="26"/>
      <c r="U16" s="51">
        <v>0</v>
      </c>
      <c r="V16" s="26">
        <f t="shared" si="8"/>
        <v>0</v>
      </c>
      <c r="W16" s="26">
        <f t="shared" si="9"/>
        <v>0</v>
      </c>
      <c r="X16" s="26"/>
      <c r="Y16" s="51">
        <v>0</v>
      </c>
      <c r="Z16" s="27">
        <f t="shared" si="10"/>
        <v>0</v>
      </c>
      <c r="AA16" s="26">
        <f t="shared" si="11"/>
        <v>0</v>
      </c>
      <c r="AC16" s="26"/>
      <c r="AD16" s="27">
        <f t="shared" si="12"/>
        <v>0</v>
      </c>
      <c r="AE16" s="26">
        <f t="shared" si="13"/>
        <v>0</v>
      </c>
      <c r="AG16" s="28">
        <f t="shared" si="14"/>
        <v>0</v>
      </c>
      <c r="AH16" s="28">
        <f t="shared" si="14"/>
        <v>0</v>
      </c>
      <c r="AI16" s="28">
        <f t="shared" si="14"/>
        <v>0</v>
      </c>
      <c r="AK16" s="54"/>
    </row>
    <row r="17" spans="1:38">
      <c r="A17" s="11">
        <v>912</v>
      </c>
      <c r="C17" s="12" t="s">
        <v>38</v>
      </c>
      <c r="E17" s="44">
        <f t="shared" si="0"/>
        <v>0</v>
      </c>
      <c r="F17" s="26">
        <f t="shared" si="1"/>
        <v>0</v>
      </c>
      <c r="G17" s="26">
        <f t="shared" si="2"/>
        <v>0</v>
      </c>
      <c r="H17" s="26"/>
      <c r="I17" s="51">
        <v>0</v>
      </c>
      <c r="J17" s="26">
        <f t="shared" si="15"/>
        <v>0</v>
      </c>
      <c r="K17" s="26">
        <f t="shared" si="3"/>
        <v>0</v>
      </c>
      <c r="L17" s="26"/>
      <c r="M17" s="51">
        <v>0</v>
      </c>
      <c r="N17" s="26">
        <f t="shared" si="4"/>
        <v>0</v>
      </c>
      <c r="O17" s="26">
        <f t="shared" si="5"/>
        <v>0</v>
      </c>
      <c r="P17" s="26"/>
      <c r="Q17" s="51">
        <v>10260</v>
      </c>
      <c r="R17" s="26">
        <f t="shared" si="6"/>
        <v>1083.0865439362308</v>
      </c>
      <c r="S17" s="26">
        <f t="shared" si="7"/>
        <v>11343.086543936231</v>
      </c>
      <c r="T17" s="26"/>
      <c r="U17" s="51">
        <v>0</v>
      </c>
      <c r="V17" s="26">
        <f t="shared" si="8"/>
        <v>0</v>
      </c>
      <c r="W17" s="26">
        <f t="shared" si="9"/>
        <v>0</v>
      </c>
      <c r="X17" s="26"/>
      <c r="Y17" s="51">
        <v>0</v>
      </c>
      <c r="Z17" s="27">
        <f t="shared" si="10"/>
        <v>0</v>
      </c>
      <c r="AA17" s="26">
        <f t="shared" si="11"/>
        <v>0</v>
      </c>
      <c r="AC17" s="26">
        <v>0</v>
      </c>
      <c r="AD17" s="27">
        <f t="shared" si="12"/>
        <v>0</v>
      </c>
      <c r="AE17" s="26">
        <f t="shared" si="13"/>
        <v>0</v>
      </c>
      <c r="AG17" s="28">
        <f t="shared" si="14"/>
        <v>10260</v>
      </c>
      <c r="AH17" s="28">
        <f t="shared" si="14"/>
        <v>1083.0865439362308</v>
      </c>
      <c r="AI17" s="28">
        <f t="shared" si="14"/>
        <v>11343.086543936231</v>
      </c>
      <c r="AK17" s="54"/>
    </row>
    <row r="18" spans="1:38">
      <c r="A18" s="11">
        <v>912</v>
      </c>
      <c r="C18" s="12" t="s">
        <v>39</v>
      </c>
      <c r="E18" s="44">
        <f t="shared" si="0"/>
        <v>0</v>
      </c>
      <c r="F18" s="26">
        <f t="shared" si="1"/>
        <v>0</v>
      </c>
      <c r="G18" s="26">
        <f t="shared" si="2"/>
        <v>0</v>
      </c>
      <c r="H18" s="26"/>
      <c r="I18" s="51">
        <v>0</v>
      </c>
      <c r="J18" s="26">
        <f t="shared" si="15"/>
        <v>0</v>
      </c>
      <c r="K18" s="26">
        <f t="shared" si="3"/>
        <v>0</v>
      </c>
      <c r="L18" s="26"/>
      <c r="M18" s="51">
        <v>0</v>
      </c>
      <c r="N18" s="26">
        <f t="shared" si="4"/>
        <v>0</v>
      </c>
      <c r="O18" s="26">
        <f t="shared" si="5"/>
        <v>0</v>
      </c>
      <c r="P18" s="26"/>
      <c r="Q18" s="51">
        <v>1441</v>
      </c>
      <c r="R18" s="26">
        <f t="shared" si="6"/>
        <v>152.1177105080028</v>
      </c>
      <c r="S18" s="26">
        <f t="shared" si="7"/>
        <v>1593.1177105080028</v>
      </c>
      <c r="T18" s="26"/>
      <c r="U18" s="51">
        <v>0</v>
      </c>
      <c r="V18" s="26">
        <f t="shared" si="8"/>
        <v>0</v>
      </c>
      <c r="W18" s="26">
        <f t="shared" si="9"/>
        <v>0</v>
      </c>
      <c r="X18" s="26"/>
      <c r="Y18" s="51">
        <v>0</v>
      </c>
      <c r="Z18" s="27">
        <f t="shared" si="10"/>
        <v>0</v>
      </c>
      <c r="AA18" s="26">
        <f t="shared" si="11"/>
        <v>0</v>
      </c>
      <c r="AC18" s="26">
        <v>0</v>
      </c>
      <c r="AD18" s="27">
        <f t="shared" si="12"/>
        <v>0</v>
      </c>
      <c r="AE18" s="26">
        <f t="shared" si="13"/>
        <v>0</v>
      </c>
      <c r="AG18" s="28">
        <f t="shared" si="14"/>
        <v>1441</v>
      </c>
      <c r="AH18" s="28">
        <f t="shared" si="14"/>
        <v>152.1177105080028</v>
      </c>
      <c r="AI18" s="28">
        <f t="shared" si="14"/>
        <v>1593.1177105080028</v>
      </c>
      <c r="AK18" s="54"/>
    </row>
    <row r="19" spans="1:38">
      <c r="A19" s="11">
        <v>359</v>
      </c>
      <c r="C19" s="12" t="s">
        <v>46</v>
      </c>
      <c r="E19" s="44">
        <f t="shared" si="0"/>
        <v>15064.887640449439</v>
      </c>
      <c r="F19" s="26">
        <f t="shared" si="1"/>
        <v>2204.6797752808989</v>
      </c>
      <c r="G19" s="26">
        <f>SUM(E19:F19)</f>
        <v>17269.567415730337</v>
      </c>
      <c r="H19" s="26"/>
      <c r="I19" s="51">
        <v>0</v>
      </c>
      <c r="J19" s="26">
        <f t="shared" si="15"/>
        <v>0</v>
      </c>
      <c r="K19" s="26">
        <f>SUM(I19:J19)</f>
        <v>0</v>
      </c>
      <c r="L19" s="26"/>
      <c r="M19" s="51">
        <v>0</v>
      </c>
      <c r="N19" s="26">
        <f t="shared" si="4"/>
        <v>0</v>
      </c>
      <c r="O19" s="26">
        <f>SUM(M19:N19)</f>
        <v>0</v>
      </c>
      <c r="P19" s="26"/>
      <c r="Q19" s="51"/>
      <c r="R19" s="26">
        <f t="shared" si="6"/>
        <v>0</v>
      </c>
      <c r="S19" s="26">
        <f t="shared" si="7"/>
        <v>0</v>
      </c>
      <c r="T19" s="26"/>
      <c r="U19" s="51"/>
      <c r="V19" s="26"/>
      <c r="W19" s="26">
        <f t="shared" si="9"/>
        <v>0</v>
      </c>
      <c r="X19" s="26"/>
      <c r="Y19" s="51"/>
      <c r="Z19" s="27">
        <f t="shared" si="10"/>
        <v>0</v>
      </c>
      <c r="AA19" s="26">
        <f t="shared" si="11"/>
        <v>0</v>
      </c>
      <c r="AC19" s="26"/>
      <c r="AD19" s="27">
        <f t="shared" si="12"/>
        <v>0</v>
      </c>
      <c r="AE19" s="26">
        <f t="shared" si="13"/>
        <v>0</v>
      </c>
      <c r="AG19" s="28">
        <f t="shared" si="14"/>
        <v>15064.887640449439</v>
      </c>
      <c r="AH19" s="28">
        <f t="shared" si="14"/>
        <v>2204.6797752808989</v>
      </c>
      <c r="AI19" s="28">
        <f t="shared" si="14"/>
        <v>17269.567415730337</v>
      </c>
      <c r="AK19" s="54">
        <v>3</v>
      </c>
    </row>
    <row r="20" spans="1:38">
      <c r="A20" s="11">
        <v>460</v>
      </c>
      <c r="C20" s="12" t="s">
        <v>40</v>
      </c>
      <c r="E20" s="44">
        <f t="shared" si="0"/>
        <v>5021.6292134831456</v>
      </c>
      <c r="F20" s="26">
        <f t="shared" si="1"/>
        <v>734.89325842696621</v>
      </c>
      <c r="G20" s="26">
        <f>SUM(E20:F20)</f>
        <v>5756.5224719101116</v>
      </c>
      <c r="H20" s="26"/>
      <c r="I20" s="51">
        <v>31996</v>
      </c>
      <c r="J20" s="26">
        <f t="shared" si="15"/>
        <v>17171.20726008882</v>
      </c>
      <c r="K20" s="26">
        <f>SUM(I20:J20)</f>
        <v>49167.20726008882</v>
      </c>
      <c r="L20" s="26"/>
      <c r="M20" s="51">
        <v>0</v>
      </c>
      <c r="N20" s="26">
        <f t="shared" si="4"/>
        <v>0</v>
      </c>
      <c r="O20" s="26">
        <f>SUM(M20:N20)</f>
        <v>0</v>
      </c>
      <c r="P20" s="26"/>
      <c r="Q20" s="51">
        <v>80691</v>
      </c>
      <c r="R20" s="26">
        <f t="shared" si="6"/>
        <v>8518.063968494971</v>
      </c>
      <c r="S20" s="26">
        <f t="shared" si="7"/>
        <v>89209.063968494971</v>
      </c>
      <c r="T20" s="26"/>
      <c r="U20" s="51"/>
      <c r="V20" s="26"/>
      <c r="W20" s="26">
        <f t="shared" si="9"/>
        <v>0</v>
      </c>
      <c r="X20" s="26"/>
      <c r="Y20" s="51">
        <v>15705</v>
      </c>
      <c r="Z20" s="27">
        <f t="shared" si="10"/>
        <v>4027.0696463993886</v>
      </c>
      <c r="AA20" s="26">
        <f t="shared" si="11"/>
        <v>19732.069646399388</v>
      </c>
      <c r="AC20" s="26">
        <v>167702</v>
      </c>
      <c r="AD20" s="27">
        <f t="shared" si="12"/>
        <v>40432.239911871722</v>
      </c>
      <c r="AE20" s="26">
        <f t="shared" si="13"/>
        <v>208134.23991187173</v>
      </c>
      <c r="AG20" s="28">
        <f t="shared" si="14"/>
        <v>301115.62921348313</v>
      </c>
      <c r="AH20" s="28">
        <f t="shared" si="14"/>
        <v>70883.474045281866</v>
      </c>
      <c r="AI20" s="28">
        <f t="shared" si="14"/>
        <v>371999.10325876501</v>
      </c>
      <c r="AK20" s="54">
        <v>1</v>
      </c>
    </row>
    <row r="21" spans="1:38">
      <c r="A21" s="11" t="s">
        <v>50</v>
      </c>
      <c r="C21" t="s">
        <v>51</v>
      </c>
      <c r="E21" s="44">
        <f t="shared" si="0"/>
        <v>55237.921348314609</v>
      </c>
      <c r="F21" s="26">
        <f t="shared" si="1"/>
        <v>8083.8258426966277</v>
      </c>
      <c r="G21" s="26">
        <f>SUM(E21:F21)</f>
        <v>63321.747191011236</v>
      </c>
      <c r="H21" s="26"/>
      <c r="I21" s="51"/>
      <c r="J21" s="26"/>
      <c r="K21" s="26">
        <f>SUM(I21:J21)</f>
        <v>0</v>
      </c>
      <c r="L21" s="26"/>
      <c r="M21" s="51"/>
      <c r="N21" s="26"/>
      <c r="O21" s="26">
        <f>SUM(M21:N21)</f>
        <v>0</v>
      </c>
      <c r="P21" s="26"/>
      <c r="Q21" s="51"/>
      <c r="R21" s="26">
        <f t="shared" si="6"/>
        <v>0</v>
      </c>
      <c r="S21" s="26">
        <f t="shared" si="7"/>
        <v>0</v>
      </c>
      <c r="T21" s="26"/>
      <c r="U21" s="51"/>
      <c r="V21" s="26"/>
      <c r="W21" s="26">
        <f t="shared" si="9"/>
        <v>0</v>
      </c>
      <c r="X21" s="26"/>
      <c r="Y21" s="51"/>
      <c r="Z21" s="27"/>
      <c r="AA21" s="26">
        <f t="shared" si="11"/>
        <v>0</v>
      </c>
      <c r="AC21" s="26"/>
      <c r="AD21" s="27">
        <f t="shared" si="12"/>
        <v>0</v>
      </c>
      <c r="AE21" s="26">
        <f t="shared" si="13"/>
        <v>0</v>
      </c>
      <c r="AG21" s="28">
        <f t="shared" si="14"/>
        <v>55237.921348314609</v>
      </c>
      <c r="AH21" s="28">
        <f t="shared" si="14"/>
        <v>8083.8258426966277</v>
      </c>
      <c r="AI21" s="28">
        <f t="shared" si="14"/>
        <v>63321.747191011236</v>
      </c>
      <c r="AK21" s="54">
        <v>11</v>
      </c>
    </row>
    <row r="22" spans="1:38">
      <c r="A22" s="11" t="s">
        <v>57</v>
      </c>
      <c r="C22"/>
      <c r="E22" s="44">
        <f t="shared" si="0"/>
        <v>0</v>
      </c>
      <c r="F22" s="26"/>
      <c r="G22" s="26"/>
      <c r="H22" s="26"/>
      <c r="I22" s="51"/>
      <c r="J22" s="26"/>
      <c r="K22" s="26">
        <f>SUM(I22:J22)</f>
        <v>0</v>
      </c>
      <c r="L22" s="26"/>
      <c r="M22" s="51"/>
      <c r="N22" s="26"/>
      <c r="O22" s="26">
        <f>SUM(M22:N22)</f>
        <v>0</v>
      </c>
      <c r="P22" s="26"/>
      <c r="Q22" s="51">
        <v>-5388</v>
      </c>
      <c r="R22" s="26">
        <f t="shared" si="6"/>
        <v>-568.77878155247674</v>
      </c>
      <c r="S22" s="26">
        <f t="shared" si="7"/>
        <v>-5956.7787815524771</v>
      </c>
      <c r="T22" s="26"/>
      <c r="U22" s="51"/>
      <c r="V22" s="26"/>
      <c r="W22" s="26"/>
      <c r="X22" s="26"/>
      <c r="Y22" s="51"/>
      <c r="Z22" s="27"/>
      <c r="AA22" s="26">
        <f t="shared" si="11"/>
        <v>0</v>
      </c>
      <c r="AC22" s="26"/>
      <c r="AD22" s="27"/>
      <c r="AE22" s="26">
        <f t="shared" si="13"/>
        <v>0</v>
      </c>
      <c r="AG22" s="28">
        <f t="shared" si="14"/>
        <v>-5388</v>
      </c>
      <c r="AH22" s="28">
        <f t="shared" si="14"/>
        <v>-568.77878155247674</v>
      </c>
      <c r="AI22" s="28">
        <f t="shared" si="14"/>
        <v>-5956.7787815524771</v>
      </c>
      <c r="AK22" s="54"/>
    </row>
    <row r="23" spans="1:38">
      <c r="A23" s="11" t="s">
        <v>47</v>
      </c>
      <c r="C23" s="12" t="s">
        <v>48</v>
      </c>
      <c r="E23" s="44">
        <f t="shared" si="0"/>
        <v>0</v>
      </c>
      <c r="F23" s="26">
        <f t="shared" si="1"/>
        <v>0</v>
      </c>
      <c r="G23" s="26">
        <f>SUM(E23:F23)</f>
        <v>0</v>
      </c>
      <c r="H23" s="26"/>
      <c r="I23" s="51">
        <v>0</v>
      </c>
      <c r="J23" s="26">
        <f t="shared" si="15"/>
        <v>0</v>
      </c>
      <c r="K23" s="26">
        <f>SUM(I23:J23)</f>
        <v>0</v>
      </c>
      <c r="L23" s="26"/>
      <c r="M23" s="51">
        <v>0</v>
      </c>
      <c r="N23" s="26">
        <f t="shared" si="4"/>
        <v>0</v>
      </c>
      <c r="O23" s="26">
        <f>SUM(M23:N23)</f>
        <v>0</v>
      </c>
      <c r="P23" s="26"/>
      <c r="Q23" s="51"/>
      <c r="R23" s="26"/>
      <c r="S23" s="26"/>
      <c r="T23" s="26"/>
      <c r="U23" s="51"/>
      <c r="V23" s="26"/>
      <c r="W23" s="26"/>
      <c r="X23" s="26"/>
      <c r="Y23" s="51"/>
      <c r="Z23" s="27"/>
      <c r="AA23" s="26"/>
      <c r="AC23" s="26"/>
      <c r="AD23" s="27"/>
      <c r="AE23" s="26"/>
      <c r="AG23" s="28">
        <f t="shared" si="14"/>
        <v>0</v>
      </c>
      <c r="AH23" s="28">
        <f t="shared" si="14"/>
        <v>0</v>
      </c>
      <c r="AI23" s="71">
        <f t="shared" si="14"/>
        <v>0</v>
      </c>
      <c r="AK23" s="54"/>
    </row>
    <row r="24" spans="1:38">
      <c r="E24" s="30"/>
      <c r="F24" s="31"/>
      <c r="G24" s="31"/>
      <c r="I24" s="31"/>
      <c r="J24" s="31"/>
      <c r="K24" s="31"/>
      <c r="M24" s="31"/>
      <c r="N24" s="31"/>
      <c r="O24" s="31"/>
      <c r="Q24" s="31"/>
      <c r="R24" s="31"/>
      <c r="S24" s="31"/>
      <c r="U24" s="31"/>
      <c r="V24" s="31"/>
      <c r="W24" s="31"/>
      <c r="Y24" s="31"/>
      <c r="Z24" s="31"/>
      <c r="AA24" s="31"/>
      <c r="AC24" s="31"/>
      <c r="AD24" s="31"/>
      <c r="AE24" s="31"/>
      <c r="AG24" s="31"/>
      <c r="AH24" s="31"/>
      <c r="AI24" s="31"/>
      <c r="AK24" s="12">
        <f>SUM(AK8:AK23)</f>
        <v>178</v>
      </c>
      <c r="AL24" s="54">
        <f>1141473-247623</f>
        <v>893850</v>
      </c>
    </row>
    <row r="25" spans="1:38">
      <c r="C25" s="32" t="s">
        <v>10</v>
      </c>
      <c r="E25" s="26">
        <f>SUM(E8:E24)</f>
        <v>893850.00000000012</v>
      </c>
      <c r="F25" s="52">
        <f>131251-440</f>
        <v>130811</v>
      </c>
      <c r="G25" s="33">
        <f>SUM(G8:G23)</f>
        <v>1024660.9999999999</v>
      </c>
      <c r="H25" s="33"/>
      <c r="I25" s="26">
        <f>SUM(I8:I24)</f>
        <v>51790</v>
      </c>
      <c r="J25" s="52">
        <f>28776-982</f>
        <v>27794</v>
      </c>
      <c r="K25" s="33">
        <f>SUM(K8:K23)</f>
        <v>79584</v>
      </c>
      <c r="L25" s="33"/>
      <c r="M25" s="33">
        <f>SUM(M8:M23)</f>
        <v>107805</v>
      </c>
      <c r="N25" s="52">
        <f>26644-876</f>
        <v>25768</v>
      </c>
      <c r="O25" s="33">
        <f>SUM(O8:O23)</f>
        <v>133573</v>
      </c>
      <c r="P25" s="33"/>
      <c r="Q25" s="33">
        <f>SUM(Q8:Q23)</f>
        <v>316140</v>
      </c>
      <c r="R25" s="52">
        <f>36538-3165</f>
        <v>33373</v>
      </c>
      <c r="S25" s="33">
        <f>SUM(S8:S23)</f>
        <v>349513</v>
      </c>
      <c r="T25" s="33"/>
      <c r="U25" s="33">
        <f>SUM(U8:U23)</f>
        <v>12140</v>
      </c>
      <c r="V25" s="52">
        <f>2202-82</f>
        <v>2120</v>
      </c>
      <c r="W25" s="33">
        <f>SUM(W8:W23)</f>
        <v>14260</v>
      </c>
      <c r="X25" s="33"/>
      <c r="Y25" s="26">
        <f>SUM(Y8:Y24)</f>
        <v>54949</v>
      </c>
      <c r="Z25" s="52">
        <f>15438-1348</f>
        <v>14090</v>
      </c>
      <c r="AA25" s="33">
        <f>SUM(AA8:AA23)</f>
        <v>69039</v>
      </c>
      <c r="AB25" s="33"/>
      <c r="AC25" s="26">
        <f>SUM(AC8:AC24)</f>
        <v>875088</v>
      </c>
      <c r="AD25" s="52">
        <f>218231-7251</f>
        <v>210980</v>
      </c>
      <c r="AE25" s="33">
        <f>SUM(AE8:AE23)</f>
        <v>1086068</v>
      </c>
      <c r="AF25" s="33"/>
      <c r="AG25" s="33">
        <f>SUM(AG8:AG23)</f>
        <v>2311762</v>
      </c>
      <c r="AH25" s="33">
        <f>SUM(AH8:AH23)</f>
        <v>444936</v>
      </c>
      <c r="AI25" s="33">
        <f>SUM(AI8:AI23)</f>
        <v>2756698.0000000005</v>
      </c>
      <c r="AJ25" s="33">
        <f>AA25+W25+S25+K25+G25+O25+AE25</f>
        <v>2756698</v>
      </c>
    </row>
    <row r="27" spans="1:38">
      <c r="I27" s="33">
        <f>SUM(ABS(I8)+ABS(I9)+ABS(I10)+ABS(I20))</f>
        <v>51790</v>
      </c>
      <c r="J27" s="34"/>
      <c r="Q27" s="51"/>
    </row>
    <row r="28" spans="1:38">
      <c r="F28" s="26">
        <f>SUM(F8:F23)</f>
        <v>130810.99999999994</v>
      </c>
      <c r="G28" s="33"/>
      <c r="H28" s="33"/>
      <c r="I28" s="33"/>
      <c r="J28" s="26">
        <f>SUM(J8:J23)</f>
        <v>27794</v>
      </c>
      <c r="K28" s="33"/>
      <c r="L28" s="33"/>
      <c r="M28" s="33"/>
      <c r="N28" s="26">
        <f>SUM(N8:N23)</f>
        <v>25768</v>
      </c>
      <c r="O28" s="33"/>
      <c r="P28" s="33"/>
      <c r="Q28" s="33"/>
      <c r="R28" s="26">
        <f>SUM(R8:R23)</f>
        <v>33373</v>
      </c>
      <c r="S28" s="33"/>
      <c r="T28" s="33"/>
      <c r="U28" s="33"/>
      <c r="V28" s="26">
        <f>SUM(V8:V23)</f>
        <v>2120</v>
      </c>
      <c r="W28" s="33"/>
      <c r="X28" s="33"/>
      <c r="Y28" s="26"/>
      <c r="Z28" s="26">
        <f>SUM(Z8:Z23)</f>
        <v>14090</v>
      </c>
      <c r="AA28" s="33"/>
      <c r="AB28" s="33"/>
      <c r="AC28" s="26"/>
      <c r="AD28" s="26">
        <f>SUM(AD8:AD23)</f>
        <v>210980</v>
      </c>
      <c r="AE28" s="33"/>
      <c r="AF28" s="33"/>
      <c r="AG28" s="33"/>
      <c r="AH28" s="33"/>
    </row>
    <row r="29" spans="1:38">
      <c r="U29" s="35"/>
      <c r="V29" s="36"/>
      <c r="W29" s="36"/>
      <c r="X29" s="35"/>
      <c r="Y29" s="37"/>
      <c r="Z29" s="38"/>
      <c r="AC29" s="37"/>
      <c r="AD29" s="38"/>
    </row>
    <row r="30" spans="1:38">
      <c r="U30" s="35"/>
      <c r="V30" s="36"/>
      <c r="W30" s="36"/>
      <c r="X30" s="35"/>
      <c r="Y30" s="37"/>
      <c r="Z30" s="38"/>
      <c r="AC30" s="37"/>
      <c r="AD30" s="38"/>
    </row>
    <row r="31" spans="1:38">
      <c r="T31" s="39"/>
      <c r="U31" s="40"/>
      <c r="V31" s="40"/>
      <c r="W31" s="40"/>
      <c r="X31" s="40"/>
      <c r="Y31" s="40"/>
      <c r="Z31" s="40"/>
      <c r="AC31" s="40"/>
      <c r="AD31" s="40"/>
    </row>
    <row r="32" spans="1:38">
      <c r="T32" s="39"/>
      <c r="U32" s="41"/>
      <c r="V32" s="40"/>
      <c r="W32" s="40"/>
      <c r="X32" s="41"/>
      <c r="Y32" s="42"/>
      <c r="Z32" s="43"/>
      <c r="AA32" s="44"/>
      <c r="AC32" s="42"/>
      <c r="AD32" s="43"/>
      <c r="AE32" s="44"/>
      <c r="AG32" s="45"/>
    </row>
    <row r="33" spans="1:33">
      <c r="T33" s="39"/>
      <c r="U33" s="41"/>
      <c r="V33" s="40"/>
      <c r="W33" s="40"/>
      <c r="X33" s="41"/>
      <c r="Y33" s="42"/>
      <c r="Z33" s="43"/>
      <c r="AA33" s="44"/>
      <c r="AC33" s="42"/>
      <c r="AD33" s="43"/>
      <c r="AE33" s="44"/>
      <c r="AG33" s="45"/>
    </row>
    <row r="34" spans="1:33">
      <c r="T34" s="39"/>
      <c r="U34" s="41"/>
      <c r="V34" s="40"/>
      <c r="W34" s="40"/>
      <c r="X34" s="41"/>
      <c r="Y34" s="42"/>
      <c r="Z34" s="43"/>
      <c r="AA34" s="44"/>
      <c r="AC34" s="42"/>
      <c r="AD34" s="43"/>
      <c r="AE34" s="44"/>
      <c r="AG34" s="45"/>
    </row>
    <row r="35" spans="1:33">
      <c r="T35" s="46"/>
      <c r="U35" s="40"/>
      <c r="V35" s="40"/>
      <c r="W35" s="40"/>
      <c r="X35" s="41"/>
      <c r="Y35" s="42"/>
      <c r="Z35" s="43"/>
      <c r="AA35" s="44"/>
      <c r="AC35" s="42"/>
      <c r="AD35" s="43"/>
      <c r="AE35" s="44"/>
      <c r="AG35" s="45"/>
    </row>
    <row r="36" spans="1:33">
      <c r="U36" s="40"/>
      <c r="V36" s="47"/>
      <c r="W36" s="40"/>
      <c r="X36" s="40"/>
      <c r="Y36" s="48"/>
      <c r="Z36" s="49"/>
      <c r="AA36" s="50"/>
      <c r="AC36" s="48"/>
      <c r="AD36" s="49"/>
      <c r="AE36" s="50"/>
      <c r="AG36" s="45"/>
    </row>
    <row r="38" spans="1:33">
      <c r="A38" s="12"/>
    </row>
    <row r="39" spans="1:33">
      <c r="A39" s="12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9"/>
  <sheetViews>
    <sheetView topLeftCell="A28" workbookViewId="0">
      <selection activeCell="C50" sqref="C50"/>
    </sheetView>
  </sheetViews>
  <sheetFormatPr defaultRowHeight="12.75"/>
  <cols>
    <col min="1" max="1" width="14.42578125" customWidth="1"/>
    <col min="2" max="2" width="59.42578125" customWidth="1"/>
    <col min="3" max="3" width="29.85546875" style="1" customWidth="1"/>
    <col min="7" max="9" width="9.140625" style="94"/>
  </cols>
  <sheetData>
    <row r="1" spans="1:17" ht="65.25" customHeight="1">
      <c r="C1" s="4" t="s">
        <v>0</v>
      </c>
    </row>
    <row r="2" spans="1:17" ht="15.75">
      <c r="B2" s="3" t="s">
        <v>1</v>
      </c>
      <c r="C2"/>
    </row>
    <row r="3" spans="1:17" ht="15.75">
      <c r="B3" s="3" t="s">
        <v>2</v>
      </c>
    </row>
    <row r="4" spans="1:17" ht="15.75">
      <c r="B4" s="3" t="s">
        <v>3</v>
      </c>
    </row>
    <row r="5" spans="1:17" ht="35.25" customHeight="1">
      <c r="B5" s="3" t="s">
        <v>54</v>
      </c>
    </row>
    <row r="6" spans="1:17" ht="35.25" customHeight="1">
      <c r="B6" s="2"/>
    </row>
    <row r="7" spans="1:17">
      <c r="B7" s="2"/>
    </row>
    <row r="8" spans="1:17" s="7" customFormat="1" ht="15">
      <c r="A8" s="5" t="s">
        <v>82</v>
      </c>
      <c r="B8" s="5"/>
      <c r="C8" s="68" t="str">
        <f>+'Co 359 Invoice'!C8</f>
        <v>3/2000</v>
      </c>
      <c r="G8" s="95"/>
      <c r="H8" s="95"/>
      <c r="I8" s="95"/>
    </row>
    <row r="9" spans="1:17" s="7" customFormat="1" ht="15">
      <c r="A9" s="7" t="s">
        <v>81</v>
      </c>
      <c r="B9" s="5"/>
      <c r="C9" s="6"/>
      <c r="G9" s="95"/>
      <c r="H9" s="95"/>
      <c r="I9" s="95"/>
    </row>
    <row r="10" spans="1:17" s="7" customFormat="1" ht="41.25" customHeight="1" thickBot="1">
      <c r="B10" s="86"/>
      <c r="C10" s="6"/>
      <c r="G10" s="95"/>
      <c r="H10" s="95"/>
      <c r="I10" s="95"/>
    </row>
    <row r="11" spans="1:17" s="7" customFormat="1" ht="22.5" customHeight="1" thickBot="1">
      <c r="A11" s="74" t="s">
        <v>4</v>
      </c>
      <c r="B11" s="75"/>
      <c r="C11" s="8" t="s">
        <v>5</v>
      </c>
      <c r="G11" s="95"/>
      <c r="H11" s="96"/>
      <c r="I11" s="97"/>
      <c r="J11" s="90"/>
      <c r="K11" s="90"/>
      <c r="L11" s="90"/>
      <c r="M11" s="90"/>
      <c r="N11" s="90"/>
      <c r="O11" s="90"/>
      <c r="P11" s="90"/>
      <c r="Q11" s="90"/>
    </row>
    <row r="12" spans="1:17" s="7" customFormat="1" ht="18.75" hidden="1" customHeight="1">
      <c r="A12" s="76" t="s">
        <v>71</v>
      </c>
      <c r="B12" s="77"/>
      <c r="C12" s="56"/>
      <c r="G12" s="98"/>
      <c r="H12" s="98"/>
      <c r="I12" s="99"/>
      <c r="J12" s="90"/>
      <c r="K12" s="90"/>
      <c r="L12" s="90"/>
      <c r="M12" s="90"/>
      <c r="N12" s="90"/>
      <c r="O12" s="90"/>
      <c r="P12" s="90"/>
      <c r="Q12" s="90"/>
    </row>
    <row r="13" spans="1:17" s="7" customFormat="1" ht="20.25" hidden="1" customHeight="1">
      <c r="A13" s="9" t="s">
        <v>72</v>
      </c>
      <c r="B13" s="10"/>
      <c r="C13" s="84"/>
      <c r="G13" s="90"/>
      <c r="H13" s="90"/>
      <c r="I13" s="100"/>
      <c r="J13" s="90"/>
      <c r="K13" s="90"/>
      <c r="L13" s="90"/>
      <c r="M13" s="90"/>
      <c r="N13" s="90"/>
      <c r="O13" s="90"/>
      <c r="P13" s="90"/>
      <c r="Q13" s="90"/>
    </row>
    <row r="14" spans="1:17" s="7" customFormat="1" ht="20.25" hidden="1" customHeight="1">
      <c r="A14" s="85" t="s">
        <v>68</v>
      </c>
      <c r="B14" s="111"/>
      <c r="C14" s="112">
        <f>SUM(C12:C13)</f>
        <v>0</v>
      </c>
      <c r="G14" s="90"/>
      <c r="H14" s="90"/>
      <c r="I14" s="100"/>
      <c r="J14" s="90"/>
      <c r="K14" s="90"/>
      <c r="L14" s="90"/>
      <c r="M14" s="90"/>
      <c r="N14" s="90"/>
      <c r="O14" s="90"/>
      <c r="P14" s="90"/>
      <c r="Q14" s="90"/>
    </row>
    <row r="15" spans="1:17" s="7" customFormat="1" ht="20.25" hidden="1" customHeight="1">
      <c r="A15" s="9"/>
      <c r="B15" s="10"/>
      <c r="C15" s="56"/>
      <c r="G15" s="90"/>
      <c r="H15" s="90"/>
      <c r="I15" s="100"/>
      <c r="J15" s="90"/>
      <c r="K15" s="90"/>
      <c r="L15" s="90"/>
      <c r="M15" s="90"/>
      <c r="N15" s="90"/>
      <c r="O15" s="90"/>
      <c r="P15" s="90"/>
      <c r="Q15" s="90"/>
    </row>
    <row r="16" spans="1:17" s="7" customFormat="1" ht="20.25" hidden="1" customHeight="1">
      <c r="A16" s="9"/>
      <c r="C16" s="87"/>
      <c r="G16" s="90"/>
      <c r="H16" s="90"/>
      <c r="I16" s="100"/>
      <c r="J16" s="90"/>
      <c r="K16" s="90"/>
      <c r="L16" s="90"/>
      <c r="M16" s="90"/>
      <c r="N16" s="90"/>
      <c r="O16" s="90"/>
      <c r="P16" s="90"/>
      <c r="Q16" s="90"/>
    </row>
    <row r="17" spans="1:17" s="7" customFormat="1" ht="20.25" customHeight="1">
      <c r="A17" s="9" t="s">
        <v>92</v>
      </c>
      <c r="C17" s="159"/>
      <c r="G17" s="90"/>
      <c r="H17" s="90"/>
      <c r="I17" s="100"/>
      <c r="J17" s="90"/>
      <c r="K17" s="90"/>
      <c r="L17" s="90"/>
      <c r="M17" s="90"/>
      <c r="N17" s="90"/>
      <c r="O17" s="90"/>
      <c r="P17" s="90"/>
      <c r="Q17" s="90"/>
    </row>
    <row r="18" spans="1:17" s="7" customFormat="1" ht="20.25" customHeight="1" thickBot="1">
      <c r="A18" s="9" t="s">
        <v>93</v>
      </c>
      <c r="C18" s="160"/>
      <c r="G18" s="90"/>
      <c r="H18" s="90"/>
      <c r="I18" s="100"/>
      <c r="J18" s="90"/>
      <c r="K18" s="90"/>
      <c r="L18" s="90"/>
      <c r="M18" s="90"/>
      <c r="N18" s="90"/>
      <c r="O18" s="90"/>
      <c r="P18" s="90"/>
      <c r="Q18" s="90"/>
    </row>
    <row r="19" spans="1:17" s="7" customFormat="1" ht="20.25" customHeight="1" thickTop="1">
      <c r="A19" s="85" t="s">
        <v>90</v>
      </c>
      <c r="C19" s="161">
        <f>SUM(C17:C18)</f>
        <v>0</v>
      </c>
      <c r="G19" s="90"/>
      <c r="H19" s="90"/>
      <c r="I19" s="100"/>
      <c r="J19" s="90"/>
      <c r="K19" s="90"/>
      <c r="L19" s="90"/>
      <c r="M19" s="90"/>
      <c r="N19" s="90"/>
      <c r="O19" s="90"/>
      <c r="P19" s="90"/>
      <c r="Q19" s="90"/>
    </row>
    <row r="20" spans="1:17" s="7" customFormat="1" ht="20.25" customHeight="1">
      <c r="A20" s="9"/>
      <c r="C20" s="159"/>
      <c r="G20" s="90"/>
      <c r="H20" s="90"/>
      <c r="I20" s="100"/>
      <c r="J20" s="90"/>
      <c r="K20" s="90"/>
      <c r="L20" s="90"/>
      <c r="M20" s="90"/>
      <c r="N20" s="90"/>
      <c r="O20" s="90"/>
      <c r="P20" s="90"/>
      <c r="Q20" s="90"/>
    </row>
    <row r="21" spans="1:17" s="7" customFormat="1" ht="20.25" customHeight="1">
      <c r="A21" s="9" t="s">
        <v>94</v>
      </c>
      <c r="B21" s="10"/>
      <c r="C21" s="162"/>
      <c r="G21" s="90"/>
      <c r="H21" s="90"/>
      <c r="I21" s="100"/>
      <c r="J21" s="90"/>
      <c r="K21" s="90"/>
      <c r="L21" s="90"/>
      <c r="M21" s="90"/>
      <c r="N21" s="90"/>
      <c r="O21" s="90"/>
      <c r="P21" s="90"/>
      <c r="Q21" s="90"/>
    </row>
    <row r="22" spans="1:17" s="7" customFormat="1" ht="20.25" customHeight="1" thickBot="1">
      <c r="A22" s="9" t="s">
        <v>95</v>
      </c>
      <c r="B22" s="10"/>
      <c r="C22" s="163"/>
      <c r="G22" s="95"/>
      <c r="H22" s="95"/>
      <c r="I22" s="100"/>
      <c r="J22" s="90"/>
      <c r="K22" s="90"/>
      <c r="L22" s="90"/>
      <c r="M22" s="90"/>
      <c r="N22" s="90"/>
      <c r="O22" s="90"/>
      <c r="P22" s="90"/>
      <c r="Q22" s="90"/>
    </row>
    <row r="23" spans="1:17" s="7" customFormat="1" ht="20.25" customHeight="1" thickTop="1">
      <c r="A23" s="85" t="s">
        <v>91</v>
      </c>
      <c r="B23" s="90"/>
      <c r="C23" s="134">
        <f>SUM(C21:C22)</f>
        <v>0</v>
      </c>
      <c r="G23" s="95"/>
      <c r="H23" s="95"/>
      <c r="I23" s="100"/>
      <c r="J23" s="90"/>
      <c r="K23" s="90"/>
      <c r="L23" s="90"/>
      <c r="M23" s="90"/>
      <c r="N23" s="90"/>
      <c r="O23" s="90"/>
      <c r="P23" s="90"/>
      <c r="Q23" s="90"/>
    </row>
    <row r="24" spans="1:17" s="7" customFormat="1" ht="20.25" customHeight="1">
      <c r="A24" s="85"/>
      <c r="B24" s="10"/>
      <c r="C24" s="56"/>
      <c r="G24" s="95"/>
      <c r="H24" s="95"/>
      <c r="I24" s="100"/>
      <c r="J24" s="90"/>
      <c r="K24" s="90"/>
      <c r="L24" s="90"/>
      <c r="M24" s="90"/>
      <c r="N24" s="90"/>
      <c r="O24" s="90"/>
      <c r="P24" s="90"/>
      <c r="Q24" s="90"/>
    </row>
    <row r="25" spans="1:17" s="7" customFormat="1" ht="20.25" customHeight="1">
      <c r="A25" s="9" t="s">
        <v>76</v>
      </c>
      <c r="B25" s="10"/>
      <c r="C25" s="56"/>
      <c r="G25" s="95"/>
      <c r="H25" s="95"/>
      <c r="I25" s="100"/>
      <c r="J25" s="90"/>
      <c r="K25" s="90"/>
      <c r="L25" s="90"/>
      <c r="M25" s="90"/>
      <c r="N25" s="90"/>
      <c r="O25" s="90"/>
      <c r="P25" s="90"/>
      <c r="Q25" s="90"/>
    </row>
    <row r="26" spans="1:17" s="7" customFormat="1" ht="20.25" customHeight="1" thickBot="1">
      <c r="A26" s="9" t="s">
        <v>72</v>
      </c>
      <c r="B26" s="10"/>
      <c r="C26" s="84"/>
      <c r="G26" s="95"/>
      <c r="H26" s="95"/>
      <c r="I26" s="100"/>
    </row>
    <row r="27" spans="1:17" s="7" customFormat="1" ht="20.25" customHeight="1" thickTop="1">
      <c r="A27" s="85" t="s">
        <v>70</v>
      </c>
      <c r="B27" s="111"/>
      <c r="C27" s="112">
        <f>SUM(C25:C26)</f>
        <v>0</v>
      </c>
      <c r="G27" s="95"/>
      <c r="H27" s="95"/>
      <c r="I27" s="100"/>
    </row>
    <row r="28" spans="1:17" s="7" customFormat="1" ht="20.25" customHeight="1">
      <c r="A28" s="9"/>
      <c r="B28" s="10"/>
      <c r="C28" s="56"/>
      <c r="G28" s="95"/>
      <c r="H28" s="95"/>
      <c r="I28" s="100"/>
    </row>
    <row r="29" spans="1:17" s="7" customFormat="1" ht="20.25" customHeight="1">
      <c r="A29" s="9"/>
      <c r="B29" s="10"/>
      <c r="C29" s="56"/>
      <c r="G29" s="95"/>
      <c r="H29" s="95"/>
      <c r="I29" s="100"/>
    </row>
    <row r="30" spans="1:17" s="7" customFormat="1" ht="21.75" customHeight="1">
      <c r="A30" s="9"/>
      <c r="B30" s="10"/>
      <c r="C30" s="56"/>
      <c r="G30" s="95"/>
      <c r="H30" s="101"/>
      <c r="I30" s="102"/>
    </row>
    <row r="31" spans="1:17" s="7" customFormat="1" ht="21.75" customHeight="1">
      <c r="A31" s="9"/>
      <c r="B31" s="10"/>
      <c r="C31" s="56"/>
      <c r="G31" s="95"/>
      <c r="H31" s="101"/>
      <c r="I31" s="102"/>
    </row>
    <row r="32" spans="1:17" s="7" customFormat="1" ht="21.75" customHeight="1">
      <c r="A32" s="9"/>
      <c r="B32" s="113" t="s">
        <v>6</v>
      </c>
      <c r="C32" s="164">
        <f>C27+C23+C19+C14</f>
        <v>0</v>
      </c>
      <c r="G32" s="95"/>
      <c r="H32" s="103"/>
      <c r="I32" s="102"/>
    </row>
    <row r="33" spans="1:9" s="7" customFormat="1" ht="21.75" customHeight="1">
      <c r="A33" s="9"/>
      <c r="B33" s="78" t="s">
        <v>7</v>
      </c>
      <c r="C33" s="162"/>
      <c r="G33" s="95"/>
      <c r="H33" s="95"/>
      <c r="I33" s="97"/>
    </row>
    <row r="34" spans="1:9" s="7" customFormat="1" ht="21.75" customHeight="1" thickBot="1">
      <c r="A34" s="9"/>
      <c r="B34" s="78" t="s">
        <v>8</v>
      </c>
      <c r="C34" s="162"/>
      <c r="G34" s="95"/>
      <c r="H34" s="95"/>
      <c r="I34" s="95"/>
    </row>
    <row r="35" spans="1:9" s="7" customFormat="1" ht="21.75" customHeight="1">
      <c r="A35" s="59"/>
      <c r="B35" s="110" t="s">
        <v>9</v>
      </c>
      <c r="C35" s="165">
        <f>C34+C33+C32</f>
        <v>0</v>
      </c>
      <c r="G35" s="95"/>
      <c r="H35" s="95"/>
      <c r="I35" s="95"/>
    </row>
    <row r="36" spans="1:9" s="7" customFormat="1" ht="21.75" customHeight="1">
      <c r="A36" s="9"/>
      <c r="C36" s="57"/>
      <c r="G36" s="95"/>
      <c r="H36" s="95"/>
      <c r="I36" s="95"/>
    </row>
    <row r="37" spans="1:9" s="7" customFormat="1" ht="14.25">
      <c r="A37" s="90"/>
      <c r="B37" s="90"/>
      <c r="C37" s="93"/>
    </row>
    <row r="38" spans="1:9" s="7" customFormat="1" ht="14.25">
      <c r="A38" s="90"/>
      <c r="B38" s="90"/>
      <c r="C38" s="93"/>
    </row>
    <row r="39" spans="1:9" s="7" customFormat="1" ht="14.25">
      <c r="A39" s="90"/>
      <c r="B39" s="90"/>
      <c r="C39" s="93"/>
    </row>
    <row r="40" spans="1:9" s="7" customFormat="1" ht="14.25">
      <c r="A40" s="90"/>
      <c r="B40" s="90"/>
      <c r="C40" s="93"/>
    </row>
    <row r="41" spans="1:9" s="7" customFormat="1" ht="14.25">
      <c r="A41" s="90"/>
      <c r="B41" s="90"/>
      <c r="C41" s="93"/>
    </row>
    <row r="42" spans="1:9" s="7" customFormat="1" ht="14.25">
      <c r="A42" s="90"/>
      <c r="B42" s="90"/>
      <c r="C42" s="93"/>
    </row>
    <row r="43" spans="1:9" s="7" customFormat="1" ht="14.25">
      <c r="A43" s="90"/>
      <c r="B43" s="90"/>
      <c r="C43" s="93"/>
    </row>
    <row r="44" spans="1:9" s="7" customFormat="1" ht="14.25">
      <c r="A44" s="90"/>
      <c r="B44" s="90"/>
      <c r="C44" s="93"/>
    </row>
    <row r="45" spans="1:9" s="7" customFormat="1" ht="14.25">
      <c r="A45" s="90"/>
      <c r="B45" s="90"/>
      <c r="C45" s="91"/>
      <c r="G45" s="95"/>
      <c r="H45" s="95"/>
      <c r="I45" s="95"/>
    </row>
    <row r="46" spans="1:9" s="7" customFormat="1" ht="14.25">
      <c r="A46" s="90"/>
      <c r="B46" s="90"/>
      <c r="C46" s="91"/>
      <c r="G46" s="95"/>
      <c r="H46" s="95"/>
      <c r="I46" s="95"/>
    </row>
    <row r="47" spans="1:9" s="7" customFormat="1" ht="14.25">
      <c r="A47" s="90"/>
      <c r="B47" s="90"/>
      <c r="C47" s="91"/>
      <c r="G47" s="95"/>
      <c r="H47" s="95"/>
      <c r="I47" s="95"/>
    </row>
    <row r="48" spans="1:9" s="7" customFormat="1" ht="14.25">
      <c r="A48" s="90"/>
      <c r="B48" s="90"/>
      <c r="C48" s="91"/>
      <c r="G48" s="95"/>
      <c r="H48" s="95"/>
      <c r="I48" s="95"/>
    </row>
    <row r="49" spans="1:9" s="7" customFormat="1" ht="14.25">
      <c r="C49" s="6"/>
      <c r="G49" s="95"/>
      <c r="H49" s="95"/>
      <c r="I49" s="95"/>
    </row>
    <row r="50" spans="1:9" s="7" customFormat="1" ht="14.25">
      <c r="C50" s="6"/>
      <c r="G50" s="95"/>
      <c r="H50" s="95"/>
      <c r="I50" s="95"/>
    </row>
    <row r="51" spans="1:9" s="7" customFormat="1" ht="14.25">
      <c r="C51" s="6"/>
      <c r="G51" s="95"/>
      <c r="H51" s="95"/>
      <c r="I51" s="95"/>
    </row>
    <row r="52" spans="1:9" s="7" customFormat="1" ht="14.25">
      <c r="C52" s="6"/>
      <c r="G52" s="95"/>
      <c r="H52" s="95"/>
      <c r="I52" s="95"/>
    </row>
    <row r="53" spans="1:9" s="7" customFormat="1" ht="14.25">
      <c r="C53" s="6"/>
      <c r="G53" s="95"/>
      <c r="H53" s="95"/>
      <c r="I53" s="95"/>
    </row>
    <row r="54" spans="1:9" s="7" customFormat="1" ht="14.25">
      <c r="C54" s="6"/>
      <c r="G54" s="95"/>
      <c r="H54" s="95"/>
      <c r="I54" s="95"/>
    </row>
    <row r="55" spans="1:9" s="7" customFormat="1" ht="14.25">
      <c r="C55" s="6"/>
      <c r="G55" s="95"/>
      <c r="H55" s="95"/>
      <c r="I55" s="95"/>
    </row>
    <row r="56" spans="1:9" s="7" customFormat="1" ht="14.25">
      <c r="C56" s="6"/>
      <c r="G56" s="95"/>
      <c r="H56" s="95"/>
      <c r="I56" s="95"/>
    </row>
    <row r="57" spans="1:9" s="7" customFormat="1" ht="14.25">
      <c r="C57" s="6"/>
      <c r="G57" s="95"/>
      <c r="H57" s="95"/>
      <c r="I57" s="95"/>
    </row>
    <row r="58" spans="1:9" s="7" customFormat="1" ht="14.25">
      <c r="C58" s="6"/>
      <c r="G58" s="95"/>
      <c r="H58" s="95"/>
      <c r="I58" s="95"/>
    </row>
    <row r="59" spans="1:9" s="7" customFormat="1" ht="14.25">
      <c r="C59" s="6"/>
      <c r="G59" s="95"/>
      <c r="H59" s="95"/>
      <c r="I59" s="95"/>
    </row>
    <row r="60" spans="1:9" s="7" customFormat="1" ht="14.25">
      <c r="C60" s="6"/>
      <c r="G60" s="95"/>
      <c r="H60" s="95"/>
      <c r="I60" s="95"/>
    </row>
    <row r="61" spans="1:9" s="7" customFormat="1" ht="14.25">
      <c r="C61" s="6"/>
      <c r="G61" s="95"/>
      <c r="H61" s="95"/>
      <c r="I61" s="95"/>
    </row>
    <row r="62" spans="1:9" s="7" customFormat="1" ht="14.25">
      <c r="A62"/>
      <c r="B62"/>
      <c r="C62" s="1"/>
      <c r="G62" s="95"/>
      <c r="H62" s="95"/>
      <c r="I62" s="95"/>
    </row>
    <row r="63" spans="1:9" s="7" customFormat="1" ht="14.25">
      <c r="A63"/>
      <c r="B63"/>
      <c r="C63" s="1"/>
      <c r="G63" s="95"/>
      <c r="H63" s="95"/>
      <c r="I63" s="95"/>
    </row>
    <row r="64" spans="1:9" s="7" customFormat="1" ht="14.25">
      <c r="A64"/>
      <c r="B64"/>
      <c r="C64" s="1"/>
      <c r="G64" s="95"/>
      <c r="H64" s="95"/>
      <c r="I64" s="95"/>
    </row>
    <row r="65" spans="1:9" s="7" customFormat="1" ht="14.25">
      <c r="A65"/>
      <c r="B65"/>
      <c r="C65" s="1"/>
      <c r="G65" s="95"/>
      <c r="H65" s="95"/>
      <c r="I65" s="95"/>
    </row>
    <row r="66" spans="1:9" s="7" customFormat="1" ht="14.25">
      <c r="A66"/>
      <c r="B66"/>
      <c r="C66" s="1"/>
      <c r="G66" s="95"/>
      <c r="H66" s="95"/>
      <c r="I66" s="95"/>
    </row>
    <row r="67" spans="1:9" s="7" customFormat="1" ht="14.25">
      <c r="A67"/>
      <c r="B67"/>
      <c r="C67" s="1"/>
      <c r="G67" s="95"/>
      <c r="H67" s="95"/>
      <c r="I67" s="95"/>
    </row>
    <row r="68" spans="1:9" s="7" customFormat="1" ht="14.25">
      <c r="A68"/>
      <c r="B68"/>
      <c r="C68" s="1"/>
      <c r="G68" s="95"/>
      <c r="H68" s="95"/>
      <c r="I68" s="95"/>
    </row>
    <row r="69" spans="1:9" s="7" customFormat="1" ht="14.25">
      <c r="A69"/>
      <c r="B69"/>
      <c r="C69" s="1"/>
      <c r="G69" s="95"/>
      <c r="H69" s="95"/>
      <c r="I69" s="95"/>
    </row>
  </sheetData>
  <pageMargins left="0.75" right="0.75" top="1" bottom="1" header="0.5" footer="0.5"/>
  <pageSetup scale="60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C22" sqref="C22"/>
    </sheetView>
  </sheetViews>
  <sheetFormatPr defaultRowHeight="12.75"/>
  <cols>
    <col min="1" max="1" width="13" customWidth="1"/>
    <col min="3" max="3" width="37.140625" customWidth="1"/>
    <col min="4" max="4" width="10.5703125" customWidth="1"/>
  </cols>
  <sheetData>
    <row r="1" spans="1:4" ht="20.25">
      <c r="A1" s="278" t="s">
        <v>290</v>
      </c>
      <c r="B1" s="279"/>
      <c r="C1" s="280"/>
    </row>
    <row r="2" spans="1:4">
      <c r="A2" s="281" t="s">
        <v>291</v>
      </c>
      <c r="B2" s="280"/>
      <c r="C2" s="280"/>
    </row>
    <row r="3" spans="1:4" ht="13.5">
      <c r="A3" s="282"/>
      <c r="B3" s="280"/>
      <c r="C3" s="280"/>
      <c r="D3" s="272" t="s">
        <v>289</v>
      </c>
    </row>
    <row r="4" spans="1:4" ht="13.5">
      <c r="A4" s="283" t="s">
        <v>292</v>
      </c>
      <c r="B4" s="283" t="s">
        <v>293</v>
      </c>
      <c r="C4" s="283" t="s">
        <v>294</v>
      </c>
      <c r="D4" s="273" t="s">
        <v>34</v>
      </c>
    </row>
    <row r="5" spans="1:4">
      <c r="A5" s="279"/>
      <c r="B5" s="284"/>
      <c r="C5" s="284"/>
      <c r="D5" s="274"/>
    </row>
    <row r="6" spans="1:4">
      <c r="A6" s="285" t="s">
        <v>295</v>
      </c>
      <c r="B6" s="280"/>
      <c r="C6" s="280"/>
      <c r="D6" s="276"/>
    </row>
    <row r="7" spans="1:4">
      <c r="A7" s="286" t="s">
        <v>296</v>
      </c>
      <c r="B7" s="280" t="s">
        <v>297</v>
      </c>
      <c r="C7" s="288" t="s">
        <v>298</v>
      </c>
      <c r="D7" s="227">
        <v>34695.090429999997</v>
      </c>
    </row>
    <row r="8" spans="1:4">
      <c r="A8" s="287" t="s">
        <v>303</v>
      </c>
      <c r="B8" s="280" t="s">
        <v>297</v>
      </c>
      <c r="C8" s="288" t="s">
        <v>298</v>
      </c>
      <c r="D8" s="227">
        <v>31572</v>
      </c>
    </row>
    <row r="9" spans="1:4">
      <c r="A9" s="286"/>
      <c r="B9" s="280"/>
      <c r="C9" s="288"/>
      <c r="D9" s="275">
        <f>SUM(D7:D8)</f>
        <v>66267.090429999997</v>
      </c>
    </row>
    <row r="10" spans="1:4">
      <c r="A10" s="287"/>
      <c r="B10" s="280"/>
      <c r="C10" s="288"/>
      <c r="D10" s="230"/>
    </row>
    <row r="11" spans="1:4" ht="13.5" thickBot="1">
      <c r="A11" s="287"/>
      <c r="B11" s="280"/>
      <c r="C11" s="288" t="s">
        <v>299</v>
      </c>
      <c r="D11" s="277">
        <f>SUM(D9)</f>
        <v>66267.090429999997</v>
      </c>
    </row>
    <row r="12" spans="1:4" ht="13.5" thickTop="1">
      <c r="A12" s="287"/>
      <c r="B12" s="280"/>
      <c r="C12" s="280"/>
    </row>
    <row r="13" spans="1:4">
      <c r="A13" s="287"/>
      <c r="B13" s="280"/>
      <c r="C13" s="280"/>
    </row>
    <row r="14" spans="1:4">
      <c r="A14" s="287"/>
      <c r="B14" s="280"/>
      <c r="C14" s="280"/>
    </row>
    <row r="15" spans="1:4">
      <c r="A15" s="137" t="s">
        <v>302</v>
      </c>
      <c r="B15" t="s">
        <v>304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70"/>
  <sheetViews>
    <sheetView topLeftCell="R15" workbookViewId="0">
      <selection activeCell="Z65" activeCellId="1" sqref="Z63 Z65"/>
    </sheetView>
  </sheetViews>
  <sheetFormatPr defaultRowHeight="12.75"/>
  <cols>
    <col min="1" max="2" width="9.140625" style="219" hidden="1" customWidth="1"/>
    <col min="3" max="3" width="30" style="219" hidden="1" customWidth="1"/>
    <col min="4" max="4" width="34.5703125" style="219" customWidth="1"/>
    <col min="5" max="5" width="13.140625" style="219" customWidth="1"/>
    <col min="6" max="6" width="15.28515625" style="230" customWidth="1"/>
    <col min="7" max="7" width="1" style="219" customWidth="1"/>
    <col min="8" max="9" width="9.140625" style="219"/>
    <col min="10" max="10" width="1" style="219" customWidth="1"/>
    <col min="11" max="11" width="9.42578125" style="219" customWidth="1"/>
    <col min="12" max="12" width="10.85546875" style="219" customWidth="1"/>
    <col min="13" max="13" width="1" style="219" customWidth="1"/>
    <col min="14" max="15" width="9.140625" style="219"/>
    <col min="16" max="16" width="1" style="219" customWidth="1"/>
    <col min="17" max="18" width="9.140625" style="219"/>
    <col min="19" max="19" width="1" style="219" customWidth="1"/>
    <col min="20" max="20" width="10.140625" style="219" customWidth="1"/>
    <col min="21" max="21" width="10.42578125" style="219" customWidth="1"/>
    <col min="22" max="22" width="1.140625" style="219" customWidth="1"/>
    <col min="23" max="24" width="9.140625" style="219"/>
    <col min="25" max="25" width="1" style="219" customWidth="1"/>
    <col min="26" max="26" width="11" style="219" customWidth="1"/>
    <col min="27" max="16384" width="9.140625" style="219"/>
  </cols>
  <sheetData>
    <row r="1" spans="3:27" hidden="1">
      <c r="C1" s="219" t="s">
        <v>184</v>
      </c>
      <c r="D1" s="55"/>
      <c r="E1" s="220">
        <v>0</v>
      </c>
      <c r="F1" s="221">
        <f>+E1*$F$67</f>
        <v>0</v>
      </c>
      <c r="G1" s="55"/>
      <c r="H1" s="222">
        <v>0.05</v>
      </c>
      <c r="I1" s="223">
        <f>+H1*$I$67</f>
        <v>43597.701874999999</v>
      </c>
      <c r="J1" s="55"/>
      <c r="K1" s="224"/>
      <c r="L1" s="223">
        <f>+K1*$L$67</f>
        <v>0</v>
      </c>
      <c r="M1" s="55"/>
      <c r="N1" s="220"/>
      <c r="O1" s="223">
        <f>+N1*$O$67</f>
        <v>0</v>
      </c>
      <c r="P1" s="55"/>
      <c r="Q1" s="224">
        <v>0.1</v>
      </c>
      <c r="R1" s="223">
        <f>+Q1*$R$67</f>
        <v>87495.403749999998</v>
      </c>
      <c r="S1" s="55"/>
      <c r="T1" s="224">
        <v>0.01</v>
      </c>
      <c r="U1" s="223">
        <f>+T1*$U$67</f>
        <v>8749.5403750000005</v>
      </c>
      <c r="V1" s="55"/>
      <c r="W1" s="222" t="e">
        <f>(+T1+Q1+N1+K1+H1+E1+#REF!)/7</f>
        <v>#REF!</v>
      </c>
      <c r="X1" s="223" t="e">
        <f>+W1*$X$67</f>
        <v>#REF!</v>
      </c>
    </row>
    <row r="2" spans="3:27" hidden="1">
      <c r="D2" s="55"/>
      <c r="E2" s="225"/>
      <c r="F2" s="226"/>
      <c r="G2" s="55"/>
      <c r="H2" s="226"/>
      <c r="I2" s="227"/>
      <c r="J2" s="55"/>
      <c r="K2" s="228"/>
      <c r="L2" s="227"/>
      <c r="M2" s="55"/>
      <c r="N2" s="225"/>
      <c r="O2" s="227"/>
      <c r="P2" s="55"/>
      <c r="Q2" s="228"/>
      <c r="R2" s="227"/>
      <c r="S2" s="55"/>
      <c r="T2" s="228"/>
      <c r="U2" s="227" t="s">
        <v>185</v>
      </c>
      <c r="V2" s="55"/>
      <c r="W2" s="226"/>
      <c r="X2" s="229">
        <v>-14019</v>
      </c>
      <c r="Z2" s="219">
        <f>(+X2+X2)/12</f>
        <v>-2336.5</v>
      </c>
      <c r="AA2" s="219" t="s">
        <v>186</v>
      </c>
    </row>
    <row r="3" spans="3:27" hidden="1">
      <c r="U3" s="219" t="s">
        <v>187</v>
      </c>
    </row>
    <row r="4" spans="3:27" hidden="1">
      <c r="C4" s="219" t="s">
        <v>188</v>
      </c>
      <c r="E4" s="220">
        <v>0</v>
      </c>
      <c r="F4" s="221">
        <f>+E4*$F$67</f>
        <v>0</v>
      </c>
      <c r="G4" s="55"/>
      <c r="H4" s="222">
        <v>0</v>
      </c>
      <c r="I4" s="223">
        <f>+H4*$I$67</f>
        <v>0</v>
      </c>
      <c r="J4" s="55"/>
      <c r="K4" s="224">
        <v>0.4</v>
      </c>
      <c r="L4" s="223">
        <f>+K4*$L$67</f>
        <v>348781.61499999999</v>
      </c>
      <c r="M4" s="55"/>
      <c r="N4" s="220">
        <v>0.4</v>
      </c>
      <c r="O4" s="223">
        <f>+N4*$O$67</f>
        <v>349981.61499999999</v>
      </c>
      <c r="P4" s="55"/>
      <c r="Q4" s="224"/>
      <c r="R4" s="223">
        <f>+Q4*$R$67</f>
        <v>0</v>
      </c>
      <c r="S4" s="55"/>
      <c r="T4" s="224">
        <v>0.02</v>
      </c>
      <c r="U4" s="223">
        <f>+T4*$U$67</f>
        <v>17499.080750000001</v>
      </c>
      <c r="V4" s="55"/>
      <c r="W4" s="222" t="e">
        <f>(+T4+Q4+N4+K4+H4+E4+#REF!)/7</f>
        <v>#REF!</v>
      </c>
      <c r="X4" s="223" t="e">
        <f>+W4*$X$67</f>
        <v>#REF!</v>
      </c>
    </row>
    <row r="5" spans="3:27" hidden="1"/>
    <row r="6" spans="3:27" hidden="1">
      <c r="C6" s="231" t="s">
        <v>189</v>
      </c>
      <c r="D6" s="55"/>
      <c r="E6" s="220"/>
      <c r="F6" s="221">
        <f>+E6*$F$67</f>
        <v>0</v>
      </c>
      <c r="G6" s="55"/>
      <c r="H6" s="222"/>
      <c r="I6" s="223">
        <f>+H6*$I$67</f>
        <v>0</v>
      </c>
      <c r="J6" s="55"/>
      <c r="K6" s="224"/>
      <c r="L6" s="223">
        <f>+K6*$L$67</f>
        <v>0</v>
      </c>
      <c r="M6" s="55"/>
      <c r="N6" s="222"/>
      <c r="O6" s="223">
        <f>+N6*$O$67</f>
        <v>0</v>
      </c>
      <c r="P6" s="55"/>
      <c r="Q6" s="224">
        <v>0.1</v>
      </c>
      <c r="R6" s="223">
        <f>+Q6*$R$67</f>
        <v>87495.403749999998</v>
      </c>
      <c r="S6" s="55"/>
      <c r="T6" s="224"/>
      <c r="U6" s="223">
        <f>+T6*$U$67</f>
        <v>0</v>
      </c>
      <c r="V6" s="55"/>
      <c r="W6" s="222" t="e">
        <f>(+T6+Q6+N6+K6+H6+E6+#REF!)/7</f>
        <v>#REF!</v>
      </c>
      <c r="X6" s="223" t="e">
        <f>+W6*$X$67</f>
        <v>#REF!</v>
      </c>
      <c r="Y6" s="55"/>
      <c r="Z6" s="232" t="e">
        <f>+X6+U6+R6+O6+L6+I6+F6+#REF!</f>
        <v>#REF!</v>
      </c>
    </row>
    <row r="7" spans="3:27" hidden="1"/>
    <row r="8" spans="3:27" hidden="1"/>
    <row r="9" spans="3:27" hidden="1"/>
    <row r="10" spans="3:27" hidden="1"/>
    <row r="15" spans="3:27" ht="15.75">
      <c r="C15" s="289" t="s">
        <v>190</v>
      </c>
      <c r="D15" s="289"/>
      <c r="E15" s="289"/>
      <c r="F15" s="289"/>
      <c r="G15" s="289"/>
      <c r="H15" s="289"/>
      <c r="I15" s="289"/>
      <c r="J15" s="289"/>
      <c r="K15" s="289"/>
      <c r="L15" s="289"/>
      <c r="M15" s="289"/>
      <c r="N15" s="289"/>
      <c r="O15" s="289"/>
      <c r="P15" s="289"/>
      <c r="Q15" s="289"/>
      <c r="R15" s="289"/>
      <c r="S15" s="289"/>
      <c r="T15" s="289"/>
      <c r="U15" s="289"/>
      <c r="V15" s="289"/>
      <c r="W15" s="289"/>
      <c r="X15" s="289"/>
      <c r="Y15" s="289"/>
      <c r="Z15" s="289"/>
    </row>
    <row r="16" spans="3:27" ht="15.75">
      <c r="C16" s="289" t="s">
        <v>191</v>
      </c>
      <c r="D16" s="289"/>
      <c r="E16" s="289"/>
      <c r="F16" s="289"/>
      <c r="G16" s="289"/>
      <c r="H16" s="289"/>
      <c r="I16" s="289"/>
      <c r="J16" s="289"/>
      <c r="K16" s="289"/>
      <c r="L16" s="289"/>
      <c r="M16" s="289"/>
      <c r="N16" s="289"/>
      <c r="O16" s="289"/>
      <c r="P16" s="289"/>
      <c r="Q16" s="289"/>
      <c r="R16" s="289"/>
      <c r="S16" s="289"/>
      <c r="T16" s="289"/>
      <c r="U16" s="289"/>
      <c r="V16" s="289"/>
      <c r="W16" s="289"/>
      <c r="X16" s="289"/>
      <c r="Y16" s="289"/>
      <c r="Z16" s="289"/>
    </row>
    <row r="17" spans="1:29">
      <c r="F17" s="219"/>
    </row>
    <row r="18" spans="1:29" ht="13.5" thickBot="1"/>
    <row r="19" spans="1:29">
      <c r="A19" s="267"/>
      <c r="B19" s="234"/>
      <c r="C19" s="233"/>
      <c r="D19" s="234"/>
      <c r="E19" s="290" t="s">
        <v>192</v>
      </c>
      <c r="F19" s="291"/>
      <c r="G19" s="234"/>
      <c r="H19" s="233"/>
      <c r="I19" s="235"/>
      <c r="J19" s="234"/>
      <c r="K19" s="233"/>
      <c r="L19" s="235"/>
      <c r="M19" s="234"/>
      <c r="N19" s="233"/>
      <c r="O19" s="235"/>
      <c r="P19" s="234"/>
      <c r="Q19" s="233"/>
      <c r="R19" s="235"/>
      <c r="S19" s="234"/>
      <c r="T19" s="233"/>
      <c r="U19" s="235"/>
      <c r="V19" s="234"/>
      <c r="W19" s="233"/>
      <c r="X19" s="235"/>
      <c r="Y19" s="234"/>
      <c r="Z19" s="236"/>
    </row>
    <row r="20" spans="1:29">
      <c r="A20" s="231"/>
      <c r="B20" s="55"/>
      <c r="C20" s="237" t="s">
        <v>193</v>
      </c>
      <c r="D20" s="55"/>
      <c r="E20" s="292" t="s">
        <v>194</v>
      </c>
      <c r="F20" s="293"/>
      <c r="G20" s="55"/>
      <c r="H20" s="238">
        <v>36892</v>
      </c>
      <c r="I20" s="239">
        <v>36923</v>
      </c>
      <c r="J20" s="55"/>
      <c r="K20" s="238">
        <v>36951</v>
      </c>
      <c r="L20" s="239">
        <v>36982</v>
      </c>
      <c r="M20" s="55"/>
      <c r="N20" s="238">
        <v>37012</v>
      </c>
      <c r="O20" s="239">
        <v>37043</v>
      </c>
      <c r="P20" s="55"/>
      <c r="Q20" s="238">
        <v>37073</v>
      </c>
      <c r="R20" s="239">
        <v>37104</v>
      </c>
      <c r="S20" s="55"/>
      <c r="T20" s="238">
        <v>37135</v>
      </c>
      <c r="U20" s="239">
        <v>37165</v>
      </c>
      <c r="V20" s="55"/>
      <c r="W20" s="238">
        <v>37196</v>
      </c>
      <c r="X20" s="239">
        <v>37226</v>
      </c>
      <c r="Y20" s="55"/>
      <c r="Z20" s="240" t="s">
        <v>195</v>
      </c>
      <c r="AB20" s="219" t="s">
        <v>196</v>
      </c>
    </row>
    <row r="21" spans="1:29" ht="13.5" thickBot="1">
      <c r="A21" s="231"/>
      <c r="B21" s="55"/>
      <c r="C21" s="231"/>
      <c r="D21" s="55"/>
      <c r="E21" s="241"/>
      <c r="F21" s="242"/>
      <c r="G21" s="55"/>
      <c r="H21" s="241"/>
      <c r="I21" s="243"/>
      <c r="J21" s="55"/>
      <c r="K21" s="241"/>
      <c r="L21" s="243"/>
      <c r="M21" s="55"/>
      <c r="N21" s="241"/>
      <c r="O21" s="243"/>
      <c r="P21" s="55"/>
      <c r="Q21" s="241"/>
      <c r="R21" s="243"/>
      <c r="S21" s="55"/>
      <c r="T21" s="241"/>
      <c r="U21" s="243"/>
      <c r="V21" s="55"/>
      <c r="W21" s="241"/>
      <c r="X21" s="243"/>
      <c r="Y21" s="55"/>
      <c r="Z21" s="244"/>
    </row>
    <row r="22" spans="1:29">
      <c r="A22" s="231"/>
      <c r="B22" s="55"/>
      <c r="C22" s="231"/>
      <c r="D22" s="55"/>
      <c r="E22" s="231"/>
      <c r="F22" s="223"/>
      <c r="G22" s="55"/>
      <c r="H22" s="245"/>
      <c r="I22" s="223"/>
      <c r="J22" s="55"/>
      <c r="K22" s="245"/>
      <c r="L22" s="223"/>
      <c r="M22" s="55"/>
      <c r="N22" s="245"/>
      <c r="O22" s="223"/>
      <c r="P22" s="55"/>
      <c r="Q22" s="246"/>
      <c r="R22" s="223"/>
      <c r="S22" s="55"/>
      <c r="T22" s="245"/>
      <c r="U22" s="223"/>
      <c r="V22" s="55"/>
      <c r="W22" s="245"/>
      <c r="X22" s="223"/>
      <c r="Y22" s="55"/>
      <c r="Z22" s="247"/>
    </row>
    <row r="23" spans="1:29" hidden="1">
      <c r="A23" s="231" t="s">
        <v>197</v>
      </c>
      <c r="B23" s="268">
        <v>105989</v>
      </c>
      <c r="C23" s="231" t="s">
        <v>198</v>
      </c>
      <c r="D23" s="55" t="s">
        <v>199</v>
      </c>
      <c r="E23" s="220"/>
      <c r="F23" s="223"/>
      <c r="G23" s="55"/>
      <c r="H23" s="245"/>
      <c r="I23" s="223"/>
      <c r="J23" s="55"/>
      <c r="K23" s="245"/>
      <c r="L23" s="223"/>
      <c r="M23" s="55"/>
      <c r="N23" s="245"/>
      <c r="O23" s="223"/>
      <c r="P23" s="55"/>
      <c r="Q23" s="245"/>
      <c r="R23" s="223"/>
      <c r="S23" s="55"/>
      <c r="T23" s="245"/>
      <c r="U23" s="223"/>
      <c r="V23" s="55"/>
      <c r="W23" s="245"/>
      <c r="X23" s="223"/>
      <c r="Y23" s="55"/>
      <c r="Z23" s="232"/>
      <c r="AB23" s="219" t="e">
        <f>VLOOKUP(C23,[4]Headct!$C$23:$G$76,2,FALSE)</f>
        <v>#N/A</v>
      </c>
      <c r="AC23" s="248" t="s">
        <v>200</v>
      </c>
    </row>
    <row r="24" spans="1:29" hidden="1">
      <c r="A24" s="231"/>
      <c r="B24" s="268">
        <v>106230</v>
      </c>
      <c r="C24" s="231" t="s">
        <v>201</v>
      </c>
      <c r="D24" s="55"/>
      <c r="E24" s="220"/>
      <c r="F24" s="223"/>
      <c r="G24" s="55"/>
      <c r="H24" s="245"/>
      <c r="I24" s="223"/>
      <c r="J24" s="55"/>
      <c r="K24" s="245"/>
      <c r="L24" s="223"/>
      <c r="M24" s="55"/>
      <c r="N24" s="245"/>
      <c r="O24" s="223"/>
      <c r="P24" s="55"/>
      <c r="Q24" s="245"/>
      <c r="R24" s="223"/>
      <c r="S24" s="55"/>
      <c r="T24" s="245"/>
      <c r="U24" s="223"/>
      <c r="V24" s="55"/>
      <c r="W24" s="245"/>
      <c r="X24" s="223"/>
      <c r="Y24" s="55"/>
      <c r="Z24" s="232"/>
      <c r="AB24" s="219">
        <f>VLOOKUP(C24,[4]Headct!$C$23:$G$76,2,FALSE)</f>
        <v>13</v>
      </c>
      <c r="AC24" s="248" t="s">
        <v>202</v>
      </c>
    </row>
    <row r="25" spans="1:29" hidden="1">
      <c r="A25" s="252" t="s">
        <v>197</v>
      </c>
      <c r="B25" s="268">
        <v>106231</v>
      </c>
      <c r="C25" s="231" t="s">
        <v>203</v>
      </c>
      <c r="D25" s="55" t="s">
        <v>204</v>
      </c>
      <c r="E25" s="220"/>
      <c r="F25" s="223"/>
      <c r="G25" s="55"/>
      <c r="H25" s="245"/>
      <c r="I25" s="223"/>
      <c r="J25" s="55"/>
      <c r="K25" s="245"/>
      <c r="L25" s="223"/>
      <c r="M25" s="55"/>
      <c r="N25" s="245"/>
      <c r="O25" s="223"/>
      <c r="P25" s="55"/>
      <c r="Q25" s="245"/>
      <c r="R25" s="223"/>
      <c r="S25" s="55"/>
      <c r="T25" s="245"/>
      <c r="U25" s="223"/>
      <c r="V25" s="55"/>
      <c r="W25" s="245"/>
      <c r="X25" s="223"/>
      <c r="Y25" s="55"/>
      <c r="Z25" s="232"/>
      <c r="AB25" s="219">
        <f>VLOOKUP(C25,[4]Headct!$C$23:$G$76,2,FALSE)</f>
        <v>10</v>
      </c>
      <c r="AC25" s="248" t="s">
        <v>205</v>
      </c>
    </row>
    <row r="26" spans="1:29" hidden="1">
      <c r="A26" s="252" t="s">
        <v>197</v>
      </c>
      <c r="B26" s="268">
        <v>106580</v>
      </c>
      <c r="C26" s="231" t="s">
        <v>206</v>
      </c>
      <c r="D26" s="55"/>
      <c r="E26" s="220"/>
      <c r="F26" s="223"/>
      <c r="G26" s="55"/>
      <c r="H26" s="246"/>
      <c r="I26" s="223"/>
      <c r="J26" s="55"/>
      <c r="K26" s="246"/>
      <c r="L26" s="223"/>
      <c r="M26" s="55"/>
      <c r="N26" s="245"/>
      <c r="O26" s="223"/>
      <c r="P26" s="55"/>
      <c r="Q26" s="246"/>
      <c r="R26" s="223"/>
      <c r="S26" s="55"/>
      <c r="T26" s="246"/>
      <c r="U26" s="223"/>
      <c r="V26" s="55"/>
      <c r="W26" s="245"/>
      <c r="X26" s="223"/>
      <c r="Y26" s="55"/>
      <c r="Z26" s="232"/>
      <c r="AB26" s="219">
        <f>VLOOKUP(C26,[4]Headct!$C$23:$G$76,2,FALSE)</f>
        <v>41</v>
      </c>
      <c r="AC26" s="248" t="s">
        <v>207</v>
      </c>
    </row>
    <row r="27" spans="1:29" hidden="1">
      <c r="A27" s="252" t="s">
        <v>197</v>
      </c>
      <c r="B27" s="268">
        <v>106581</v>
      </c>
      <c r="C27" s="231" t="s">
        <v>208</v>
      </c>
      <c r="D27" s="55"/>
      <c r="E27" s="220"/>
      <c r="F27" s="223"/>
      <c r="G27" s="55"/>
      <c r="H27" s="245"/>
      <c r="I27" s="223"/>
      <c r="J27" s="55"/>
      <c r="K27" s="245"/>
      <c r="L27" s="223"/>
      <c r="M27" s="55"/>
      <c r="N27" s="245"/>
      <c r="O27" s="223"/>
      <c r="P27" s="55"/>
      <c r="Q27" s="245"/>
      <c r="R27" s="223"/>
      <c r="S27" s="55"/>
      <c r="T27" s="245"/>
      <c r="U27" s="223"/>
      <c r="V27" s="55"/>
      <c r="W27" s="245"/>
      <c r="X27" s="223"/>
      <c r="Y27" s="55"/>
      <c r="Z27" s="232"/>
      <c r="AB27" s="219">
        <f>VLOOKUP(C27,[4]Headct!$C$23:$G$76,2,FALSE)</f>
        <v>89</v>
      </c>
      <c r="AC27" s="248" t="s">
        <v>209</v>
      </c>
    </row>
    <row r="28" spans="1:29" hidden="1">
      <c r="A28" s="231" t="s">
        <v>210</v>
      </c>
      <c r="B28" s="268">
        <v>106584</v>
      </c>
      <c r="C28" s="231" t="s">
        <v>211</v>
      </c>
      <c r="D28" s="55" t="s">
        <v>212</v>
      </c>
      <c r="E28" s="220"/>
      <c r="F28" s="223"/>
      <c r="G28" s="55"/>
      <c r="H28" s="245"/>
      <c r="I28" s="223"/>
      <c r="J28" s="55"/>
      <c r="K28" s="246"/>
      <c r="L28" s="223"/>
      <c r="M28" s="55"/>
      <c r="N28" s="245"/>
      <c r="O28" s="223"/>
      <c r="P28" s="55"/>
      <c r="Q28" s="245"/>
      <c r="R28" s="223"/>
      <c r="S28" s="55"/>
      <c r="T28" s="245"/>
      <c r="U28" s="223"/>
      <c r="V28" s="55"/>
      <c r="W28" s="245"/>
      <c r="X28" s="223"/>
      <c r="Y28" s="55"/>
      <c r="Z28" s="232"/>
      <c r="AA28" s="249" t="e">
        <f>SUM(AB23:AB28)-AB26-AB27</f>
        <v>#N/A</v>
      </c>
      <c r="AB28" s="219">
        <f>VLOOKUP(C28,[4]Headct!$C$23:$G$76,2,FALSE)</f>
        <v>25</v>
      </c>
      <c r="AC28" s="248" t="s">
        <v>213</v>
      </c>
    </row>
    <row r="29" spans="1:29" hidden="1">
      <c r="A29" s="231" t="s">
        <v>197</v>
      </c>
      <c r="B29" s="268">
        <v>106598</v>
      </c>
      <c r="C29" s="231" t="s">
        <v>214</v>
      </c>
      <c r="D29" s="55"/>
      <c r="E29" s="220"/>
      <c r="F29" s="223"/>
      <c r="G29" s="55"/>
      <c r="H29" s="245"/>
      <c r="I29" s="223"/>
      <c r="J29" s="55"/>
      <c r="K29" s="246"/>
      <c r="L29" s="223"/>
      <c r="M29" s="55"/>
      <c r="N29" s="245"/>
      <c r="O29" s="223"/>
      <c r="P29" s="55"/>
      <c r="Q29" s="246"/>
      <c r="R29" s="223"/>
      <c r="S29" s="55"/>
      <c r="T29" s="246"/>
      <c r="U29" s="223"/>
      <c r="V29" s="55"/>
      <c r="W29" s="245"/>
      <c r="X29" s="223"/>
      <c r="Y29" s="55"/>
      <c r="Z29" s="232"/>
      <c r="AA29" s="249"/>
      <c r="AC29" s="248"/>
    </row>
    <row r="30" spans="1:29" hidden="1">
      <c r="A30" s="231"/>
      <c r="B30" s="268">
        <v>106602</v>
      </c>
      <c r="C30" s="231" t="s">
        <v>215</v>
      </c>
      <c r="D30" s="55"/>
      <c r="E30" s="220"/>
      <c r="F30" s="223"/>
      <c r="G30" s="55"/>
      <c r="H30" s="245"/>
      <c r="I30" s="223"/>
      <c r="J30" s="55"/>
      <c r="K30" s="246"/>
      <c r="L30" s="223"/>
      <c r="M30" s="55"/>
      <c r="N30" s="245"/>
      <c r="O30" s="223"/>
      <c r="P30" s="55"/>
      <c r="Q30" s="246"/>
      <c r="R30" s="223"/>
      <c r="S30" s="55"/>
      <c r="T30" s="246"/>
      <c r="U30" s="223"/>
      <c r="V30" s="55"/>
      <c r="W30" s="245"/>
      <c r="X30" s="223"/>
      <c r="Y30" s="55"/>
      <c r="Z30" s="232"/>
      <c r="AB30" s="219">
        <f>VLOOKUP(C30,[4]Headct!$C$23:$G$76,2,FALSE)</f>
        <v>5</v>
      </c>
      <c r="AC30" s="248" t="s">
        <v>216</v>
      </c>
    </row>
    <row r="31" spans="1:29" hidden="1">
      <c r="A31" s="231"/>
      <c r="B31" s="268" t="s">
        <v>217</v>
      </c>
      <c r="C31" s="231" t="s">
        <v>218</v>
      </c>
      <c r="D31" s="55"/>
      <c r="E31" s="220"/>
      <c r="F31" s="223"/>
      <c r="G31" s="55"/>
      <c r="H31" s="245"/>
      <c r="I31" s="223"/>
      <c r="J31" s="55"/>
      <c r="K31" s="246"/>
      <c r="L31" s="223"/>
      <c r="M31" s="55"/>
      <c r="N31" s="245"/>
      <c r="O31" s="223"/>
      <c r="P31" s="55"/>
      <c r="Q31" s="246"/>
      <c r="R31" s="223"/>
      <c r="S31" s="55"/>
      <c r="T31" s="246"/>
      <c r="U31" s="223"/>
      <c r="V31" s="55"/>
      <c r="W31" s="245"/>
      <c r="X31" s="223"/>
      <c r="Y31" s="55"/>
      <c r="Z31" s="232"/>
      <c r="AB31" s="219">
        <f>VLOOKUP(C31,[4]Headct!$C$23:$G$76,2,FALSE)</f>
        <v>0</v>
      </c>
      <c r="AC31" s="248" t="s">
        <v>219</v>
      </c>
    </row>
    <row r="32" spans="1:29" hidden="1">
      <c r="A32" s="231"/>
      <c r="B32" s="268">
        <v>106607</v>
      </c>
      <c r="C32" s="231" t="s">
        <v>220</v>
      </c>
      <c r="D32" s="55"/>
      <c r="E32" s="220"/>
      <c r="F32" s="223"/>
      <c r="G32" s="55"/>
      <c r="H32" s="245"/>
      <c r="I32" s="223"/>
      <c r="J32" s="55"/>
      <c r="K32" s="250"/>
      <c r="L32" s="223"/>
      <c r="M32" s="55"/>
      <c r="N32" s="245"/>
      <c r="O32" s="223"/>
      <c r="P32" s="55"/>
      <c r="Q32" s="246"/>
      <c r="R32" s="223"/>
      <c r="S32" s="55"/>
      <c r="T32" s="246"/>
      <c r="U32" s="223"/>
      <c r="V32" s="55"/>
      <c r="W32" s="245"/>
      <c r="X32" s="223"/>
      <c r="Y32" s="55"/>
      <c r="Z32" s="232"/>
      <c r="AB32" s="219">
        <f>VLOOKUP(C32,[4]Headct!$C$23:$G$76,2,FALSE)</f>
        <v>16</v>
      </c>
      <c r="AC32" s="248" t="s">
        <v>221</v>
      </c>
    </row>
    <row r="33" spans="1:29" hidden="1">
      <c r="A33" s="231"/>
      <c r="B33" s="268">
        <v>106608</v>
      </c>
      <c r="C33" s="231" t="s">
        <v>222</v>
      </c>
      <c r="D33" s="55"/>
      <c r="E33" s="220"/>
      <c r="F33" s="223"/>
      <c r="G33" s="55"/>
      <c r="H33" s="245"/>
      <c r="I33" s="223"/>
      <c r="J33" s="55"/>
      <c r="K33" s="250"/>
      <c r="L33" s="223"/>
      <c r="M33" s="55"/>
      <c r="N33" s="245"/>
      <c r="O33" s="223"/>
      <c r="P33" s="55"/>
      <c r="Q33" s="246"/>
      <c r="R33" s="223"/>
      <c r="S33" s="55"/>
      <c r="T33" s="246"/>
      <c r="U33" s="223"/>
      <c r="V33" s="55"/>
      <c r="W33" s="245"/>
      <c r="X33" s="223"/>
      <c r="Y33" s="55"/>
      <c r="Z33" s="232"/>
      <c r="AB33" s="219">
        <f>VLOOKUP(C33,[4]Headct!$C$23:$G$76,2,FALSE)</f>
        <v>20</v>
      </c>
      <c r="AC33" s="248" t="s">
        <v>223</v>
      </c>
    </row>
    <row r="34" spans="1:29" hidden="1">
      <c r="A34" s="231"/>
      <c r="B34" s="268" t="s">
        <v>217</v>
      </c>
      <c r="C34" s="231" t="s">
        <v>224</v>
      </c>
      <c r="D34" s="55"/>
      <c r="E34" s="251"/>
      <c r="F34" s="223"/>
      <c r="G34" s="55"/>
      <c r="H34" s="245"/>
      <c r="I34" s="223"/>
      <c r="J34" s="55"/>
      <c r="K34" s="250"/>
      <c r="L34" s="223"/>
      <c r="M34" s="55"/>
      <c r="N34" s="245"/>
      <c r="O34" s="223"/>
      <c r="P34" s="55"/>
      <c r="Q34" s="246"/>
      <c r="R34" s="223"/>
      <c r="S34" s="55"/>
      <c r="T34" s="246"/>
      <c r="U34" s="223"/>
      <c r="V34" s="55"/>
      <c r="W34" s="245"/>
      <c r="X34" s="223"/>
      <c r="Y34" s="55"/>
      <c r="Z34" s="232"/>
      <c r="AB34" s="219">
        <f>VLOOKUP(C34,[4]Headct!$C$23:$G$76,2,FALSE)</f>
        <v>167</v>
      </c>
      <c r="AC34" s="248" t="s">
        <v>224</v>
      </c>
    </row>
    <row r="35" spans="1:29" hidden="1">
      <c r="A35" s="231"/>
      <c r="B35" s="268">
        <v>106609</v>
      </c>
      <c r="C35" s="231" t="s">
        <v>225</v>
      </c>
      <c r="D35" s="55"/>
      <c r="E35" s="220"/>
      <c r="F35" s="223"/>
      <c r="G35" s="55"/>
      <c r="H35" s="245"/>
      <c r="I35" s="223"/>
      <c r="J35" s="55"/>
      <c r="K35" s="246"/>
      <c r="L35" s="223"/>
      <c r="M35" s="55"/>
      <c r="N35" s="245"/>
      <c r="O35" s="223"/>
      <c r="P35" s="55"/>
      <c r="Q35" s="246"/>
      <c r="R35" s="223"/>
      <c r="S35" s="55"/>
      <c r="T35" s="246"/>
      <c r="U35" s="223"/>
      <c r="V35" s="55"/>
      <c r="W35" s="245"/>
      <c r="X35" s="223"/>
      <c r="Y35" s="55"/>
      <c r="Z35" s="232"/>
      <c r="AB35" s="219">
        <f>VLOOKUP(C35,[4]Headct!$C$23:$G$76,2,FALSE)</f>
        <v>22</v>
      </c>
      <c r="AC35" s="248" t="s">
        <v>226</v>
      </c>
    </row>
    <row r="36" spans="1:29" hidden="1">
      <c r="A36" s="231"/>
      <c r="B36" s="268">
        <v>106610</v>
      </c>
      <c r="C36" s="231" t="s">
        <v>227</v>
      </c>
      <c r="D36" s="55"/>
      <c r="E36" s="220"/>
      <c r="F36" s="223"/>
      <c r="G36" s="55"/>
      <c r="H36" s="245"/>
      <c r="I36" s="223"/>
      <c r="J36" s="55"/>
      <c r="K36" s="246"/>
      <c r="L36" s="223"/>
      <c r="M36" s="55"/>
      <c r="N36" s="245"/>
      <c r="O36" s="223"/>
      <c r="P36" s="55"/>
      <c r="Q36" s="246"/>
      <c r="R36" s="223"/>
      <c r="S36" s="55"/>
      <c r="T36" s="246"/>
      <c r="U36" s="223"/>
      <c r="V36" s="55"/>
      <c r="W36" s="245"/>
      <c r="X36" s="223"/>
      <c r="Y36" s="55"/>
      <c r="Z36" s="232"/>
      <c r="AB36" s="219">
        <f>VLOOKUP(C36,[4]Headct!$C$23:$G$76,2,FALSE)</f>
        <v>12</v>
      </c>
      <c r="AC36" s="248" t="s">
        <v>228</v>
      </c>
    </row>
    <row r="37" spans="1:29" hidden="1">
      <c r="A37" s="231"/>
      <c r="B37" s="268">
        <v>106613</v>
      </c>
      <c r="C37" s="231" t="s">
        <v>229</v>
      </c>
      <c r="D37" s="55"/>
      <c r="E37" s="220"/>
      <c r="F37" s="223"/>
      <c r="G37" s="55"/>
      <c r="H37" s="245"/>
      <c r="I37" s="223"/>
      <c r="J37" s="55"/>
      <c r="K37" s="246"/>
      <c r="L37" s="223"/>
      <c r="M37" s="55"/>
      <c r="N37" s="245"/>
      <c r="O37" s="223"/>
      <c r="P37" s="55"/>
      <c r="Q37" s="246"/>
      <c r="R37" s="223"/>
      <c r="S37" s="55"/>
      <c r="T37" s="246"/>
      <c r="U37" s="223"/>
      <c r="V37" s="55"/>
      <c r="W37" s="245"/>
      <c r="X37" s="223"/>
      <c r="Y37" s="55"/>
      <c r="Z37" s="232"/>
      <c r="AB37" s="219">
        <f>VLOOKUP(C37,[4]Headct!$C$23:$G$76,2,FALSE)</f>
        <v>53</v>
      </c>
      <c r="AC37" s="248" t="s">
        <v>230</v>
      </c>
    </row>
    <row r="38" spans="1:29" hidden="1">
      <c r="A38" s="231"/>
      <c r="B38" s="268">
        <v>106614</v>
      </c>
      <c r="C38" s="231" t="s">
        <v>231</v>
      </c>
      <c r="D38" s="55"/>
      <c r="E38" s="220"/>
      <c r="F38" s="223"/>
      <c r="G38" s="55"/>
      <c r="H38" s="245"/>
      <c r="I38" s="223"/>
      <c r="J38" s="55"/>
      <c r="K38" s="246"/>
      <c r="L38" s="223"/>
      <c r="M38" s="55"/>
      <c r="N38" s="245"/>
      <c r="O38" s="223"/>
      <c r="P38" s="55"/>
      <c r="Q38" s="246"/>
      <c r="R38" s="223"/>
      <c r="S38" s="55"/>
      <c r="T38" s="246"/>
      <c r="U38" s="223"/>
      <c r="V38" s="55"/>
      <c r="W38" s="245"/>
      <c r="X38" s="223"/>
      <c r="Y38" s="55"/>
      <c r="Z38" s="232"/>
      <c r="AB38" s="219">
        <f>VLOOKUP(C38,[4]Headct!$C$23:$G$76,2,FALSE)</f>
        <v>35</v>
      </c>
      <c r="AC38" s="248" t="s">
        <v>232</v>
      </c>
    </row>
    <row r="39" spans="1:29" hidden="1">
      <c r="A39" s="231"/>
      <c r="B39" s="268">
        <v>106616</v>
      </c>
      <c r="C39" s="231" t="s">
        <v>233</v>
      </c>
      <c r="D39" s="55"/>
      <c r="E39" s="220"/>
      <c r="F39" s="223"/>
      <c r="G39" s="55"/>
      <c r="H39" s="245"/>
      <c r="I39" s="223"/>
      <c r="J39" s="55"/>
      <c r="K39" s="246"/>
      <c r="L39" s="223"/>
      <c r="M39" s="55"/>
      <c r="N39" s="245"/>
      <c r="O39" s="223"/>
      <c r="P39" s="55"/>
      <c r="Q39" s="246"/>
      <c r="R39" s="223"/>
      <c r="S39" s="55"/>
      <c r="T39" s="246"/>
      <c r="U39" s="223"/>
      <c r="V39" s="55"/>
      <c r="W39" s="245"/>
      <c r="X39" s="223"/>
      <c r="Y39" s="55"/>
      <c r="Z39" s="232"/>
      <c r="AB39" s="219">
        <f>VLOOKUP(C39,[4]Headct!$C$23:$G$76,2,FALSE)</f>
        <v>19</v>
      </c>
      <c r="AC39" s="248" t="s">
        <v>234</v>
      </c>
    </row>
    <row r="40" spans="1:29" hidden="1">
      <c r="A40" s="231" t="s">
        <v>235</v>
      </c>
      <c r="B40" s="268" t="s">
        <v>217</v>
      </c>
      <c r="C40" s="231" t="s">
        <v>236</v>
      </c>
      <c r="D40" s="55"/>
      <c r="E40" s="220"/>
      <c r="F40" s="223"/>
      <c r="G40" s="55"/>
      <c r="H40" s="245"/>
      <c r="I40" s="223"/>
      <c r="J40" s="55"/>
      <c r="K40" s="246"/>
      <c r="L40" s="223"/>
      <c r="M40" s="55"/>
      <c r="N40" s="245"/>
      <c r="O40" s="223"/>
      <c r="P40" s="55"/>
      <c r="Q40" s="246"/>
      <c r="R40" s="223"/>
      <c r="S40" s="55"/>
      <c r="T40" s="246"/>
      <c r="U40" s="223"/>
      <c r="V40" s="55"/>
      <c r="W40" s="245"/>
      <c r="X40" s="223"/>
      <c r="Y40" s="55"/>
      <c r="Z40" s="232"/>
      <c r="AB40" s="219">
        <f>VLOOKUP(C40,[4]Headct!$C$23:$G$76,2,FALSE)</f>
        <v>0</v>
      </c>
      <c r="AC40" s="248" t="s">
        <v>237</v>
      </c>
    </row>
    <row r="41" spans="1:29" hidden="1">
      <c r="A41" s="231"/>
      <c r="B41" s="268">
        <v>106617</v>
      </c>
      <c r="C41" s="231" t="s">
        <v>238</v>
      </c>
      <c r="D41" s="55"/>
      <c r="E41" s="220"/>
      <c r="F41" s="223"/>
      <c r="G41" s="55"/>
      <c r="H41" s="245"/>
      <c r="I41" s="223"/>
      <c r="J41" s="55"/>
      <c r="K41" s="246"/>
      <c r="L41" s="223"/>
      <c r="M41" s="55"/>
      <c r="N41" s="245"/>
      <c r="O41" s="223"/>
      <c r="P41" s="55"/>
      <c r="Q41" s="246"/>
      <c r="R41" s="223"/>
      <c r="S41" s="55"/>
      <c r="T41" s="246"/>
      <c r="U41" s="223"/>
      <c r="V41" s="55"/>
      <c r="W41" s="245"/>
      <c r="X41" s="223"/>
      <c r="Y41" s="55"/>
      <c r="Z41" s="232"/>
      <c r="AB41" s="219">
        <f>VLOOKUP(C41,[4]Headct!$C$23:$G$76,2,FALSE)</f>
        <v>3</v>
      </c>
      <c r="AC41" s="248" t="s">
        <v>239</v>
      </c>
    </row>
    <row r="42" spans="1:29" hidden="1">
      <c r="A42" s="231"/>
      <c r="B42" s="268">
        <v>106620</v>
      </c>
      <c r="C42" s="231" t="s">
        <v>240</v>
      </c>
      <c r="D42" s="55"/>
      <c r="E42" s="220"/>
      <c r="F42" s="223"/>
      <c r="G42" s="55"/>
      <c r="H42" s="245"/>
      <c r="I42" s="223"/>
      <c r="J42" s="55"/>
      <c r="K42" s="246"/>
      <c r="L42" s="223"/>
      <c r="M42" s="55"/>
      <c r="N42" s="245"/>
      <c r="O42" s="223"/>
      <c r="P42" s="55"/>
      <c r="Q42" s="246"/>
      <c r="R42" s="223"/>
      <c r="S42" s="55"/>
      <c r="T42" s="246"/>
      <c r="U42" s="223"/>
      <c r="V42" s="55"/>
      <c r="W42" s="245"/>
      <c r="X42" s="223"/>
      <c r="Y42" s="55"/>
      <c r="Z42" s="232"/>
      <c r="AB42" s="219">
        <f>VLOOKUP(C42,[4]Headct!$C$23:$G$76,2,FALSE)</f>
        <v>35</v>
      </c>
      <c r="AC42" s="248" t="s">
        <v>241</v>
      </c>
    </row>
    <row r="43" spans="1:29" hidden="1">
      <c r="A43" s="231" t="s">
        <v>242</v>
      </c>
      <c r="B43" s="268">
        <v>106581</v>
      </c>
      <c r="C43" s="252" t="s">
        <v>243</v>
      </c>
      <c r="D43" s="55"/>
      <c r="E43" s="220"/>
      <c r="F43" s="223"/>
      <c r="G43" s="55"/>
      <c r="H43" s="245"/>
      <c r="I43" s="223"/>
      <c r="J43" s="55"/>
      <c r="K43" s="246"/>
      <c r="L43" s="223"/>
      <c r="M43" s="55"/>
      <c r="N43" s="245"/>
      <c r="O43" s="223"/>
      <c r="P43" s="55"/>
      <c r="Q43" s="246"/>
      <c r="R43" s="223"/>
      <c r="S43" s="55"/>
      <c r="T43" s="246"/>
      <c r="U43" s="223"/>
      <c r="V43" s="55"/>
      <c r="W43" s="245"/>
      <c r="X43" s="223"/>
      <c r="Y43" s="55"/>
      <c r="Z43" s="232"/>
      <c r="AB43" s="219">
        <f>VLOOKUP(C43,[4]Headct!$C$23:$G$76,2,FALSE)</f>
        <v>0</v>
      </c>
      <c r="AC43" s="248" t="s">
        <v>244</v>
      </c>
    </row>
    <row r="44" spans="1:29" hidden="1">
      <c r="A44" s="231"/>
      <c r="B44" s="268">
        <v>105713</v>
      </c>
      <c r="C44" s="231" t="s">
        <v>245</v>
      </c>
      <c r="D44" s="55"/>
      <c r="E44" s="220"/>
      <c r="F44" s="223"/>
      <c r="G44" s="55"/>
      <c r="H44" s="245"/>
      <c r="I44" s="223"/>
      <c r="J44" s="55"/>
      <c r="K44" s="246"/>
      <c r="L44" s="223"/>
      <c r="M44" s="55"/>
      <c r="N44" s="245"/>
      <c r="O44" s="223"/>
      <c r="P44" s="55"/>
      <c r="Q44" s="246"/>
      <c r="R44" s="223"/>
      <c r="S44" s="55"/>
      <c r="T44" s="246"/>
      <c r="U44" s="223"/>
      <c r="V44" s="55"/>
      <c r="W44" s="245"/>
      <c r="X44" s="223"/>
      <c r="Y44" s="55"/>
      <c r="Z44" s="232"/>
      <c r="AB44" s="219">
        <f>VLOOKUP(C44,[4]Headct!$C$23:$G$76,2,FALSE)</f>
        <v>954</v>
      </c>
      <c r="AC44" s="248" t="s">
        <v>246</v>
      </c>
    </row>
    <row r="45" spans="1:29" hidden="1">
      <c r="A45" s="231" t="s">
        <v>247</v>
      </c>
      <c r="B45" s="268" t="s">
        <v>217</v>
      </c>
      <c r="C45" s="231" t="s">
        <v>248</v>
      </c>
      <c r="D45" s="55" t="s">
        <v>249</v>
      </c>
      <c r="E45" s="220"/>
      <c r="F45" s="223"/>
      <c r="G45" s="55"/>
      <c r="H45" s="245"/>
      <c r="I45" s="223"/>
      <c r="J45" s="55"/>
      <c r="K45" s="246"/>
      <c r="L45" s="223"/>
      <c r="M45" s="55"/>
      <c r="N45" s="245"/>
      <c r="O45" s="223"/>
      <c r="P45" s="55"/>
      <c r="Q45" s="246"/>
      <c r="R45" s="223"/>
      <c r="S45" s="55"/>
      <c r="T45" s="246"/>
      <c r="U45" s="223"/>
      <c r="V45" s="55"/>
      <c r="W45" s="245"/>
      <c r="X45" s="223"/>
      <c r="Y45" s="55"/>
      <c r="Z45" s="232"/>
      <c r="AB45" s="219">
        <f>VLOOKUP(C45,[4]Headct!$C$23:$G$76,2,FALSE)</f>
        <v>0</v>
      </c>
      <c r="AC45" s="248" t="s">
        <v>250</v>
      </c>
    </row>
    <row r="46" spans="1:29" hidden="1">
      <c r="A46" s="231" t="s">
        <v>251</v>
      </c>
      <c r="B46" s="268">
        <v>106635</v>
      </c>
      <c r="C46" s="231" t="s">
        <v>252</v>
      </c>
      <c r="D46" s="55" t="s">
        <v>253</v>
      </c>
      <c r="E46" s="220"/>
      <c r="F46" s="223"/>
      <c r="G46" s="55"/>
      <c r="H46" s="245"/>
      <c r="I46" s="223"/>
      <c r="J46" s="55"/>
      <c r="K46" s="246"/>
      <c r="L46" s="223"/>
      <c r="M46" s="55"/>
      <c r="N46" s="245"/>
      <c r="O46" s="223"/>
      <c r="P46" s="55"/>
      <c r="Q46" s="246"/>
      <c r="R46" s="223"/>
      <c r="S46" s="55"/>
      <c r="T46" s="246"/>
      <c r="U46" s="223"/>
      <c r="V46" s="55"/>
      <c r="W46" s="245"/>
      <c r="X46" s="223"/>
      <c r="Y46" s="55"/>
      <c r="Z46" s="232"/>
      <c r="AB46" s="219">
        <f>VLOOKUP(C46,[4]Headct!$C$23:$G$76,2,FALSE)</f>
        <v>13</v>
      </c>
      <c r="AC46" s="248" t="s">
        <v>254</v>
      </c>
    </row>
    <row r="47" spans="1:29" hidden="1">
      <c r="A47" s="231" t="s">
        <v>255</v>
      </c>
      <c r="B47" s="268">
        <v>106638</v>
      </c>
      <c r="C47" s="231" t="s">
        <v>256</v>
      </c>
      <c r="D47" s="55" t="s">
        <v>257</v>
      </c>
      <c r="E47" s="220"/>
      <c r="F47" s="223"/>
      <c r="G47" s="55"/>
      <c r="H47" s="245"/>
      <c r="I47" s="223"/>
      <c r="J47" s="55"/>
      <c r="K47" s="246"/>
      <c r="L47" s="223"/>
      <c r="M47" s="55"/>
      <c r="N47" s="245"/>
      <c r="O47" s="223"/>
      <c r="P47" s="55"/>
      <c r="Q47" s="246"/>
      <c r="R47" s="223"/>
      <c r="S47" s="55"/>
      <c r="T47" s="246"/>
      <c r="U47" s="223"/>
      <c r="V47" s="55"/>
      <c r="W47" s="245"/>
      <c r="X47" s="223"/>
      <c r="Y47" s="55"/>
      <c r="Z47" s="232"/>
      <c r="AB47" s="219">
        <f>VLOOKUP(C47,[4]Headct!$C$23:$G$76,2,FALSE)</f>
        <v>0</v>
      </c>
      <c r="AC47" s="248" t="s">
        <v>258</v>
      </c>
    </row>
    <row r="48" spans="1:29" hidden="1">
      <c r="A48" s="231" t="s">
        <v>197</v>
      </c>
      <c r="B48" s="268">
        <v>106798</v>
      </c>
      <c r="C48" s="231" t="s">
        <v>259</v>
      </c>
      <c r="D48" s="55" t="s">
        <v>260</v>
      </c>
      <c r="E48" s="220"/>
      <c r="F48" s="223"/>
      <c r="G48" s="55"/>
      <c r="H48" s="245"/>
      <c r="I48" s="223"/>
      <c r="J48" s="55"/>
      <c r="K48" s="246"/>
      <c r="L48" s="223"/>
      <c r="M48" s="55"/>
      <c r="N48" s="245"/>
      <c r="O48" s="223"/>
      <c r="P48" s="55"/>
      <c r="Q48" s="246"/>
      <c r="R48" s="223"/>
      <c r="S48" s="55"/>
      <c r="T48" s="246"/>
      <c r="U48" s="223"/>
      <c r="V48" s="55"/>
      <c r="W48" s="245"/>
      <c r="X48" s="223"/>
      <c r="Y48" s="55"/>
      <c r="Z48" s="232"/>
      <c r="AB48" s="219" t="e">
        <f>VLOOKUP(C48,[4]Headct!$C$23:$G$76,2,FALSE)</f>
        <v>#N/A</v>
      </c>
      <c r="AC48" s="248" t="s">
        <v>261</v>
      </c>
    </row>
    <row r="49" spans="1:29" hidden="1">
      <c r="A49" s="231" t="s">
        <v>197</v>
      </c>
      <c r="B49" s="268">
        <v>107023</v>
      </c>
      <c r="C49" s="231" t="s">
        <v>262</v>
      </c>
      <c r="D49" s="55"/>
      <c r="E49" s="220"/>
      <c r="F49" s="223"/>
      <c r="G49" s="55"/>
      <c r="H49" s="245"/>
      <c r="I49" s="223"/>
      <c r="J49" s="55"/>
      <c r="K49" s="246"/>
      <c r="L49" s="223"/>
      <c r="M49" s="55"/>
      <c r="N49" s="245"/>
      <c r="O49" s="223"/>
      <c r="P49" s="55"/>
      <c r="Q49" s="246"/>
      <c r="R49" s="223"/>
      <c r="S49" s="55"/>
      <c r="T49" s="246"/>
      <c r="U49" s="223"/>
      <c r="V49" s="55"/>
      <c r="W49" s="245"/>
      <c r="X49" s="223"/>
      <c r="Y49" s="55"/>
      <c r="Z49" s="232"/>
      <c r="AB49" s="219">
        <f>VLOOKUP(C49,[4]Headct!$C$23:$G$76,2,FALSE)</f>
        <v>20.5</v>
      </c>
      <c r="AC49" s="248" t="s">
        <v>263</v>
      </c>
    </row>
    <row r="50" spans="1:29" hidden="1">
      <c r="A50" s="231" t="s">
        <v>197</v>
      </c>
      <c r="B50" s="268">
        <v>107024</v>
      </c>
      <c r="C50" s="231" t="s">
        <v>264</v>
      </c>
      <c r="D50" s="55" t="s">
        <v>265</v>
      </c>
      <c r="E50" s="220">
        <v>0.217</v>
      </c>
      <c r="F50" s="223"/>
      <c r="G50" s="55"/>
      <c r="H50" s="245">
        <f t="shared" ref="H50:I65" si="0">+$E50*H$67</f>
        <v>197043.62212499999</v>
      </c>
      <c r="I50" s="223">
        <f t="shared" si="0"/>
        <v>189214.02613749998</v>
      </c>
      <c r="J50" s="55"/>
      <c r="K50" s="245">
        <f t="shared" ref="K50:L65" si="1">+$E50*K$67</f>
        <v>189214.02613749998</v>
      </c>
      <c r="L50" s="223">
        <f t="shared" si="1"/>
        <v>189214.02613749998</v>
      </c>
      <c r="M50" s="55"/>
      <c r="N50" s="245">
        <f t="shared" ref="N50:O65" si="2">+$E50*N$67</f>
        <v>189214.02613749998</v>
      </c>
      <c r="O50" s="223">
        <f t="shared" si="2"/>
        <v>189865.02613749998</v>
      </c>
      <c r="P50" s="55"/>
      <c r="Q50" s="245">
        <f t="shared" ref="Q50:R65" si="3">+$E50*Q$67</f>
        <v>189865.02613749998</v>
      </c>
      <c r="R50" s="223">
        <f t="shared" si="3"/>
        <v>189865.02613749998</v>
      </c>
      <c r="S50" s="55"/>
      <c r="T50" s="245">
        <f t="shared" ref="T50:U65" si="4">+$E50*T$67</f>
        <v>189865.02613749998</v>
      </c>
      <c r="U50" s="223">
        <f t="shared" si="4"/>
        <v>189865.02613749998</v>
      </c>
      <c r="V50" s="55"/>
      <c r="W50" s="245">
        <f t="shared" ref="W50:X65" si="5">+$E50*W$67</f>
        <v>189865.02613749998</v>
      </c>
      <c r="X50" s="223">
        <f t="shared" si="5"/>
        <v>189865.02613749998</v>
      </c>
      <c r="Y50" s="55"/>
      <c r="Z50" s="232">
        <f>SUM(H50:X50)</f>
        <v>2282954.9096375001</v>
      </c>
      <c r="AB50" s="219">
        <f>VLOOKUP(C50,[4]Headct!$C$23:$G$76,2,FALSE)</f>
        <v>20.5</v>
      </c>
      <c r="AC50" s="248" t="s">
        <v>266</v>
      </c>
    </row>
    <row r="51" spans="1:29">
      <c r="A51" s="231" t="s">
        <v>267</v>
      </c>
      <c r="B51" s="268" t="s">
        <v>34</v>
      </c>
      <c r="C51" s="231" t="s">
        <v>268</v>
      </c>
      <c r="D51" s="55" t="s">
        <v>34</v>
      </c>
      <c r="E51" s="251"/>
      <c r="F51" s="223"/>
      <c r="G51" s="55"/>
      <c r="H51" s="245">
        <f t="shared" si="0"/>
        <v>0</v>
      </c>
      <c r="I51" s="223">
        <f t="shared" si="0"/>
        <v>0</v>
      </c>
      <c r="J51" s="55"/>
      <c r="K51" s="245">
        <f t="shared" si="1"/>
        <v>0</v>
      </c>
      <c r="L51" s="223">
        <f t="shared" si="1"/>
        <v>0</v>
      </c>
      <c r="M51" s="55"/>
      <c r="N51" s="245">
        <f t="shared" si="2"/>
        <v>0</v>
      </c>
      <c r="O51" s="223">
        <f t="shared" si="2"/>
        <v>0</v>
      </c>
      <c r="P51" s="55"/>
      <c r="Q51" s="245">
        <f t="shared" si="3"/>
        <v>0</v>
      </c>
      <c r="R51" s="223">
        <f t="shared" si="3"/>
        <v>0</v>
      </c>
      <c r="S51" s="55"/>
      <c r="T51" s="245">
        <f t="shared" si="4"/>
        <v>0</v>
      </c>
      <c r="U51" s="223">
        <f t="shared" si="4"/>
        <v>0</v>
      </c>
      <c r="V51" s="55"/>
      <c r="W51" s="245">
        <f t="shared" si="5"/>
        <v>0</v>
      </c>
      <c r="X51" s="223">
        <f t="shared" si="5"/>
        <v>0</v>
      </c>
      <c r="Y51" s="55"/>
      <c r="Z51" s="232">
        <f t="shared" ref="Z51:Z65" si="6">SUM(H51:X51)</f>
        <v>0</v>
      </c>
      <c r="AB51" s="219">
        <f>VLOOKUP(C51,[4]Headct!$C$23:$G$76,2,FALSE)</f>
        <v>6</v>
      </c>
      <c r="AC51" s="248" t="s">
        <v>269</v>
      </c>
    </row>
    <row r="52" spans="1:29" hidden="1">
      <c r="A52" s="231" t="s">
        <v>247</v>
      </c>
      <c r="B52" s="268" t="s">
        <v>147</v>
      </c>
      <c r="C52" s="231" t="s">
        <v>270</v>
      </c>
      <c r="D52" s="55" t="s">
        <v>270</v>
      </c>
      <c r="E52" s="251">
        <v>0.17499999999999999</v>
      </c>
      <c r="F52" s="223"/>
      <c r="G52" s="55"/>
      <c r="H52" s="245">
        <f t="shared" si="0"/>
        <v>158906.14687499998</v>
      </c>
      <c r="I52" s="223">
        <f t="shared" si="0"/>
        <v>152591.95656249998</v>
      </c>
      <c r="J52" s="55"/>
      <c r="K52" s="245">
        <f t="shared" si="1"/>
        <v>152591.95656249998</v>
      </c>
      <c r="L52" s="223">
        <f t="shared" si="1"/>
        <v>152591.95656249998</v>
      </c>
      <c r="M52" s="55"/>
      <c r="N52" s="245">
        <f t="shared" si="2"/>
        <v>152591.95656249998</v>
      </c>
      <c r="O52" s="223">
        <f t="shared" si="2"/>
        <v>153116.95656249998</v>
      </c>
      <c r="P52" s="55"/>
      <c r="Q52" s="245">
        <f t="shared" si="3"/>
        <v>153116.95656249998</v>
      </c>
      <c r="R52" s="223">
        <f t="shared" si="3"/>
        <v>153116.95656249998</v>
      </c>
      <c r="S52" s="55"/>
      <c r="T52" s="245">
        <f t="shared" si="4"/>
        <v>153116.95656249998</v>
      </c>
      <c r="U52" s="223">
        <f t="shared" si="4"/>
        <v>153116.95656249998</v>
      </c>
      <c r="V52" s="55"/>
      <c r="W52" s="245">
        <f t="shared" si="5"/>
        <v>153116.95656249998</v>
      </c>
      <c r="X52" s="223">
        <f t="shared" si="5"/>
        <v>153116.95656249998</v>
      </c>
      <c r="Y52" s="55"/>
      <c r="Z52" s="232">
        <f t="shared" si="6"/>
        <v>1841092.6690624999</v>
      </c>
      <c r="AB52" s="219" t="e">
        <f>VLOOKUP(C52,[4]Headct!$C$23:$G$76,2,FALSE)</f>
        <v>#N/A</v>
      </c>
      <c r="AC52" s="248" t="s">
        <v>271</v>
      </c>
    </row>
    <row r="53" spans="1:29" hidden="1">
      <c r="A53" s="231" t="s">
        <v>272</v>
      </c>
      <c r="B53" s="268" t="s">
        <v>177</v>
      </c>
      <c r="C53" s="231" t="s">
        <v>273</v>
      </c>
      <c r="D53" s="55" t="s">
        <v>273</v>
      </c>
      <c r="E53" s="220"/>
      <c r="F53" s="223"/>
      <c r="G53" s="55"/>
      <c r="H53" s="245">
        <f t="shared" si="0"/>
        <v>0</v>
      </c>
      <c r="I53" s="223">
        <f t="shared" si="0"/>
        <v>0</v>
      </c>
      <c r="J53" s="55"/>
      <c r="K53" s="245">
        <f t="shared" si="1"/>
        <v>0</v>
      </c>
      <c r="L53" s="223">
        <f t="shared" si="1"/>
        <v>0</v>
      </c>
      <c r="M53" s="55"/>
      <c r="N53" s="245">
        <f t="shared" si="2"/>
        <v>0</v>
      </c>
      <c r="O53" s="223">
        <f t="shared" si="2"/>
        <v>0</v>
      </c>
      <c r="P53" s="55"/>
      <c r="Q53" s="245">
        <f t="shared" si="3"/>
        <v>0</v>
      </c>
      <c r="R53" s="223">
        <f t="shared" si="3"/>
        <v>0</v>
      </c>
      <c r="S53" s="55"/>
      <c r="T53" s="245">
        <f t="shared" si="4"/>
        <v>0</v>
      </c>
      <c r="U53" s="223">
        <f t="shared" si="4"/>
        <v>0</v>
      </c>
      <c r="V53" s="55"/>
      <c r="W53" s="245">
        <f t="shared" si="5"/>
        <v>0</v>
      </c>
      <c r="X53" s="223">
        <f t="shared" si="5"/>
        <v>0</v>
      </c>
      <c r="Y53" s="55"/>
      <c r="Z53" s="232">
        <f t="shared" si="6"/>
        <v>0</v>
      </c>
      <c r="AB53" s="219" t="e">
        <f>VLOOKUP(C53,[4]Headct!$C$23:$G$76,2,FALSE)</f>
        <v>#N/A</v>
      </c>
      <c r="AC53" s="248" t="s">
        <v>274</v>
      </c>
    </row>
    <row r="54" spans="1:29" hidden="1">
      <c r="A54" s="231"/>
      <c r="B54" s="268"/>
      <c r="C54" s="231" t="s">
        <v>275</v>
      </c>
      <c r="D54" s="55" t="s">
        <v>275</v>
      </c>
      <c r="E54" s="220">
        <v>7.0000000000000007E-2</v>
      </c>
      <c r="F54" s="223"/>
      <c r="G54" s="55"/>
      <c r="H54" s="245">
        <f t="shared" si="0"/>
        <v>63562.458750000005</v>
      </c>
      <c r="I54" s="223">
        <f t="shared" si="0"/>
        <v>61036.782625000007</v>
      </c>
      <c r="J54" s="55"/>
      <c r="K54" s="245">
        <f t="shared" si="1"/>
        <v>61036.782625000007</v>
      </c>
      <c r="L54" s="223">
        <f t="shared" si="1"/>
        <v>61036.782625000007</v>
      </c>
      <c r="M54" s="55"/>
      <c r="N54" s="245">
        <f t="shared" si="2"/>
        <v>61036.782625000007</v>
      </c>
      <c r="O54" s="223">
        <f t="shared" si="2"/>
        <v>61246.782625000007</v>
      </c>
      <c r="P54" s="55"/>
      <c r="Q54" s="245">
        <f t="shared" si="3"/>
        <v>61246.782625000007</v>
      </c>
      <c r="R54" s="223">
        <f t="shared" si="3"/>
        <v>61246.782625000007</v>
      </c>
      <c r="S54" s="55"/>
      <c r="T54" s="245">
        <f t="shared" si="4"/>
        <v>61246.782625000007</v>
      </c>
      <c r="U54" s="223">
        <f t="shared" si="4"/>
        <v>61246.782625000007</v>
      </c>
      <c r="V54" s="55"/>
      <c r="W54" s="245">
        <f t="shared" si="5"/>
        <v>61246.782625000007</v>
      </c>
      <c r="X54" s="223">
        <f t="shared" si="5"/>
        <v>61246.782625000007</v>
      </c>
      <c r="Y54" s="55"/>
      <c r="Z54" s="232">
        <f t="shared" si="6"/>
        <v>736437.06762500003</v>
      </c>
      <c r="AC54" s="248"/>
    </row>
    <row r="55" spans="1:29" hidden="1">
      <c r="A55" s="231"/>
      <c r="B55" s="268"/>
      <c r="C55" s="231" t="s">
        <v>276</v>
      </c>
      <c r="D55" s="55" t="s">
        <v>276</v>
      </c>
      <c r="E55" s="220">
        <v>2.4E-2</v>
      </c>
      <c r="F55" s="223"/>
      <c r="G55" s="55"/>
      <c r="H55" s="245">
        <f t="shared" si="0"/>
        <v>21792.843000000001</v>
      </c>
      <c r="I55" s="223">
        <f t="shared" si="0"/>
        <v>20926.8969</v>
      </c>
      <c r="J55" s="55"/>
      <c r="K55" s="245">
        <f t="shared" si="1"/>
        <v>20926.8969</v>
      </c>
      <c r="L55" s="223">
        <f t="shared" si="1"/>
        <v>20926.8969</v>
      </c>
      <c r="M55" s="55"/>
      <c r="N55" s="245">
        <f t="shared" si="2"/>
        <v>20926.8969</v>
      </c>
      <c r="O55" s="223">
        <f t="shared" si="2"/>
        <v>20998.8969</v>
      </c>
      <c r="P55" s="55"/>
      <c r="Q55" s="245">
        <f t="shared" si="3"/>
        <v>20998.8969</v>
      </c>
      <c r="R55" s="223">
        <f t="shared" si="3"/>
        <v>20998.8969</v>
      </c>
      <c r="S55" s="55"/>
      <c r="T55" s="245">
        <f t="shared" si="4"/>
        <v>20998.8969</v>
      </c>
      <c r="U55" s="223">
        <f t="shared" si="4"/>
        <v>20998.8969</v>
      </c>
      <c r="V55" s="55"/>
      <c r="W55" s="245">
        <f t="shared" si="5"/>
        <v>20998.8969</v>
      </c>
      <c r="X55" s="223">
        <f t="shared" si="5"/>
        <v>20998.8969</v>
      </c>
      <c r="Y55" s="55"/>
      <c r="Z55" s="232">
        <f t="shared" si="6"/>
        <v>252492.70889999994</v>
      </c>
      <c r="AC55" s="248"/>
    </row>
    <row r="56" spans="1:29" hidden="1">
      <c r="A56" s="231"/>
      <c r="B56" s="268"/>
      <c r="C56" s="231" t="s">
        <v>277</v>
      </c>
      <c r="D56" s="55" t="s">
        <v>277</v>
      </c>
      <c r="E56" s="220">
        <v>0.01</v>
      </c>
      <c r="F56" s="223"/>
      <c r="G56" s="55"/>
      <c r="H56" s="245">
        <f t="shared" si="0"/>
        <v>9080.3512499999997</v>
      </c>
      <c r="I56" s="223">
        <f t="shared" si="0"/>
        <v>8719.5403750000005</v>
      </c>
      <c r="J56" s="55"/>
      <c r="K56" s="245">
        <f t="shared" si="1"/>
        <v>8719.5403750000005</v>
      </c>
      <c r="L56" s="223">
        <f t="shared" si="1"/>
        <v>8719.5403750000005</v>
      </c>
      <c r="M56" s="55"/>
      <c r="N56" s="245">
        <f t="shared" si="2"/>
        <v>8719.5403750000005</v>
      </c>
      <c r="O56" s="223">
        <f t="shared" si="2"/>
        <v>8749.5403750000005</v>
      </c>
      <c r="P56" s="55"/>
      <c r="Q56" s="245">
        <f t="shared" si="3"/>
        <v>8749.5403750000005</v>
      </c>
      <c r="R56" s="223">
        <f t="shared" si="3"/>
        <v>8749.5403750000005</v>
      </c>
      <c r="S56" s="55"/>
      <c r="T56" s="245">
        <f t="shared" si="4"/>
        <v>8749.5403750000005</v>
      </c>
      <c r="U56" s="223">
        <f t="shared" si="4"/>
        <v>8749.5403750000005</v>
      </c>
      <c r="V56" s="55"/>
      <c r="W56" s="245">
        <f t="shared" si="5"/>
        <v>8749.5403750000005</v>
      </c>
      <c r="X56" s="223">
        <f t="shared" si="5"/>
        <v>8749.5403750000005</v>
      </c>
      <c r="Y56" s="55"/>
      <c r="Z56" s="232">
        <f t="shared" si="6"/>
        <v>105205.29537499997</v>
      </c>
      <c r="AC56" s="248"/>
    </row>
    <row r="57" spans="1:29" hidden="1">
      <c r="A57" s="231"/>
      <c r="B57" s="268"/>
      <c r="C57" s="231" t="s">
        <v>278</v>
      </c>
      <c r="D57" s="55" t="s">
        <v>278</v>
      </c>
      <c r="E57" s="220">
        <v>0.13500000000000001</v>
      </c>
      <c r="F57" s="223"/>
      <c r="G57" s="55"/>
      <c r="H57" s="245">
        <f t="shared" si="0"/>
        <v>122584.74187500001</v>
      </c>
      <c r="I57" s="223">
        <f t="shared" si="0"/>
        <v>117713.79506250001</v>
      </c>
      <c r="J57" s="55"/>
      <c r="K57" s="245">
        <f t="shared" si="1"/>
        <v>117713.79506250001</v>
      </c>
      <c r="L57" s="223">
        <f t="shared" si="1"/>
        <v>117713.79506250001</v>
      </c>
      <c r="M57" s="55"/>
      <c r="N57" s="245">
        <f t="shared" si="2"/>
        <v>117713.79506250001</v>
      </c>
      <c r="O57" s="223">
        <f t="shared" si="2"/>
        <v>118118.79506250001</v>
      </c>
      <c r="P57" s="55"/>
      <c r="Q57" s="245">
        <f t="shared" si="3"/>
        <v>118118.79506250001</v>
      </c>
      <c r="R57" s="223">
        <f t="shared" si="3"/>
        <v>118118.79506250001</v>
      </c>
      <c r="S57" s="55"/>
      <c r="T57" s="245">
        <f t="shared" si="4"/>
        <v>118118.79506250001</v>
      </c>
      <c r="U57" s="223">
        <f t="shared" si="4"/>
        <v>118118.79506250001</v>
      </c>
      <c r="V57" s="55"/>
      <c r="W57" s="245">
        <f t="shared" si="5"/>
        <v>118118.79506250001</v>
      </c>
      <c r="X57" s="223">
        <f t="shared" si="5"/>
        <v>118118.79506250001</v>
      </c>
      <c r="Y57" s="55"/>
      <c r="Z57" s="232">
        <f t="shared" si="6"/>
        <v>1420271.4875625004</v>
      </c>
      <c r="AC57" s="248"/>
    </row>
    <row r="58" spans="1:29" hidden="1">
      <c r="A58" s="231"/>
      <c r="B58" s="268"/>
      <c r="C58" s="231" t="s">
        <v>279</v>
      </c>
      <c r="D58" s="55" t="s">
        <v>279</v>
      </c>
      <c r="E58" s="220">
        <v>0.13700000000000001</v>
      </c>
      <c r="F58" s="223"/>
      <c r="G58" s="55"/>
      <c r="H58" s="245">
        <f t="shared" si="0"/>
        <v>124400.81212500001</v>
      </c>
      <c r="I58" s="223">
        <f t="shared" si="0"/>
        <v>119457.70313750001</v>
      </c>
      <c r="J58" s="55"/>
      <c r="K58" s="245">
        <f t="shared" si="1"/>
        <v>119457.70313750001</v>
      </c>
      <c r="L58" s="223">
        <f t="shared" si="1"/>
        <v>119457.70313750001</v>
      </c>
      <c r="M58" s="55"/>
      <c r="N58" s="245">
        <f t="shared" si="2"/>
        <v>119457.70313750001</v>
      </c>
      <c r="O58" s="223">
        <f t="shared" si="2"/>
        <v>119868.70313750001</v>
      </c>
      <c r="P58" s="55"/>
      <c r="Q58" s="245">
        <f t="shared" si="3"/>
        <v>119868.70313750001</v>
      </c>
      <c r="R58" s="223">
        <f t="shared" si="3"/>
        <v>119868.70313750001</v>
      </c>
      <c r="S58" s="55"/>
      <c r="T58" s="245">
        <f t="shared" si="4"/>
        <v>119868.70313750001</v>
      </c>
      <c r="U58" s="223">
        <f t="shared" si="4"/>
        <v>119868.70313750001</v>
      </c>
      <c r="V58" s="55"/>
      <c r="W58" s="245">
        <f t="shared" si="5"/>
        <v>119868.70313750001</v>
      </c>
      <c r="X58" s="223">
        <f t="shared" si="5"/>
        <v>119868.70313750001</v>
      </c>
      <c r="Y58" s="55"/>
      <c r="Z58" s="232">
        <f t="shared" si="6"/>
        <v>1441312.5466374999</v>
      </c>
      <c r="AC58" s="248"/>
    </row>
    <row r="59" spans="1:29" hidden="1">
      <c r="A59" s="231"/>
      <c r="B59" s="268"/>
      <c r="C59" s="231" t="s">
        <v>280</v>
      </c>
      <c r="D59" s="55" t="s">
        <v>280</v>
      </c>
      <c r="E59" s="220">
        <v>1.2E-2</v>
      </c>
      <c r="F59" s="223"/>
      <c r="G59" s="55"/>
      <c r="H59" s="245">
        <f t="shared" si="0"/>
        <v>10896.4215</v>
      </c>
      <c r="I59" s="223">
        <f t="shared" si="0"/>
        <v>10463.44845</v>
      </c>
      <c r="J59" s="55"/>
      <c r="K59" s="245">
        <f t="shared" si="1"/>
        <v>10463.44845</v>
      </c>
      <c r="L59" s="223">
        <f t="shared" si="1"/>
        <v>10463.44845</v>
      </c>
      <c r="M59" s="55"/>
      <c r="N59" s="245">
        <f t="shared" si="2"/>
        <v>10463.44845</v>
      </c>
      <c r="O59" s="223">
        <f t="shared" si="2"/>
        <v>10499.44845</v>
      </c>
      <c r="P59" s="55"/>
      <c r="Q59" s="245">
        <f t="shared" si="3"/>
        <v>10499.44845</v>
      </c>
      <c r="R59" s="223">
        <f t="shared" si="3"/>
        <v>10499.44845</v>
      </c>
      <c r="S59" s="55"/>
      <c r="T59" s="245">
        <f t="shared" si="4"/>
        <v>10499.44845</v>
      </c>
      <c r="U59" s="223">
        <f t="shared" si="4"/>
        <v>10499.44845</v>
      </c>
      <c r="V59" s="55"/>
      <c r="W59" s="245">
        <f t="shared" si="5"/>
        <v>10499.44845</v>
      </c>
      <c r="X59" s="223">
        <f t="shared" si="5"/>
        <v>10499.44845</v>
      </c>
      <c r="Y59" s="55"/>
      <c r="Z59" s="232">
        <f t="shared" si="6"/>
        <v>126246.35444999997</v>
      </c>
      <c r="AC59" s="248"/>
    </row>
    <row r="60" spans="1:29" hidden="1">
      <c r="A60" s="231"/>
      <c r="B60" s="268"/>
      <c r="C60" s="231" t="s">
        <v>281</v>
      </c>
      <c r="D60" s="55" t="s">
        <v>281</v>
      </c>
      <c r="E60" s="220">
        <v>1.2E-2</v>
      </c>
      <c r="F60" s="223"/>
      <c r="G60" s="55"/>
      <c r="H60" s="245">
        <f t="shared" si="0"/>
        <v>10896.4215</v>
      </c>
      <c r="I60" s="223">
        <f t="shared" si="0"/>
        <v>10463.44845</v>
      </c>
      <c r="J60" s="55"/>
      <c r="K60" s="245">
        <f t="shared" si="1"/>
        <v>10463.44845</v>
      </c>
      <c r="L60" s="223">
        <f t="shared" si="1"/>
        <v>10463.44845</v>
      </c>
      <c r="M60" s="55"/>
      <c r="N60" s="245">
        <f t="shared" si="2"/>
        <v>10463.44845</v>
      </c>
      <c r="O60" s="223">
        <f t="shared" si="2"/>
        <v>10499.44845</v>
      </c>
      <c r="P60" s="55"/>
      <c r="Q60" s="245">
        <f t="shared" si="3"/>
        <v>10499.44845</v>
      </c>
      <c r="R60" s="223">
        <f t="shared" si="3"/>
        <v>10499.44845</v>
      </c>
      <c r="S60" s="55"/>
      <c r="T60" s="245">
        <f t="shared" si="4"/>
        <v>10499.44845</v>
      </c>
      <c r="U60" s="223">
        <f t="shared" si="4"/>
        <v>10499.44845</v>
      </c>
      <c r="V60" s="55"/>
      <c r="W60" s="245">
        <f t="shared" si="5"/>
        <v>10499.44845</v>
      </c>
      <c r="X60" s="223">
        <f t="shared" si="5"/>
        <v>10499.44845</v>
      </c>
      <c r="Y60" s="55"/>
      <c r="Z60" s="232">
        <f t="shared" si="6"/>
        <v>126246.35444999997</v>
      </c>
      <c r="AC60" s="248"/>
    </row>
    <row r="61" spans="1:29" hidden="1">
      <c r="A61" s="231"/>
      <c r="B61" s="268"/>
      <c r="C61" s="231" t="s">
        <v>282</v>
      </c>
      <c r="D61" s="55" t="s">
        <v>282</v>
      </c>
      <c r="E61" s="220">
        <v>1.2E-2</v>
      </c>
      <c r="F61" s="223"/>
      <c r="G61" s="55"/>
      <c r="H61" s="245">
        <f t="shared" si="0"/>
        <v>10896.4215</v>
      </c>
      <c r="I61" s="223">
        <f t="shared" si="0"/>
        <v>10463.44845</v>
      </c>
      <c r="J61" s="55"/>
      <c r="K61" s="245">
        <f t="shared" si="1"/>
        <v>10463.44845</v>
      </c>
      <c r="L61" s="223">
        <f t="shared" si="1"/>
        <v>10463.44845</v>
      </c>
      <c r="M61" s="55"/>
      <c r="N61" s="245">
        <f t="shared" si="2"/>
        <v>10463.44845</v>
      </c>
      <c r="O61" s="223">
        <f t="shared" si="2"/>
        <v>10499.44845</v>
      </c>
      <c r="P61" s="55"/>
      <c r="Q61" s="245">
        <f t="shared" si="3"/>
        <v>10499.44845</v>
      </c>
      <c r="R61" s="223">
        <f t="shared" si="3"/>
        <v>10499.44845</v>
      </c>
      <c r="S61" s="55"/>
      <c r="T61" s="245">
        <f t="shared" si="4"/>
        <v>10499.44845</v>
      </c>
      <c r="U61" s="223">
        <f t="shared" si="4"/>
        <v>10499.44845</v>
      </c>
      <c r="V61" s="55"/>
      <c r="W61" s="245">
        <f t="shared" si="5"/>
        <v>10499.44845</v>
      </c>
      <c r="X61" s="223">
        <f t="shared" si="5"/>
        <v>10499.44845</v>
      </c>
      <c r="Y61" s="55"/>
      <c r="Z61" s="232">
        <f t="shared" si="6"/>
        <v>126246.35444999997</v>
      </c>
      <c r="AC61" s="248"/>
    </row>
    <row r="62" spans="1:29" hidden="1">
      <c r="A62" s="231"/>
      <c r="B62" s="268"/>
      <c r="C62" s="231" t="s">
        <v>283</v>
      </c>
      <c r="D62" s="55" t="s">
        <v>285</v>
      </c>
      <c r="E62" s="220">
        <f>0.012/3</f>
        <v>4.0000000000000001E-3</v>
      </c>
      <c r="F62" s="223"/>
      <c r="G62" s="55"/>
      <c r="H62" s="245">
        <f t="shared" si="0"/>
        <v>3632.1405</v>
      </c>
      <c r="I62" s="223">
        <f t="shared" si="0"/>
        <v>3487.8161500000001</v>
      </c>
      <c r="J62" s="55"/>
      <c r="K62" s="245">
        <f t="shared" si="1"/>
        <v>3487.8161500000001</v>
      </c>
      <c r="L62" s="223">
        <f t="shared" si="1"/>
        <v>3487.8161500000001</v>
      </c>
      <c r="M62" s="55"/>
      <c r="N62" s="245">
        <f t="shared" si="2"/>
        <v>3487.8161500000001</v>
      </c>
      <c r="O62" s="223">
        <f t="shared" si="2"/>
        <v>3499.8161500000001</v>
      </c>
      <c r="P62" s="55"/>
      <c r="Q62" s="245">
        <f t="shared" si="3"/>
        <v>3499.8161500000001</v>
      </c>
      <c r="R62" s="223">
        <f t="shared" si="3"/>
        <v>3499.8161500000001</v>
      </c>
      <c r="S62" s="55"/>
      <c r="T62" s="245">
        <f t="shared" si="4"/>
        <v>3499.8161500000001</v>
      </c>
      <c r="U62" s="223">
        <f t="shared" si="4"/>
        <v>3499.8161500000001</v>
      </c>
      <c r="V62" s="55"/>
      <c r="W62" s="245">
        <f t="shared" si="5"/>
        <v>3499.8161500000001</v>
      </c>
      <c r="X62" s="223">
        <f t="shared" si="5"/>
        <v>3499.8161500000001</v>
      </c>
      <c r="Y62" s="55"/>
      <c r="Z62" s="232">
        <f t="shared" si="6"/>
        <v>42082.118149999995</v>
      </c>
      <c r="AC62" s="248"/>
    </row>
    <row r="63" spans="1:29">
      <c r="A63" s="231"/>
      <c r="B63" s="268"/>
      <c r="C63" s="231"/>
      <c r="D63" s="55" t="s">
        <v>286</v>
      </c>
      <c r="E63" s="220">
        <f>0.012/3+(0.012/3)</f>
        <v>8.0000000000000002E-3</v>
      </c>
      <c r="F63" s="223"/>
      <c r="G63" s="55"/>
      <c r="H63" s="245">
        <f t="shared" si="0"/>
        <v>7264.2809999999999</v>
      </c>
      <c r="I63" s="223">
        <f t="shared" si="0"/>
        <v>6975.6323000000002</v>
      </c>
      <c r="J63" s="55"/>
      <c r="K63" s="245">
        <f t="shared" si="1"/>
        <v>6975.6323000000002</v>
      </c>
      <c r="L63" s="223">
        <f t="shared" si="1"/>
        <v>6975.6323000000002</v>
      </c>
      <c r="M63" s="55"/>
      <c r="N63" s="245">
        <f t="shared" si="2"/>
        <v>6975.6323000000002</v>
      </c>
      <c r="O63" s="223">
        <f t="shared" si="2"/>
        <v>6999.6323000000002</v>
      </c>
      <c r="P63" s="55"/>
      <c r="Q63" s="245">
        <f t="shared" si="3"/>
        <v>6999.6323000000002</v>
      </c>
      <c r="R63" s="223">
        <f t="shared" si="3"/>
        <v>6999.6323000000002</v>
      </c>
      <c r="S63" s="55"/>
      <c r="T63" s="245">
        <f t="shared" si="4"/>
        <v>6999.6323000000002</v>
      </c>
      <c r="U63" s="223">
        <f t="shared" si="4"/>
        <v>6999.6323000000002</v>
      </c>
      <c r="V63" s="55"/>
      <c r="W63" s="245">
        <f t="shared" si="5"/>
        <v>6999.6323000000002</v>
      </c>
      <c r="X63" s="223">
        <f t="shared" si="5"/>
        <v>6999.6323000000002</v>
      </c>
      <c r="Y63" s="55"/>
      <c r="Z63" s="232">
        <f>SUM(H63:X63)</f>
        <v>84164.23629999999</v>
      </c>
      <c r="AC63" s="248"/>
    </row>
    <row r="64" spans="1:29" hidden="1">
      <c r="A64" s="231"/>
      <c r="B64" s="268"/>
      <c r="C64" s="231"/>
      <c r="D64" s="55" t="s">
        <v>285</v>
      </c>
      <c r="E64" s="220"/>
      <c r="F64" s="223"/>
      <c r="G64" s="55"/>
      <c r="H64" s="245">
        <f t="shared" si="0"/>
        <v>0</v>
      </c>
      <c r="I64" s="223">
        <f t="shared" si="0"/>
        <v>0</v>
      </c>
      <c r="J64" s="55"/>
      <c r="K64" s="245">
        <f t="shared" si="1"/>
        <v>0</v>
      </c>
      <c r="L64" s="223">
        <f t="shared" si="1"/>
        <v>0</v>
      </c>
      <c r="M64" s="55"/>
      <c r="N64" s="245">
        <f t="shared" si="2"/>
        <v>0</v>
      </c>
      <c r="O64" s="223">
        <f t="shared" si="2"/>
        <v>0</v>
      </c>
      <c r="P64" s="55"/>
      <c r="Q64" s="245">
        <f t="shared" si="3"/>
        <v>0</v>
      </c>
      <c r="R64" s="223">
        <f t="shared" si="3"/>
        <v>0</v>
      </c>
      <c r="S64" s="55"/>
      <c r="T64" s="245">
        <f t="shared" si="4"/>
        <v>0</v>
      </c>
      <c r="U64" s="223">
        <f t="shared" si="4"/>
        <v>0</v>
      </c>
      <c r="V64" s="55"/>
      <c r="W64" s="245">
        <f t="shared" si="5"/>
        <v>0</v>
      </c>
      <c r="X64" s="223">
        <f t="shared" si="5"/>
        <v>0</v>
      </c>
      <c r="Y64" s="55"/>
      <c r="Z64" s="232">
        <f>SUM(H64:X64)</f>
        <v>0</v>
      </c>
      <c r="AC64" s="248"/>
    </row>
    <row r="65" spans="1:63">
      <c r="A65" s="231"/>
      <c r="B65" s="268"/>
      <c r="C65" s="231" t="s">
        <v>32</v>
      </c>
      <c r="D65" s="55" t="str">
        <f>+C65</f>
        <v>RAC</v>
      </c>
      <c r="E65" s="220">
        <v>0.184</v>
      </c>
      <c r="F65" s="223"/>
      <c r="G65" s="55"/>
      <c r="H65" s="245">
        <f t="shared" si="0"/>
        <v>167078.46299999999</v>
      </c>
      <c r="I65" s="223">
        <f t="shared" si="0"/>
        <v>160439.5429</v>
      </c>
      <c r="J65" s="55"/>
      <c r="K65" s="245">
        <f t="shared" si="1"/>
        <v>160439.5429</v>
      </c>
      <c r="L65" s="223">
        <f t="shared" si="1"/>
        <v>160439.5429</v>
      </c>
      <c r="M65" s="55"/>
      <c r="N65" s="245">
        <f t="shared" si="2"/>
        <v>160439.5429</v>
      </c>
      <c r="O65" s="223">
        <f t="shared" si="2"/>
        <v>160991.5429</v>
      </c>
      <c r="P65" s="55"/>
      <c r="Q65" s="245">
        <f t="shared" si="3"/>
        <v>160991.5429</v>
      </c>
      <c r="R65" s="223">
        <f t="shared" si="3"/>
        <v>160991.5429</v>
      </c>
      <c r="S65" s="55"/>
      <c r="T65" s="245">
        <f t="shared" si="4"/>
        <v>160991.5429</v>
      </c>
      <c r="U65" s="223">
        <f t="shared" si="4"/>
        <v>160991.5429</v>
      </c>
      <c r="V65" s="55"/>
      <c r="W65" s="245">
        <f t="shared" si="5"/>
        <v>160991.5429</v>
      </c>
      <c r="X65" s="223">
        <f t="shared" si="5"/>
        <v>160991.5429</v>
      </c>
      <c r="Y65" s="55"/>
      <c r="Z65" s="232">
        <f t="shared" si="6"/>
        <v>1935777.4349</v>
      </c>
      <c r="AC65" s="248"/>
    </row>
    <row r="66" spans="1:63">
      <c r="A66" s="231"/>
      <c r="B66" s="55"/>
      <c r="C66" s="231"/>
      <c r="D66" s="55"/>
      <c r="E66" s="231"/>
      <c r="F66" s="223"/>
      <c r="G66" s="55"/>
      <c r="H66" s="245"/>
      <c r="I66" s="223"/>
      <c r="J66" s="55"/>
      <c r="K66" s="245"/>
      <c r="L66" s="223"/>
      <c r="M66" s="55"/>
      <c r="N66" s="245"/>
      <c r="O66" s="223"/>
      <c r="P66" s="55"/>
      <c r="Q66" s="245"/>
      <c r="R66" s="223"/>
      <c r="S66" s="55"/>
      <c r="T66" s="245"/>
      <c r="U66" s="223"/>
      <c r="V66" s="55"/>
      <c r="W66" s="245"/>
      <c r="X66" s="223"/>
      <c r="Y66" s="55"/>
      <c r="Z66" s="247"/>
    </row>
    <row r="67" spans="1:63" s="174" customFormat="1" ht="13.5" thickBot="1">
      <c r="A67" s="269"/>
      <c r="B67" s="270"/>
      <c r="C67" s="253" t="s">
        <v>10</v>
      </c>
      <c r="D67" s="254"/>
      <c r="E67" s="255">
        <f>SUM(E22:E66)</f>
        <v>1</v>
      </c>
      <c r="F67" s="256">
        <f>SUM(F22:F66)</f>
        <v>0</v>
      </c>
      <c r="G67" s="254"/>
      <c r="H67" s="257">
        <f>+[5]Research!D86</f>
        <v>908035.125</v>
      </c>
      <c r="I67" s="256">
        <f>+[5]Research!E86</f>
        <v>871954.03749999998</v>
      </c>
      <c r="J67" s="258"/>
      <c r="K67" s="257">
        <f>+[5]Research!F86</f>
        <v>871954.03749999998</v>
      </c>
      <c r="L67" s="256">
        <f>+[5]Research!G86</f>
        <v>871954.03749999998</v>
      </c>
      <c r="M67" s="258"/>
      <c r="N67" s="257">
        <f>+[5]Research!H86</f>
        <v>871954.03749999998</v>
      </c>
      <c r="O67" s="256">
        <f>+[5]Research!I86</f>
        <v>874954.03749999998</v>
      </c>
      <c r="P67" s="258"/>
      <c r="Q67" s="257">
        <f>+[5]Research!J86</f>
        <v>874954.03749999998</v>
      </c>
      <c r="R67" s="256">
        <f>+[5]Research!K86</f>
        <v>874954.03749999998</v>
      </c>
      <c r="S67" s="258"/>
      <c r="T67" s="257">
        <f>+[5]Research!L86</f>
        <v>874954.03749999998</v>
      </c>
      <c r="U67" s="256">
        <f>+[5]Research!M86</f>
        <v>874954.03749999998</v>
      </c>
      <c r="V67" s="258"/>
      <c r="W67" s="257">
        <f>+[5]Research!N86</f>
        <v>874954.03749999998</v>
      </c>
      <c r="X67" s="256">
        <f>+[5]Research!O86</f>
        <v>874954.03749999998</v>
      </c>
      <c r="Y67" s="258"/>
      <c r="Z67" s="259">
        <f>SUM(Z50:Z66)</f>
        <v>10520529.537499998</v>
      </c>
      <c r="AA67" s="260"/>
      <c r="AB67" s="260"/>
      <c r="AC67" s="260"/>
      <c r="AD67" s="260"/>
      <c r="AE67" s="260"/>
      <c r="AF67" s="260"/>
      <c r="AG67" s="260"/>
      <c r="AH67" s="260"/>
      <c r="AI67" s="260"/>
      <c r="AJ67" s="260"/>
      <c r="AK67" s="260"/>
      <c r="AL67" s="260"/>
      <c r="AM67" s="260"/>
      <c r="AN67" s="260"/>
      <c r="AO67" s="260"/>
      <c r="AP67" s="260"/>
      <c r="AQ67" s="260"/>
      <c r="AR67" s="260"/>
      <c r="AS67" s="260"/>
      <c r="AT67" s="260"/>
      <c r="AU67" s="260"/>
      <c r="AV67" s="260"/>
      <c r="AW67" s="260"/>
      <c r="AX67" s="260"/>
      <c r="AY67" s="260"/>
      <c r="AZ67" s="260"/>
      <c r="BA67" s="260"/>
      <c r="BB67" s="260"/>
      <c r="BC67" s="260"/>
      <c r="BD67" s="260"/>
      <c r="BE67" s="260"/>
      <c r="BF67" s="260"/>
      <c r="BG67" s="260"/>
      <c r="BH67" s="260"/>
      <c r="BI67" s="260"/>
      <c r="BJ67" s="260"/>
      <c r="BK67" s="260"/>
    </row>
    <row r="68" spans="1:63" ht="14.25" thickTop="1" thickBot="1">
      <c r="A68" s="261"/>
      <c r="B68" s="262"/>
      <c r="C68" s="261"/>
      <c r="D68" s="262"/>
      <c r="E68" s="262"/>
      <c r="F68" s="263"/>
      <c r="G68" s="262"/>
      <c r="H68" s="262"/>
      <c r="I68" s="262"/>
      <c r="J68" s="262"/>
      <c r="K68" s="262"/>
      <c r="L68" s="262"/>
      <c r="M68" s="262"/>
      <c r="N68" s="262"/>
      <c r="O68" s="262"/>
      <c r="P68" s="262"/>
      <c r="Q68" s="262"/>
      <c r="R68" s="262"/>
      <c r="S68" s="262"/>
      <c r="T68" s="262"/>
      <c r="U68" s="262"/>
      <c r="V68" s="262"/>
      <c r="W68" s="262"/>
      <c r="X68" s="262"/>
      <c r="Y68" s="262"/>
      <c r="Z68" s="264"/>
    </row>
    <row r="69" spans="1:63" s="265" customFormat="1" ht="9.75" customHeight="1">
      <c r="C69" s="265" t="s">
        <v>284</v>
      </c>
      <c r="F69" s="266">
        <f>SUM(F22:F66)</f>
        <v>0</v>
      </c>
      <c r="I69" s="265">
        <f>SUM(I22:I66)</f>
        <v>871954.03749999998</v>
      </c>
      <c r="L69" s="265">
        <f>SUM(L22:L66)</f>
        <v>871954.03749999998</v>
      </c>
      <c r="O69" s="265">
        <f>SUM(O22:O66)</f>
        <v>874954.03749999998</v>
      </c>
      <c r="R69" s="265">
        <f>SUM(R22:R66)</f>
        <v>874954.03749999998</v>
      </c>
      <c r="U69" s="265">
        <f>SUM(U22:U66)</f>
        <v>874954.03749999998</v>
      </c>
      <c r="X69" s="265">
        <f>SUM(X22:X66)</f>
        <v>874954.03749999998</v>
      </c>
      <c r="Z69" s="265">
        <f>SUM(Z22:Z66)</f>
        <v>10520529.537499998</v>
      </c>
    </row>
    <row r="70" spans="1:63">
      <c r="F70" s="230">
        <f>1-F69</f>
        <v>1</v>
      </c>
    </row>
  </sheetData>
  <mergeCells count="4">
    <mergeCell ref="C15:Z15"/>
    <mergeCell ref="C16:Z16"/>
    <mergeCell ref="E19:F19"/>
    <mergeCell ref="E20:F20"/>
  </mergeCells>
  <pageMargins left="0" right="0" top="1" bottom="1" header="0.5" footer="0.5"/>
  <pageSetup scale="61" orientation="landscape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6"/>
  <sheetViews>
    <sheetView topLeftCell="A34" workbookViewId="0">
      <selection activeCell="J64" sqref="J64"/>
    </sheetView>
  </sheetViews>
  <sheetFormatPr defaultRowHeight="12.75"/>
  <cols>
    <col min="1" max="1" width="1.5703125" customWidth="1"/>
    <col min="3" max="3" width="15" customWidth="1"/>
    <col min="4" max="4" width="14.85546875" customWidth="1"/>
    <col min="5" max="5" width="20.7109375" customWidth="1"/>
    <col min="6" max="6" width="14" style="70" customWidth="1"/>
    <col min="7" max="7" width="12.7109375" style="167" customWidth="1"/>
    <col min="8" max="8" width="12.140625" style="70" customWidth="1"/>
    <col min="9" max="10" width="14.85546875" style="70" customWidth="1"/>
    <col min="11" max="11" width="9.5703125" customWidth="1"/>
  </cols>
  <sheetData>
    <row r="1" spans="1:11" s="166" customFormat="1" ht="20.25">
      <c r="A1" s="294" t="s">
        <v>97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</row>
    <row r="2" spans="1:11">
      <c r="F2"/>
      <c r="G2" s="70"/>
      <c r="H2" s="167"/>
      <c r="K2" s="70"/>
    </row>
    <row r="3" spans="1:11">
      <c r="A3" s="104" t="s">
        <v>98</v>
      </c>
      <c r="F3"/>
      <c r="G3" s="70"/>
      <c r="H3" s="167"/>
      <c r="K3" s="70"/>
    </row>
    <row r="4" spans="1:11">
      <c r="F4"/>
      <c r="G4" s="70"/>
      <c r="H4" s="167"/>
      <c r="K4" s="70"/>
    </row>
    <row r="5" spans="1:11">
      <c r="B5" s="104" t="s">
        <v>99</v>
      </c>
      <c r="F5"/>
      <c r="G5" s="70"/>
      <c r="H5" s="167"/>
      <c r="K5" s="70"/>
    </row>
    <row r="6" spans="1:11">
      <c r="B6" s="104"/>
      <c r="F6"/>
      <c r="G6" s="70"/>
      <c r="H6" s="167"/>
      <c r="K6" s="70"/>
    </row>
    <row r="7" spans="1:11">
      <c r="C7" s="168" t="s">
        <v>100</v>
      </c>
      <c r="D7" s="168" t="s">
        <v>101</v>
      </c>
      <c r="E7" s="168" t="s">
        <v>102</v>
      </c>
      <c r="F7" s="169" t="s">
        <v>103</v>
      </c>
      <c r="G7" s="170" t="s">
        <v>104</v>
      </c>
      <c r="H7" s="169" t="s">
        <v>105</v>
      </c>
      <c r="I7" s="169" t="s">
        <v>10</v>
      </c>
      <c r="J7" s="169"/>
      <c r="K7" s="70"/>
    </row>
    <row r="8" spans="1:11">
      <c r="C8" s="168"/>
      <c r="D8" s="168"/>
      <c r="E8" s="171"/>
      <c r="F8" s="172">
        <v>0.2</v>
      </c>
      <c r="G8" s="173">
        <v>0.32</v>
      </c>
      <c r="H8" s="172">
        <v>0.4</v>
      </c>
      <c r="I8" s="169"/>
      <c r="J8" s="169"/>
      <c r="K8" s="70"/>
    </row>
    <row r="9" spans="1:11">
      <c r="C9" t="s">
        <v>106</v>
      </c>
      <c r="D9" s="70">
        <v>400000</v>
      </c>
      <c r="E9" s="70"/>
      <c r="G9" s="70"/>
      <c r="K9" s="70"/>
    </row>
    <row r="10" spans="1:11">
      <c r="C10" t="s">
        <v>107</v>
      </c>
      <c r="D10" s="70">
        <v>250000</v>
      </c>
      <c r="E10" s="70">
        <v>125000</v>
      </c>
      <c r="F10" s="70">
        <f>+E10*F$8</f>
        <v>25000</v>
      </c>
      <c r="G10" s="70">
        <f>+$E10*G$8</f>
        <v>40000</v>
      </c>
      <c r="H10" s="70">
        <f>+$E10*H$8</f>
        <v>50000</v>
      </c>
      <c r="I10" s="70">
        <f>SUM(E10:H10)</f>
        <v>240000</v>
      </c>
      <c r="K10" s="70"/>
    </row>
    <row r="11" spans="1:11">
      <c r="C11" t="s">
        <v>108</v>
      </c>
      <c r="D11" s="70">
        <v>200000</v>
      </c>
      <c r="E11" s="70">
        <v>100000</v>
      </c>
      <c r="F11" s="70">
        <f>+E11*F$8</f>
        <v>20000</v>
      </c>
      <c r="G11" s="70">
        <f t="shared" ref="G11:H14" si="0">+$E11*G$8</f>
        <v>32000</v>
      </c>
      <c r="H11" s="70">
        <f t="shared" si="0"/>
        <v>40000</v>
      </c>
      <c r="I11" s="70">
        <f>SUM(E11:H11)</f>
        <v>192000</v>
      </c>
      <c r="K11" s="70"/>
    </row>
    <row r="12" spans="1:11">
      <c r="C12" t="s">
        <v>109</v>
      </c>
      <c r="D12" s="70">
        <v>150000</v>
      </c>
      <c r="E12" s="70">
        <v>80000</v>
      </c>
      <c r="F12" s="70">
        <f>+E12*F$8</f>
        <v>16000</v>
      </c>
      <c r="G12" s="70">
        <f t="shared" si="0"/>
        <v>25600</v>
      </c>
      <c r="H12" s="70">
        <f t="shared" si="0"/>
        <v>32000</v>
      </c>
      <c r="I12" s="70">
        <f>SUM(E12:H12)</f>
        <v>153600</v>
      </c>
      <c r="K12" s="70"/>
    </row>
    <row r="13" spans="1:11">
      <c r="C13" t="s">
        <v>110</v>
      </c>
      <c r="D13" s="70">
        <v>125000</v>
      </c>
      <c r="E13" s="70">
        <v>65000</v>
      </c>
      <c r="F13" s="70">
        <f>+E13*F$8</f>
        <v>13000</v>
      </c>
      <c r="G13" s="70">
        <f t="shared" si="0"/>
        <v>20800</v>
      </c>
      <c r="H13" s="70">
        <f t="shared" si="0"/>
        <v>26000</v>
      </c>
      <c r="I13" s="70">
        <f>SUM(E13:H13)</f>
        <v>124800</v>
      </c>
      <c r="K13" s="70"/>
    </row>
    <row r="14" spans="1:11">
      <c r="C14" t="s">
        <v>111</v>
      </c>
      <c r="D14" s="70">
        <v>70000</v>
      </c>
      <c r="E14" s="70">
        <v>35000</v>
      </c>
      <c r="F14" s="70">
        <f>+E14*F$8</f>
        <v>7000</v>
      </c>
      <c r="G14" s="70">
        <f t="shared" si="0"/>
        <v>11200</v>
      </c>
      <c r="H14" s="70">
        <f t="shared" si="0"/>
        <v>14000</v>
      </c>
      <c r="I14" s="70">
        <f>SUM(E14:H14)</f>
        <v>67200</v>
      </c>
      <c r="K14" s="70"/>
    </row>
    <row r="15" spans="1:11">
      <c r="F15"/>
      <c r="G15" s="70"/>
      <c r="H15" s="167"/>
      <c r="K15" s="70"/>
    </row>
    <row r="16" spans="1:11">
      <c r="B16" s="104" t="s">
        <v>112</v>
      </c>
      <c r="F16"/>
      <c r="G16" s="70"/>
      <c r="H16" s="167"/>
      <c r="K16" s="70"/>
    </row>
    <row r="17" spans="3:11">
      <c r="F17"/>
      <c r="G17" s="70"/>
      <c r="H17" s="167"/>
      <c r="K17" s="70"/>
    </row>
    <row r="18" spans="3:11">
      <c r="C18" s="174" t="s">
        <v>113</v>
      </c>
      <c r="F18"/>
      <c r="G18" s="70"/>
      <c r="H18" s="167"/>
      <c r="K18" s="70"/>
    </row>
    <row r="19" spans="3:11">
      <c r="C19" t="s">
        <v>114</v>
      </c>
      <c r="F19"/>
      <c r="G19" s="70"/>
      <c r="H19" s="167"/>
      <c r="K19" s="70"/>
    </row>
    <row r="20" spans="3:11">
      <c r="C20" s="174" t="s">
        <v>115</v>
      </c>
      <c r="F20"/>
      <c r="G20" s="70"/>
      <c r="H20" s="167"/>
      <c r="K20" s="70"/>
    </row>
    <row r="21" spans="3:11">
      <c r="C21" t="s">
        <v>116</v>
      </c>
      <c r="F21"/>
      <c r="G21" s="70"/>
      <c r="H21" s="167"/>
      <c r="K21" s="70"/>
    </row>
    <row r="22" spans="3:11">
      <c r="C22" t="s">
        <v>117</v>
      </c>
      <c r="F22"/>
      <c r="G22" s="70"/>
      <c r="H22" s="167"/>
      <c r="K22" s="70"/>
    </row>
    <row r="23" spans="3:11">
      <c r="C23" t="s">
        <v>118</v>
      </c>
      <c r="F23"/>
      <c r="G23" s="70"/>
      <c r="H23" s="167"/>
      <c r="K23" s="70"/>
    </row>
    <row r="24" spans="3:11">
      <c r="C24" t="s">
        <v>119</v>
      </c>
      <c r="F24"/>
      <c r="G24" s="70"/>
      <c r="H24" s="167"/>
      <c r="K24" s="70"/>
    </row>
    <row r="25" spans="3:11">
      <c r="C25" t="s">
        <v>120</v>
      </c>
      <c r="F25"/>
      <c r="G25" s="70"/>
      <c r="H25" s="167"/>
      <c r="K25" s="70"/>
    </row>
    <row r="26" spans="3:11">
      <c r="C26" t="s">
        <v>121</v>
      </c>
      <c r="F26"/>
      <c r="G26" s="70"/>
      <c r="H26" s="167"/>
      <c r="K26" s="70"/>
    </row>
    <row r="27" spans="3:11">
      <c r="C27" t="s">
        <v>122</v>
      </c>
      <c r="F27"/>
      <c r="G27" s="70"/>
      <c r="H27" s="167"/>
      <c r="K27" s="70"/>
    </row>
    <row r="28" spans="3:11">
      <c r="C28" t="s">
        <v>123</v>
      </c>
      <c r="F28"/>
      <c r="G28" s="70"/>
      <c r="H28" s="167"/>
      <c r="K28" s="70"/>
    </row>
    <row r="29" spans="3:11">
      <c r="C29" t="s">
        <v>124</v>
      </c>
      <c r="F29"/>
      <c r="G29" s="70"/>
      <c r="H29" s="167"/>
      <c r="K29" s="70"/>
    </row>
    <row r="30" spans="3:11">
      <c r="C30" t="s">
        <v>125</v>
      </c>
      <c r="F30"/>
      <c r="G30" s="70"/>
      <c r="H30" s="167"/>
      <c r="K30" s="70"/>
    </row>
    <row r="31" spans="3:11">
      <c r="C31" s="174" t="s">
        <v>126</v>
      </c>
      <c r="F31"/>
      <c r="G31" s="70"/>
      <c r="H31" s="167"/>
      <c r="K31" s="70"/>
    </row>
    <row r="32" spans="3:11">
      <c r="C32" t="s">
        <v>127</v>
      </c>
      <c r="F32"/>
      <c r="G32" s="70"/>
      <c r="H32" s="167"/>
      <c r="K32" s="70"/>
    </row>
    <row r="33" spans="2:11">
      <c r="C33" t="s">
        <v>128</v>
      </c>
      <c r="F33"/>
      <c r="G33" s="70"/>
      <c r="H33" s="167"/>
      <c r="K33" s="70"/>
    </row>
    <row r="34" spans="2:11">
      <c r="C34" t="s">
        <v>129</v>
      </c>
      <c r="F34"/>
      <c r="G34" s="70"/>
      <c r="H34" s="167"/>
      <c r="K34" s="70"/>
    </row>
    <row r="35" spans="2:11">
      <c r="C35" t="s">
        <v>130</v>
      </c>
      <c r="F35"/>
      <c r="G35" s="70"/>
      <c r="H35" s="167"/>
      <c r="K35" s="70"/>
    </row>
    <row r="36" spans="2:11">
      <c r="C36" t="s">
        <v>131</v>
      </c>
      <c r="F36"/>
      <c r="G36" s="70"/>
      <c r="H36" s="167"/>
      <c r="K36" s="70"/>
    </row>
    <row r="37" spans="2:11">
      <c r="C37" s="174" t="s">
        <v>132</v>
      </c>
      <c r="F37"/>
      <c r="G37" s="70"/>
      <c r="H37" s="167"/>
      <c r="K37" s="70"/>
    </row>
    <row r="38" spans="2:11">
      <c r="C38" t="s">
        <v>133</v>
      </c>
      <c r="F38"/>
      <c r="G38" s="70"/>
      <c r="H38" s="167"/>
      <c r="K38" s="70"/>
    </row>
    <row r="39" spans="2:11">
      <c r="C39" t="s">
        <v>134</v>
      </c>
      <c r="F39"/>
      <c r="G39" s="70"/>
      <c r="H39" s="167"/>
      <c r="K39" s="70"/>
    </row>
    <row r="40" spans="2:11">
      <c r="C40" s="174" t="s">
        <v>135</v>
      </c>
      <c r="F40"/>
      <c r="G40" s="70"/>
      <c r="H40" s="167"/>
      <c r="K40" s="70"/>
    </row>
    <row r="41" spans="2:11">
      <c r="C41" t="s">
        <v>136</v>
      </c>
      <c r="F41"/>
      <c r="G41" s="70"/>
      <c r="H41" s="167"/>
      <c r="K41" s="70"/>
    </row>
    <row r="42" spans="2:11">
      <c r="C42" t="s">
        <v>137</v>
      </c>
      <c r="F42"/>
      <c r="G42" s="70"/>
      <c r="H42" s="167"/>
      <c r="K42" s="70"/>
    </row>
    <row r="43" spans="2:11">
      <c r="C43" t="s">
        <v>138</v>
      </c>
      <c r="F43"/>
      <c r="G43" s="70"/>
      <c r="H43" s="167"/>
      <c r="K43" s="70"/>
    </row>
    <row r="44" spans="2:11">
      <c r="F44"/>
      <c r="G44" s="70"/>
      <c r="H44" s="167"/>
      <c r="K44" s="70"/>
    </row>
    <row r="45" spans="2:11">
      <c r="B45" s="104" t="s">
        <v>139</v>
      </c>
      <c r="F45"/>
      <c r="G45" s="70"/>
      <c r="H45" s="167"/>
      <c r="K45" s="70"/>
    </row>
    <row r="46" spans="2:11" ht="13.5" thickBot="1">
      <c r="F46"/>
      <c r="G46" s="70"/>
      <c r="H46" s="167"/>
      <c r="K46" s="70"/>
    </row>
    <row r="47" spans="2:11" ht="13.5" thickBot="1">
      <c r="C47" s="175" t="s">
        <v>140</v>
      </c>
      <c r="D47" s="176" t="s">
        <v>141</v>
      </c>
      <c r="E47" s="176" t="s">
        <v>4</v>
      </c>
      <c r="F47" s="176" t="s">
        <v>142</v>
      </c>
      <c r="G47" s="177" t="s">
        <v>143</v>
      </c>
      <c r="H47" s="178" t="s">
        <v>144</v>
      </c>
      <c r="I47" s="177" t="s">
        <v>5</v>
      </c>
      <c r="J47" s="177" t="s">
        <v>145</v>
      </c>
      <c r="K47" s="179" t="s">
        <v>146</v>
      </c>
    </row>
    <row r="48" spans="2:11" hidden="1">
      <c r="C48" s="180"/>
      <c r="D48" s="181"/>
      <c r="E48" s="181"/>
      <c r="F48" s="181"/>
      <c r="G48" s="182"/>
      <c r="H48" s="183"/>
      <c r="I48" s="182"/>
      <c r="J48" s="184"/>
      <c r="K48" s="185"/>
    </row>
    <row r="49" spans="3:11" hidden="1">
      <c r="C49" s="180" t="s">
        <v>147</v>
      </c>
      <c r="D49" s="186"/>
      <c r="E49" s="187" t="s">
        <v>148</v>
      </c>
      <c r="F49" s="187" t="s">
        <v>149</v>
      </c>
      <c r="G49" s="188">
        <v>250000</v>
      </c>
      <c r="H49" s="189">
        <v>0.75</v>
      </c>
      <c r="I49" s="188">
        <f t="shared" ref="I49:I58" si="1">+H49*G49</f>
        <v>187500</v>
      </c>
      <c r="J49" s="190"/>
      <c r="K49" s="191"/>
    </row>
    <row r="50" spans="3:11" hidden="1">
      <c r="C50" s="180"/>
      <c r="D50" s="186"/>
      <c r="E50" s="187" t="s">
        <v>150</v>
      </c>
      <c r="F50" s="187" t="s">
        <v>149</v>
      </c>
      <c r="G50" s="188">
        <v>200000</v>
      </c>
      <c r="H50" s="189">
        <v>1</v>
      </c>
      <c r="I50" s="188">
        <f t="shared" si="1"/>
        <v>200000</v>
      </c>
      <c r="J50" s="190"/>
      <c r="K50" s="191"/>
    </row>
    <row r="51" spans="3:11" hidden="1">
      <c r="C51" s="180"/>
      <c r="D51" s="186"/>
      <c r="E51" s="187" t="s">
        <v>151</v>
      </c>
      <c r="F51" s="187" t="s">
        <v>149</v>
      </c>
      <c r="G51" s="188">
        <v>150000</v>
      </c>
      <c r="H51" s="189">
        <v>1</v>
      </c>
      <c r="I51" s="188">
        <f>+H51*G51</f>
        <v>150000</v>
      </c>
      <c r="J51" s="190"/>
      <c r="K51" s="191"/>
    </row>
    <row r="52" spans="3:11" hidden="1">
      <c r="C52" s="180"/>
      <c r="D52" s="186"/>
      <c r="E52" s="187" t="s">
        <v>152</v>
      </c>
      <c r="F52" s="187" t="s">
        <v>149</v>
      </c>
      <c r="G52" s="188">
        <v>125000</v>
      </c>
      <c r="H52" s="189">
        <v>0.5</v>
      </c>
      <c r="I52" s="188">
        <f t="shared" si="1"/>
        <v>62500</v>
      </c>
      <c r="J52" s="190"/>
      <c r="K52" s="191"/>
    </row>
    <row r="53" spans="3:11" hidden="1">
      <c r="C53" s="180"/>
      <c r="D53" s="186"/>
      <c r="E53" s="187" t="s">
        <v>153</v>
      </c>
      <c r="F53" s="187" t="s">
        <v>154</v>
      </c>
      <c r="G53" s="188">
        <v>125000</v>
      </c>
      <c r="H53" s="189">
        <v>0.5</v>
      </c>
      <c r="I53" s="188">
        <f t="shared" si="1"/>
        <v>62500</v>
      </c>
      <c r="J53" s="190"/>
      <c r="K53" s="191"/>
    </row>
    <row r="54" spans="3:11" hidden="1">
      <c r="C54" s="180"/>
      <c r="D54" s="186"/>
      <c r="E54" s="187" t="s">
        <v>155</v>
      </c>
      <c r="F54" s="187" t="s">
        <v>154</v>
      </c>
      <c r="G54" s="188">
        <v>125000</v>
      </c>
      <c r="H54" s="189">
        <v>0.5</v>
      </c>
      <c r="I54" s="188">
        <f t="shared" si="1"/>
        <v>62500</v>
      </c>
      <c r="J54" s="190"/>
      <c r="K54" s="191"/>
    </row>
    <row r="55" spans="3:11" hidden="1">
      <c r="C55" s="180"/>
      <c r="D55" s="186"/>
      <c r="E55" s="187" t="s">
        <v>156</v>
      </c>
      <c r="F55" s="187" t="s">
        <v>154</v>
      </c>
      <c r="G55" s="188">
        <v>125000</v>
      </c>
      <c r="H55" s="189">
        <v>0.5</v>
      </c>
      <c r="I55" s="188">
        <f t="shared" si="1"/>
        <v>62500</v>
      </c>
      <c r="J55" s="190"/>
      <c r="K55" s="191"/>
    </row>
    <row r="56" spans="3:11" hidden="1">
      <c r="C56" s="180"/>
      <c r="D56" s="186"/>
      <c r="E56" s="187" t="s">
        <v>157</v>
      </c>
      <c r="F56" s="187" t="s">
        <v>154</v>
      </c>
      <c r="G56" s="188">
        <v>125000</v>
      </c>
      <c r="H56" s="189">
        <v>0.5</v>
      </c>
      <c r="I56" s="188">
        <f t="shared" si="1"/>
        <v>62500</v>
      </c>
      <c r="J56" s="190"/>
      <c r="K56" s="191"/>
    </row>
    <row r="57" spans="3:11" hidden="1">
      <c r="C57" s="180"/>
      <c r="D57" s="186"/>
      <c r="E57" s="187" t="s">
        <v>158</v>
      </c>
      <c r="F57" s="187" t="s">
        <v>159</v>
      </c>
      <c r="G57" s="188">
        <v>400000</v>
      </c>
      <c r="H57" s="189">
        <v>0.15</v>
      </c>
      <c r="I57" s="188">
        <f>+H57*G57</f>
        <v>60000</v>
      </c>
      <c r="J57" s="190"/>
      <c r="K57" s="191"/>
    </row>
    <row r="58" spans="3:11" hidden="1">
      <c r="C58" s="180"/>
      <c r="D58" s="186"/>
      <c r="E58" s="187" t="s">
        <v>160</v>
      </c>
      <c r="F58" s="187" t="s">
        <v>154</v>
      </c>
      <c r="G58" s="188">
        <v>96000</v>
      </c>
      <c r="H58" s="189">
        <v>1</v>
      </c>
      <c r="I58" s="188">
        <f t="shared" si="1"/>
        <v>96000</v>
      </c>
      <c r="J58" s="190"/>
      <c r="K58" s="191"/>
    </row>
    <row r="59" spans="3:11" ht="13.5" hidden="1" thickBot="1">
      <c r="C59" s="180"/>
      <c r="D59" s="186"/>
      <c r="E59" s="187"/>
      <c r="F59" s="187"/>
      <c r="G59" s="188"/>
      <c r="H59" s="189"/>
      <c r="I59" s="188"/>
      <c r="J59" s="190">
        <f>SUM(I48:I59)</f>
        <v>1006000</v>
      </c>
      <c r="K59" s="191">
        <f>+J59/12</f>
        <v>83833.333333333328</v>
      </c>
    </row>
    <row r="60" spans="3:11">
      <c r="C60" s="192"/>
      <c r="D60" s="181"/>
      <c r="E60" s="181"/>
      <c r="F60" s="181"/>
      <c r="G60" s="182"/>
      <c r="H60" s="183"/>
      <c r="I60" s="182"/>
      <c r="J60" s="184"/>
      <c r="K60" s="185"/>
    </row>
    <row r="61" spans="3:11">
      <c r="C61" s="180" t="s">
        <v>34</v>
      </c>
      <c r="D61" s="187" t="s">
        <v>161</v>
      </c>
      <c r="E61" s="187" t="s">
        <v>162</v>
      </c>
      <c r="F61" s="187" t="s">
        <v>163</v>
      </c>
      <c r="G61" s="188">
        <v>250000</v>
      </c>
      <c r="H61" s="189">
        <v>0.04</v>
      </c>
      <c r="I61" s="188">
        <f>+G61*H61</f>
        <v>10000</v>
      </c>
      <c r="J61" s="190"/>
      <c r="K61" s="191"/>
    </row>
    <row r="62" spans="3:11">
      <c r="C62" s="180"/>
      <c r="D62" s="187" t="s">
        <v>164</v>
      </c>
      <c r="E62" s="187" t="s">
        <v>162</v>
      </c>
      <c r="F62" s="187" t="s">
        <v>163</v>
      </c>
      <c r="G62" s="188">
        <v>250000</v>
      </c>
      <c r="H62" s="189">
        <v>0.17</v>
      </c>
      <c r="I62" s="188">
        <f>+G62*H62</f>
        <v>42500</v>
      </c>
      <c r="J62" s="190"/>
      <c r="K62" s="191"/>
    </row>
    <row r="63" spans="3:11">
      <c r="C63" s="180"/>
      <c r="D63" s="187" t="s">
        <v>165</v>
      </c>
      <c r="E63" s="187" t="s">
        <v>162</v>
      </c>
      <c r="F63" s="187" t="s">
        <v>163</v>
      </c>
      <c r="G63" s="188">
        <v>250000</v>
      </c>
      <c r="H63" s="189">
        <v>0.25</v>
      </c>
      <c r="I63" s="188">
        <f t="shared" ref="I63:I74" si="2">+H63*G63</f>
        <v>62500</v>
      </c>
      <c r="J63" s="190"/>
      <c r="K63" s="191"/>
    </row>
    <row r="64" spans="3:11">
      <c r="C64" s="180"/>
      <c r="D64" s="187" t="s">
        <v>161</v>
      </c>
      <c r="E64" s="187" t="s">
        <v>166</v>
      </c>
      <c r="F64" s="187" t="s">
        <v>163</v>
      </c>
      <c r="G64" s="188">
        <v>70000</v>
      </c>
      <c r="H64" s="189">
        <f>+H61/0.71*0.5</f>
        <v>2.8169014084507043E-2</v>
      </c>
      <c r="I64" s="188">
        <f t="shared" si="2"/>
        <v>1971.8309859154931</v>
      </c>
      <c r="J64" s="190"/>
      <c r="K64" s="191"/>
    </row>
    <row r="65" spans="3:11">
      <c r="C65" s="180"/>
      <c r="D65" s="187" t="s">
        <v>164</v>
      </c>
      <c r="E65" s="187" t="s">
        <v>166</v>
      </c>
      <c r="F65" s="187" t="s">
        <v>163</v>
      </c>
      <c r="G65" s="188">
        <v>70000</v>
      </c>
      <c r="H65" s="189">
        <f>+H62/0.71*0.5</f>
        <v>0.11971830985915495</v>
      </c>
      <c r="I65" s="188">
        <f t="shared" si="2"/>
        <v>8380.281690140846</v>
      </c>
      <c r="J65" s="190"/>
      <c r="K65" s="191"/>
    </row>
    <row r="66" spans="3:11">
      <c r="C66" s="180"/>
      <c r="D66" s="187" t="s">
        <v>165</v>
      </c>
      <c r="E66" s="187" t="s">
        <v>166</v>
      </c>
      <c r="F66" s="187" t="s">
        <v>163</v>
      </c>
      <c r="G66" s="188">
        <v>70000</v>
      </c>
      <c r="H66" s="189">
        <f>+H63/0.71*0.5</f>
        <v>0.17605633802816903</v>
      </c>
      <c r="I66" s="188">
        <f t="shared" si="2"/>
        <v>12323.943661971833</v>
      </c>
      <c r="J66" s="190"/>
      <c r="K66" s="191"/>
    </row>
    <row r="67" spans="3:11">
      <c r="C67" s="180"/>
      <c r="D67" s="187" t="s">
        <v>32</v>
      </c>
      <c r="E67" s="187" t="s">
        <v>166</v>
      </c>
      <c r="F67" s="187" t="s">
        <v>167</v>
      </c>
      <c r="G67" s="188">
        <v>70000</v>
      </c>
      <c r="H67" s="189">
        <v>0.25</v>
      </c>
      <c r="I67" s="188">
        <f t="shared" si="2"/>
        <v>17500</v>
      </c>
      <c r="J67" s="190"/>
      <c r="K67" s="191"/>
    </row>
    <row r="68" spans="3:11">
      <c r="C68" s="180"/>
      <c r="D68" s="187" t="s">
        <v>32</v>
      </c>
      <c r="E68" s="187" t="s">
        <v>151</v>
      </c>
      <c r="F68" s="187" t="s">
        <v>167</v>
      </c>
      <c r="G68" s="188">
        <v>150000</v>
      </c>
      <c r="H68" s="189">
        <v>0.25</v>
      </c>
      <c r="I68" s="188">
        <f t="shared" si="2"/>
        <v>37500</v>
      </c>
      <c r="J68" s="190"/>
      <c r="K68" s="191"/>
    </row>
    <row r="69" spans="3:11">
      <c r="C69" s="180"/>
      <c r="D69" s="187" t="s">
        <v>168</v>
      </c>
      <c r="E69" s="187" t="s">
        <v>166</v>
      </c>
      <c r="F69" s="187" t="s">
        <v>167</v>
      </c>
      <c r="G69" s="188">
        <v>70000</v>
      </c>
      <c r="H69" s="189">
        <v>1.5</v>
      </c>
      <c r="I69" s="188">
        <f t="shared" si="2"/>
        <v>105000</v>
      </c>
      <c r="J69" s="190"/>
      <c r="K69" s="191"/>
    </row>
    <row r="70" spans="3:11">
      <c r="C70" s="180"/>
      <c r="D70" s="187" t="s">
        <v>168</v>
      </c>
      <c r="E70" s="187" t="s">
        <v>151</v>
      </c>
      <c r="F70" s="187" t="s">
        <v>167</v>
      </c>
      <c r="G70" s="188">
        <v>150000</v>
      </c>
      <c r="H70" s="189">
        <v>0.25</v>
      </c>
      <c r="I70" s="188">
        <f t="shared" si="2"/>
        <v>37500</v>
      </c>
      <c r="J70" s="190"/>
      <c r="K70" s="191"/>
    </row>
    <row r="71" spans="3:11">
      <c r="C71" s="180"/>
      <c r="D71" s="187"/>
      <c r="E71" s="187" t="s">
        <v>169</v>
      </c>
      <c r="F71" s="187" t="s">
        <v>154</v>
      </c>
      <c r="G71" s="188">
        <f>8000*2*12</f>
        <v>192000</v>
      </c>
      <c r="H71" s="189">
        <v>1</v>
      </c>
      <c r="I71" s="188">
        <f t="shared" si="2"/>
        <v>192000</v>
      </c>
      <c r="J71" s="190"/>
      <c r="K71" s="191"/>
    </row>
    <row r="72" spans="3:11">
      <c r="C72" s="180"/>
      <c r="D72" s="187" t="s">
        <v>170</v>
      </c>
      <c r="E72" s="187" t="s">
        <v>158</v>
      </c>
      <c r="F72" s="187" t="s">
        <v>159</v>
      </c>
      <c r="G72" s="188">
        <v>400000</v>
      </c>
      <c r="H72" s="189">
        <v>0.15</v>
      </c>
      <c r="I72" s="188">
        <f>+H72*G72</f>
        <v>60000</v>
      </c>
      <c r="J72" s="190"/>
      <c r="K72" s="191"/>
    </row>
    <row r="73" spans="3:11">
      <c r="C73" s="180"/>
      <c r="D73" s="187"/>
      <c r="E73" s="187" t="s">
        <v>153</v>
      </c>
      <c r="F73" s="187" t="s">
        <v>154</v>
      </c>
      <c r="G73" s="188">
        <v>125000</v>
      </c>
      <c r="H73" s="189">
        <v>1</v>
      </c>
      <c r="I73" s="188">
        <f t="shared" si="2"/>
        <v>125000</v>
      </c>
      <c r="J73" s="190"/>
      <c r="K73" s="191"/>
    </row>
    <row r="74" spans="3:11">
      <c r="C74" s="180"/>
      <c r="D74" s="187" t="s">
        <v>171</v>
      </c>
      <c r="E74" s="187" t="s">
        <v>172</v>
      </c>
      <c r="F74" s="187" t="s">
        <v>154</v>
      </c>
      <c r="G74" s="188">
        <v>125000</v>
      </c>
      <c r="H74" s="189">
        <v>1</v>
      </c>
      <c r="I74" s="188">
        <f t="shared" si="2"/>
        <v>125000</v>
      </c>
      <c r="J74" s="190"/>
      <c r="K74" s="191"/>
    </row>
    <row r="75" spans="3:11" ht="13.5" thickBot="1">
      <c r="C75" s="193"/>
      <c r="D75" s="194"/>
      <c r="E75" s="195"/>
      <c r="F75" s="195"/>
      <c r="G75" s="196"/>
      <c r="H75" s="197"/>
      <c r="I75" s="196"/>
      <c r="J75" s="198">
        <f>SUM(I60:I75)</f>
        <v>837176.05633802817</v>
      </c>
      <c r="K75" s="199">
        <f>+J75/12</f>
        <v>69764.671361502347</v>
      </c>
    </row>
    <row r="76" spans="3:11" hidden="1">
      <c r="C76" s="180"/>
      <c r="D76" s="186"/>
      <c r="E76" s="187"/>
      <c r="F76" s="187"/>
      <c r="G76" s="188"/>
      <c r="H76" s="189"/>
      <c r="I76" s="188"/>
      <c r="J76" s="190"/>
      <c r="K76" s="191"/>
    </row>
    <row r="77" spans="3:11" hidden="1">
      <c r="C77" s="180" t="s">
        <v>173</v>
      </c>
      <c r="D77" s="186"/>
      <c r="E77" s="187" t="s">
        <v>160</v>
      </c>
      <c r="F77" s="187" t="s">
        <v>154</v>
      </c>
      <c r="G77" s="188">
        <f>8000*1*12</f>
        <v>96000</v>
      </c>
      <c r="H77" s="189">
        <v>1</v>
      </c>
      <c r="I77" s="188">
        <f>+H77*G77</f>
        <v>96000</v>
      </c>
      <c r="J77" s="190"/>
      <c r="K77" s="191"/>
    </row>
    <row r="78" spans="3:11" ht="13.5" hidden="1" thickBot="1">
      <c r="C78" s="193"/>
      <c r="D78" s="194"/>
      <c r="E78" s="195"/>
      <c r="F78" s="195"/>
      <c r="G78" s="196"/>
      <c r="H78" s="197"/>
      <c r="I78" s="196"/>
      <c r="J78" s="198">
        <f>SUM(I76:I78)</f>
        <v>96000</v>
      </c>
      <c r="K78" s="199">
        <f>+J78/12</f>
        <v>8000</v>
      </c>
    </row>
    <row r="79" spans="3:11" hidden="1">
      <c r="C79" s="180"/>
      <c r="D79" s="186"/>
      <c r="E79" s="187"/>
      <c r="F79" s="187"/>
      <c r="G79" s="188"/>
      <c r="H79" s="189"/>
      <c r="I79" s="188"/>
      <c r="J79" s="190"/>
      <c r="K79" s="191"/>
    </row>
    <row r="80" spans="3:11" hidden="1">
      <c r="C80" s="180" t="s">
        <v>174</v>
      </c>
      <c r="D80" s="186"/>
      <c r="E80" s="187" t="s">
        <v>111</v>
      </c>
      <c r="F80" s="187" t="s">
        <v>167</v>
      </c>
      <c r="G80" s="188">
        <v>70000</v>
      </c>
      <c r="H80" s="189">
        <v>1.5</v>
      </c>
      <c r="I80" s="188">
        <f>+H80*G80</f>
        <v>105000</v>
      </c>
      <c r="J80" s="190"/>
      <c r="K80" s="191"/>
    </row>
    <row r="81" spans="3:11" ht="13.5" hidden="1" thickBot="1">
      <c r="C81" s="193"/>
      <c r="D81" s="194"/>
      <c r="E81" s="195"/>
      <c r="F81" s="195"/>
      <c r="G81" s="196"/>
      <c r="H81" s="197"/>
      <c r="I81" s="196"/>
      <c r="J81" s="198">
        <f>SUM(I79:I81)</f>
        <v>105000</v>
      </c>
      <c r="K81" s="199">
        <f>+J81/12</f>
        <v>8750</v>
      </c>
    </row>
    <row r="82" spans="3:11" hidden="1">
      <c r="C82" s="180"/>
      <c r="D82" s="186"/>
      <c r="E82" s="187"/>
      <c r="F82" s="187"/>
      <c r="G82" s="188"/>
      <c r="H82" s="189"/>
      <c r="I82" s="188"/>
      <c r="J82" s="190"/>
      <c r="K82" s="191"/>
    </row>
    <row r="83" spans="3:11" hidden="1">
      <c r="C83" s="180" t="s">
        <v>35</v>
      </c>
      <c r="D83" s="186"/>
      <c r="E83" s="187" t="s">
        <v>169</v>
      </c>
      <c r="F83" s="187" t="s">
        <v>154</v>
      </c>
      <c r="G83" s="188">
        <f>8000*2*12</f>
        <v>192000</v>
      </c>
      <c r="H83" s="189">
        <v>1</v>
      </c>
      <c r="I83" s="188">
        <f>+H83*G83</f>
        <v>192000</v>
      </c>
      <c r="J83" s="190"/>
      <c r="K83" s="191"/>
    </row>
    <row r="84" spans="3:11" ht="13.5" hidden="1" thickBot="1">
      <c r="C84" s="193"/>
      <c r="D84" s="194"/>
      <c r="E84" s="195"/>
      <c r="F84" s="195"/>
      <c r="G84" s="196"/>
      <c r="H84" s="197"/>
      <c r="I84" s="196"/>
      <c r="J84" s="198">
        <f>SUM(I82:I84)</f>
        <v>192000</v>
      </c>
      <c r="K84" s="199">
        <f>+J84/12</f>
        <v>16000</v>
      </c>
    </row>
    <row r="85" spans="3:11" hidden="1">
      <c r="C85" s="180"/>
      <c r="D85" s="186"/>
      <c r="E85" s="187"/>
      <c r="F85" s="187"/>
      <c r="G85" s="188"/>
      <c r="H85" s="189"/>
      <c r="I85" s="188"/>
      <c r="J85" s="190"/>
      <c r="K85" s="191"/>
    </row>
    <row r="86" spans="3:11" hidden="1">
      <c r="C86" s="180" t="s">
        <v>175</v>
      </c>
      <c r="D86" s="187"/>
      <c r="E86" s="187" t="s">
        <v>162</v>
      </c>
      <c r="F86" s="187" t="s">
        <v>163</v>
      </c>
      <c r="G86" s="188">
        <v>250000</v>
      </c>
      <c r="H86" s="189">
        <v>0.25</v>
      </c>
      <c r="I86" s="188">
        <f>+H86*G86</f>
        <v>62500</v>
      </c>
      <c r="J86" s="190"/>
      <c r="K86" s="191"/>
    </row>
    <row r="87" spans="3:11" hidden="1">
      <c r="C87" s="180"/>
      <c r="D87" s="187"/>
      <c r="E87" s="187" t="s">
        <v>176</v>
      </c>
      <c r="F87" s="187"/>
      <c r="G87" s="188">
        <v>70000</v>
      </c>
      <c r="H87" s="189">
        <f>0.25/0.71*0.5</f>
        <v>0.17605633802816903</v>
      </c>
      <c r="I87" s="188">
        <f>+H87*G87</f>
        <v>12323.943661971833</v>
      </c>
      <c r="J87" s="190"/>
      <c r="K87" s="191"/>
    </row>
    <row r="88" spans="3:11" hidden="1">
      <c r="C88" s="180"/>
      <c r="D88" s="187"/>
      <c r="E88" s="187" t="s">
        <v>166</v>
      </c>
      <c r="F88" s="187" t="s">
        <v>167</v>
      </c>
      <c r="G88" s="188">
        <v>70000</v>
      </c>
      <c r="H88" s="189">
        <v>0.25</v>
      </c>
      <c r="I88" s="188">
        <f>+H88*G88</f>
        <v>17500</v>
      </c>
      <c r="J88" s="190"/>
      <c r="K88" s="191"/>
    </row>
    <row r="89" spans="3:11" hidden="1">
      <c r="C89" s="180"/>
      <c r="D89" s="187"/>
      <c r="E89" s="187" t="s">
        <v>151</v>
      </c>
      <c r="F89" s="187" t="s">
        <v>167</v>
      </c>
      <c r="G89" s="188">
        <v>150000</v>
      </c>
      <c r="H89" s="189">
        <v>0.25</v>
      </c>
      <c r="I89" s="188">
        <f>+H89*G89</f>
        <v>37500</v>
      </c>
      <c r="J89" s="190"/>
      <c r="K89" s="191"/>
    </row>
    <row r="90" spans="3:11" hidden="1">
      <c r="C90" s="180"/>
      <c r="D90" s="187"/>
      <c r="E90" s="187"/>
      <c r="F90" s="187"/>
      <c r="G90" s="188"/>
      <c r="H90" s="189"/>
      <c r="I90" s="188"/>
      <c r="J90" s="190"/>
      <c r="K90" s="191"/>
    </row>
    <row r="91" spans="3:11" ht="13.5" hidden="1" thickBot="1">
      <c r="C91" s="180"/>
      <c r="D91" s="186"/>
      <c r="E91" s="187"/>
      <c r="F91" s="187"/>
      <c r="G91" s="188"/>
      <c r="H91" s="189"/>
      <c r="I91" s="188"/>
      <c r="J91" s="190">
        <f>SUM(I85:I91)</f>
        <v>129823.94366197183</v>
      </c>
      <c r="K91" s="191">
        <f>+J91/12</f>
        <v>10818.661971830987</v>
      </c>
    </row>
    <row r="92" spans="3:11" hidden="1">
      <c r="C92" s="192"/>
      <c r="D92" s="181"/>
      <c r="E92" s="181"/>
      <c r="F92" s="181"/>
      <c r="G92" s="182"/>
      <c r="H92" s="183"/>
      <c r="I92" s="182"/>
      <c r="J92" s="184"/>
      <c r="K92" s="185"/>
    </row>
    <row r="93" spans="3:11" hidden="1">
      <c r="C93" s="180" t="s">
        <v>177</v>
      </c>
      <c r="D93" s="187"/>
      <c r="E93" s="187" t="s">
        <v>157</v>
      </c>
      <c r="F93" s="187" t="s">
        <v>154</v>
      </c>
      <c r="G93" s="188">
        <v>125000</v>
      </c>
      <c r="H93" s="189">
        <v>0.5</v>
      </c>
      <c r="I93" s="188">
        <f>+G93*H93</f>
        <v>62500</v>
      </c>
      <c r="J93" s="190"/>
      <c r="K93" s="191"/>
    </row>
    <row r="94" spans="3:11" hidden="1">
      <c r="C94" s="180"/>
      <c r="D94" s="187"/>
      <c r="E94" s="187" t="s">
        <v>153</v>
      </c>
      <c r="F94" s="187" t="s">
        <v>154</v>
      </c>
      <c r="G94" s="188">
        <v>125000</v>
      </c>
      <c r="H94" s="189">
        <v>0.5</v>
      </c>
      <c r="I94" s="188">
        <f>+H94*G94</f>
        <v>62500</v>
      </c>
      <c r="J94" s="190"/>
      <c r="K94" s="191"/>
    </row>
    <row r="95" spans="3:11" hidden="1">
      <c r="C95" s="180"/>
      <c r="D95" s="187"/>
      <c r="E95" s="187" t="s">
        <v>155</v>
      </c>
      <c r="F95" s="187" t="s">
        <v>154</v>
      </c>
      <c r="G95" s="188">
        <v>125000</v>
      </c>
      <c r="H95" s="189">
        <v>0.5</v>
      </c>
      <c r="I95" s="188">
        <f>+H95*G95</f>
        <v>62500</v>
      </c>
      <c r="J95" s="190"/>
      <c r="K95" s="191"/>
    </row>
    <row r="96" spans="3:11" hidden="1">
      <c r="C96" s="180"/>
      <c r="D96" s="187"/>
      <c r="E96" s="187" t="s">
        <v>156</v>
      </c>
      <c r="F96" s="187" t="s">
        <v>154</v>
      </c>
      <c r="G96" s="188">
        <v>125000</v>
      </c>
      <c r="H96" s="189">
        <v>0.5</v>
      </c>
      <c r="I96" s="188">
        <f>+H96*G96</f>
        <v>62500</v>
      </c>
      <c r="J96" s="190"/>
      <c r="K96" s="191"/>
    </row>
    <row r="97" spans="2:11" hidden="1">
      <c r="C97" s="180"/>
      <c r="D97" s="187"/>
      <c r="E97" s="187" t="s">
        <v>178</v>
      </c>
      <c r="F97" s="187" t="s">
        <v>159</v>
      </c>
      <c r="G97" s="188">
        <v>400000</v>
      </c>
      <c r="H97" s="189">
        <v>0.2</v>
      </c>
      <c r="I97" s="188">
        <f>+H97*G97</f>
        <v>80000</v>
      </c>
      <c r="J97" s="190"/>
      <c r="K97" s="191"/>
    </row>
    <row r="98" spans="2:11" hidden="1">
      <c r="C98" s="180"/>
      <c r="D98" s="187"/>
      <c r="E98" s="187" t="s">
        <v>179</v>
      </c>
      <c r="F98" s="187" t="s">
        <v>149</v>
      </c>
      <c r="G98" s="188">
        <v>200000</v>
      </c>
      <c r="H98" s="189">
        <v>0.5</v>
      </c>
      <c r="I98" s="188">
        <f>+H98*G98</f>
        <v>100000</v>
      </c>
      <c r="J98" s="190"/>
      <c r="K98" s="191"/>
    </row>
    <row r="99" spans="2:11" hidden="1">
      <c r="C99" s="180"/>
      <c r="D99" s="187"/>
      <c r="E99" s="187"/>
      <c r="F99" s="187"/>
      <c r="G99" s="188"/>
      <c r="H99" s="189"/>
      <c r="I99" s="188"/>
      <c r="J99" s="190"/>
      <c r="K99" s="191"/>
    </row>
    <row r="100" spans="2:11" hidden="1">
      <c r="C100" s="180"/>
      <c r="D100" s="187"/>
      <c r="E100" s="187"/>
      <c r="F100" s="187"/>
      <c r="G100" s="188"/>
      <c r="H100" s="189"/>
      <c r="I100" s="188">
        <f>+G100*H100</f>
        <v>0</v>
      </c>
      <c r="J100" s="190"/>
      <c r="K100" s="191"/>
    </row>
    <row r="101" spans="2:11" ht="13.5" hidden="1" thickBot="1">
      <c r="C101" s="180"/>
      <c r="D101" s="187"/>
      <c r="E101" s="187"/>
      <c r="F101" s="187"/>
      <c r="G101" s="188"/>
      <c r="H101" s="189"/>
      <c r="I101" s="188"/>
      <c r="J101" s="190">
        <f>SUM(I92:I101)</f>
        <v>430000</v>
      </c>
      <c r="K101" s="191">
        <f>+J101/12</f>
        <v>35833.333333333336</v>
      </c>
    </row>
    <row r="102" spans="2:11" hidden="1">
      <c r="C102" s="192"/>
      <c r="D102" s="200"/>
      <c r="E102" s="200"/>
      <c r="F102" s="200"/>
      <c r="G102" s="201"/>
      <c r="H102" s="202"/>
      <c r="I102" s="201"/>
      <c r="J102" s="201"/>
      <c r="K102" s="203"/>
    </row>
    <row r="103" spans="2:11" ht="13.5" hidden="1" thickBot="1">
      <c r="C103" s="180"/>
      <c r="D103" s="147" t="s">
        <v>180</v>
      </c>
      <c r="E103" s="72"/>
      <c r="F103" s="72"/>
      <c r="G103" s="152"/>
      <c r="H103" s="204"/>
      <c r="I103" s="152"/>
      <c r="J103" s="205">
        <f>SUM(J59:J102)</f>
        <v>2796000</v>
      </c>
      <c r="K103" s="206">
        <f>SUM(K71:K102)</f>
        <v>149166.66666666666</v>
      </c>
    </row>
    <row r="104" spans="2:11" ht="13.5" thickBot="1">
      <c r="C104" s="193"/>
      <c r="D104" s="207"/>
      <c r="E104" s="207"/>
      <c r="F104" s="207"/>
      <c r="G104" s="208"/>
      <c r="H104" s="209"/>
      <c r="I104" s="208"/>
      <c r="J104" s="208"/>
      <c r="K104" s="210"/>
    </row>
    <row r="105" spans="2:11">
      <c r="F105"/>
      <c r="G105" s="70"/>
      <c r="H105" s="167"/>
      <c r="K105" s="70"/>
    </row>
    <row r="106" spans="2:11">
      <c r="B106" t="str">
        <f ca="1">CELL("filename")</f>
        <v>O:\Fin_Ops\Finrpt\2001\2001 Plan\O&amp;M Reporting\Budget\Intercompany Billings\Corp (011)\[Corp IC billing as of 2k1212.xls]Eng Ops</v>
      </c>
      <c r="F106"/>
      <c r="G106" s="70"/>
      <c r="H106" s="167"/>
      <c r="K106" s="70"/>
    </row>
  </sheetData>
  <mergeCells count="1">
    <mergeCell ref="A1:K1"/>
  </mergeCells>
  <pageMargins left="0.75" right="0.75" top="1" bottom="1" header="0.5" footer="0.5"/>
  <pageSetup scale="65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Co 359 Invoice</vt:lpstr>
      <vt:lpstr>Co 011 Invoice</vt:lpstr>
      <vt:lpstr>Co 34V</vt:lpstr>
      <vt:lpstr>ICFeb correction</vt:lpstr>
      <vt:lpstr>ICAprest</vt:lpstr>
      <vt:lpstr>Additional Inv for CC to Corp</vt:lpstr>
      <vt:lpstr>Eng Ops</vt:lpstr>
      <vt:lpstr>Research Detail</vt:lpstr>
      <vt:lpstr>HR Detail</vt:lpstr>
      <vt:lpstr>ESource</vt:lpstr>
      <vt:lpstr>IT Detail</vt:lpstr>
      <vt:lpstr>'Co 011 Invoice'!Print_Area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2000-11-06T16:22:11Z</cp:lastPrinted>
  <dcterms:created xsi:type="dcterms:W3CDTF">1998-06-25T13:24:09Z</dcterms:created>
  <dcterms:modified xsi:type="dcterms:W3CDTF">2023-09-13T16:25:15Z</dcterms:modified>
</cp:coreProperties>
</file>