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D81B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1CAAE8-8ACC-4824-BBE5-2758703C25C1}" xr6:coauthVersionLast="47" xr6:coauthVersionMax="47" xr10:uidLastSave="{00000000-0000-0000-0000-000000000000}"/>
  <bookViews>
    <workbookView xWindow="-120" yWindow="-120" windowWidth="38640" windowHeight="15720" tabRatio="879" activeTab="4"/>
  </bookViews>
  <sheets>
    <sheet name="Assumptions" sheetId="15" r:id="rId1"/>
    <sheet name="Gain" sheetId="36" r:id="rId2"/>
    <sheet name="EBSCS IS" sheetId="20" r:id="rId3"/>
    <sheet name="CFsum" sheetId="35" r:id="rId4"/>
    <sheet name="EBSCS (cashtax)" sheetId="28" r:id="rId5"/>
    <sheet name="EBSCS FCF" sheetId="32" r:id="rId6"/>
    <sheet name="EBSCS CF" sheetId="22" r:id="rId7"/>
    <sheet name="EBSCS BS" sheetId="21" r:id="rId8"/>
    <sheet name="EBSCS Tax" sheetId="23" r:id="rId9"/>
    <sheet name="EBSCS Cap" sheetId="24" r:id="rId10"/>
    <sheet name="EBSCS Waterfall" sheetId="25" r:id="rId11"/>
  </sheets>
  <externalReferences>
    <externalReference r:id="rId12"/>
    <externalReference r:id="rId13"/>
    <externalReference r:id="rId14"/>
  </externalReferences>
  <definedNames>
    <definedName name="Disct">Assumptions!$C$98</definedName>
    <definedName name="_xlnm.Print_Area" localSheetId="0">Assumptions!$B$1:$W$119</definedName>
    <definedName name="_xlnm.Print_Area" localSheetId="3">CFsum!$A$1:$M$43</definedName>
    <definedName name="_xlnm.Print_Area" localSheetId="4">'EBSCS (cashtax)'!$A$1:$W$21</definedName>
    <definedName name="_xlnm.Print_Area" localSheetId="7">'EBSCS BS'!$A$1:$W$40</definedName>
    <definedName name="_xlnm.Print_Area" localSheetId="9">'EBSCS Cap'!$A$1:$W$120</definedName>
    <definedName name="_xlnm.Print_Area" localSheetId="6">'EBSCS CF'!$A$1:$W$32</definedName>
    <definedName name="_xlnm.Print_Area" localSheetId="5">'EBSCS FCF'!$A$1:$W$25</definedName>
    <definedName name="_xlnm.Print_Area" localSheetId="2">'EBSCS IS'!$A$1:$W$57</definedName>
    <definedName name="_xlnm.Print_Area" localSheetId="8">'EBSCS Tax'!$A$1:$W$19</definedName>
    <definedName name="_xlnm.Print_Area" localSheetId="10">'EBSCS Waterfall'!$A$1:$W$73</definedName>
    <definedName name="_xlnm.Print_Titles" localSheetId="9">'EBSCS Cap'!$1:$2</definedName>
  </definedNames>
  <calcPr calcId="0" calcMode="manual" fullCalcOnLoad="1" iterate="1" iterateCount="50"/>
</workbook>
</file>

<file path=xl/calcChain.xml><?xml version="1.0" encoding="utf-8"?>
<calcChain xmlns="http://schemas.openxmlformats.org/spreadsheetml/2006/main">
  <c r="A2" i="15" l="1"/>
  <c r="A3" i="15"/>
  <c r="A4" i="15"/>
  <c r="A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A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A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A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A9" i="15"/>
  <c r="A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A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A12" i="15"/>
  <c r="A13" i="15"/>
  <c r="A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A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A16" i="15"/>
  <c r="A17" i="15"/>
  <c r="E17" i="15"/>
  <c r="F17" i="15"/>
  <c r="G17" i="15"/>
  <c r="H17" i="15"/>
  <c r="I17" i="15"/>
  <c r="J17" i="15"/>
  <c r="K17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A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A19" i="15"/>
  <c r="A20" i="15"/>
  <c r="A21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A22" i="15"/>
  <c r="A23" i="15"/>
  <c r="A24" i="15"/>
  <c r="A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A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A27" i="15"/>
  <c r="A28" i="15"/>
  <c r="A29" i="15"/>
  <c r="E29" i="15"/>
  <c r="F29" i="15"/>
  <c r="G29" i="15"/>
  <c r="H29" i="15"/>
  <c r="I29" i="15"/>
  <c r="J29" i="15"/>
  <c r="K29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A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A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A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A33" i="15"/>
  <c r="A34" i="15"/>
  <c r="D34" i="15"/>
  <c r="E34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A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A36" i="15"/>
  <c r="A37" i="15"/>
  <c r="A38" i="15"/>
  <c r="A39" i="15"/>
  <c r="D39" i="15"/>
  <c r="A40" i="15"/>
  <c r="D40" i="15"/>
  <c r="A41" i="15"/>
  <c r="A42" i="15"/>
  <c r="A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A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A45" i="15"/>
  <c r="D45" i="15"/>
  <c r="E45" i="15"/>
  <c r="F45" i="15"/>
  <c r="G45" i="15"/>
  <c r="H45" i="15"/>
  <c r="I45" i="15"/>
  <c r="J45" i="15"/>
  <c r="K45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A46" i="15"/>
  <c r="A47" i="15"/>
  <c r="A48" i="15"/>
  <c r="A49" i="15"/>
  <c r="C49" i="15"/>
  <c r="A50" i="15"/>
  <c r="C50" i="15"/>
  <c r="A51" i="15"/>
  <c r="A52" i="15"/>
  <c r="A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A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A55" i="15"/>
  <c r="D55" i="15"/>
  <c r="E55" i="15"/>
  <c r="F55" i="15"/>
  <c r="G55" i="15"/>
  <c r="H55" i="15"/>
  <c r="I55" i="15"/>
  <c r="J55" i="15"/>
  <c r="K55" i="15"/>
  <c r="L55" i="15"/>
  <c r="M55" i="15"/>
  <c r="N55" i="15"/>
  <c r="O55" i="15"/>
  <c r="P55" i="15"/>
  <c r="Q55" i="15"/>
  <c r="R55" i="15"/>
  <c r="S55" i="15"/>
  <c r="T55" i="15"/>
  <c r="U55" i="15"/>
  <c r="V55" i="15"/>
  <c r="W55" i="15"/>
  <c r="A56" i="15"/>
  <c r="A57" i="15"/>
  <c r="A58" i="15"/>
  <c r="D58" i="15"/>
  <c r="E58" i="15"/>
  <c r="F58" i="15"/>
  <c r="G58" i="15"/>
  <c r="H58" i="15"/>
  <c r="I58" i="15"/>
  <c r="J58" i="15"/>
  <c r="K58" i="15"/>
  <c r="L58" i="15"/>
  <c r="M58" i="15"/>
  <c r="N58" i="15"/>
  <c r="O58" i="15"/>
  <c r="P58" i="15"/>
  <c r="Q58" i="15"/>
  <c r="R58" i="15"/>
  <c r="S58" i="15"/>
  <c r="T58" i="15"/>
  <c r="U58" i="15"/>
  <c r="V58" i="15"/>
  <c r="W58" i="15"/>
  <c r="A59" i="15"/>
  <c r="A60" i="15"/>
  <c r="A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A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A63" i="15"/>
  <c r="D63" i="15"/>
  <c r="E63" i="15"/>
  <c r="F63" i="15"/>
  <c r="A64" i="15"/>
  <c r="A65" i="15"/>
  <c r="A66" i="15"/>
  <c r="A67" i="15"/>
  <c r="A68" i="15"/>
  <c r="C68" i="15"/>
  <c r="A69" i="15"/>
  <c r="C69" i="15"/>
  <c r="D69" i="15"/>
  <c r="A70" i="15"/>
  <c r="D70" i="15"/>
  <c r="A71" i="15"/>
  <c r="A72" i="15"/>
  <c r="A73" i="15"/>
  <c r="C73" i="15"/>
  <c r="D73" i="15"/>
  <c r="A74" i="15"/>
  <c r="D74" i="15"/>
  <c r="A75" i="15"/>
  <c r="C75" i="15"/>
  <c r="D75" i="15"/>
  <c r="A76" i="15"/>
  <c r="A77" i="15"/>
  <c r="C77" i="15"/>
  <c r="A78" i="15"/>
  <c r="A79" i="15"/>
  <c r="A80" i="15"/>
  <c r="A81" i="15"/>
  <c r="A82" i="15"/>
  <c r="C82" i="15"/>
  <c r="D82" i="15"/>
  <c r="A83" i="15"/>
  <c r="D83" i="15"/>
  <c r="A84" i="15"/>
  <c r="C84" i="15"/>
  <c r="D84" i="15"/>
  <c r="A85" i="15"/>
  <c r="A86" i="15"/>
  <c r="A87" i="15"/>
  <c r="C87" i="15"/>
  <c r="D87" i="15"/>
  <c r="E87" i="15"/>
  <c r="A88" i="15"/>
  <c r="C88" i="15"/>
  <c r="D88" i="15"/>
  <c r="E88" i="15"/>
  <c r="A89" i="15"/>
  <c r="C89" i="15"/>
  <c r="E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103" i="15"/>
  <c r="A104" i="15"/>
  <c r="A105" i="15"/>
  <c r="A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A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A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A109" i="15"/>
  <c r="A110" i="15"/>
  <c r="A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A112" i="15"/>
  <c r="D112" i="15"/>
  <c r="E112" i="15"/>
  <c r="F112" i="15"/>
  <c r="G112" i="15"/>
  <c r="H112" i="15"/>
  <c r="I112" i="15"/>
  <c r="J112" i="15"/>
  <c r="K112" i="15"/>
  <c r="L112" i="15"/>
  <c r="M112" i="15"/>
  <c r="N112" i="15"/>
  <c r="O112" i="15"/>
  <c r="P112" i="15"/>
  <c r="Q112" i="15"/>
  <c r="R112" i="15"/>
  <c r="S112" i="15"/>
  <c r="T112" i="15"/>
  <c r="U112" i="15"/>
  <c r="V112" i="15"/>
  <c r="W112" i="15"/>
  <c r="A113" i="15"/>
  <c r="D113" i="15"/>
  <c r="E113" i="15"/>
  <c r="F113" i="15"/>
  <c r="G113" i="15"/>
  <c r="H113" i="15"/>
  <c r="I113" i="15"/>
  <c r="J113" i="15"/>
  <c r="K113" i="15"/>
  <c r="L113" i="15"/>
  <c r="M113" i="15"/>
  <c r="N113" i="15"/>
  <c r="O113" i="15"/>
  <c r="P113" i="15"/>
  <c r="Q113" i="15"/>
  <c r="R113" i="15"/>
  <c r="S113" i="15"/>
  <c r="T113" i="15"/>
  <c r="U113" i="15"/>
  <c r="V113" i="15"/>
  <c r="W113" i="15"/>
  <c r="A114" i="15"/>
  <c r="D114" i="15"/>
  <c r="E114" i="15"/>
  <c r="F114" i="15"/>
  <c r="G114" i="15"/>
  <c r="H114" i="15"/>
  <c r="I114" i="15"/>
  <c r="J114" i="15"/>
  <c r="K114" i="15"/>
  <c r="L114" i="15"/>
  <c r="M114" i="15"/>
  <c r="N114" i="15"/>
  <c r="O114" i="15"/>
  <c r="P114" i="15"/>
  <c r="Q114" i="15"/>
  <c r="R114" i="15"/>
  <c r="S114" i="15"/>
  <c r="T114" i="15"/>
  <c r="U114" i="15"/>
  <c r="V114" i="15"/>
  <c r="W114" i="15"/>
  <c r="A115" i="15"/>
  <c r="A116" i="15"/>
  <c r="D116" i="15"/>
  <c r="E116" i="15"/>
  <c r="F116" i="15"/>
  <c r="G116" i="15"/>
  <c r="H116" i="15"/>
  <c r="I116" i="15"/>
  <c r="J116" i="15"/>
  <c r="K116" i="15"/>
  <c r="L116" i="15"/>
  <c r="M116" i="15"/>
  <c r="N116" i="15"/>
  <c r="O116" i="15"/>
  <c r="P116" i="15"/>
  <c r="Q116" i="15"/>
  <c r="R116" i="15"/>
  <c r="S116" i="15"/>
  <c r="T116" i="15"/>
  <c r="U116" i="15"/>
  <c r="V116" i="15"/>
  <c r="W116" i="15"/>
  <c r="A117" i="15"/>
  <c r="D117" i="15"/>
  <c r="E117" i="15"/>
  <c r="F117" i="15"/>
  <c r="G117" i="15"/>
  <c r="H117" i="15"/>
  <c r="I117" i="15"/>
  <c r="J117" i="15"/>
  <c r="K117" i="15"/>
  <c r="L117" i="15"/>
  <c r="M117" i="15"/>
  <c r="N117" i="15"/>
  <c r="O117" i="15"/>
  <c r="P117" i="15"/>
  <c r="Q117" i="15"/>
  <c r="R117" i="15"/>
  <c r="S117" i="15"/>
  <c r="T117" i="15"/>
  <c r="U117" i="15"/>
  <c r="V117" i="15"/>
  <c r="W117" i="15"/>
  <c r="A118" i="15"/>
  <c r="A2" i="35"/>
  <c r="A3" i="35"/>
  <c r="A4" i="35"/>
  <c r="D4" i="35"/>
  <c r="E4" i="35"/>
  <c r="F4" i="35"/>
  <c r="G4" i="35"/>
  <c r="H4" i="35"/>
  <c r="I4" i="35"/>
  <c r="J4" i="35"/>
  <c r="K4" i="35"/>
  <c r="L4" i="35"/>
  <c r="M4" i="35"/>
  <c r="A5" i="35"/>
  <c r="D5" i="35"/>
  <c r="E5" i="35"/>
  <c r="F5" i="35"/>
  <c r="G5" i="35"/>
  <c r="H5" i="35"/>
  <c r="I5" i="35"/>
  <c r="J5" i="35"/>
  <c r="K5" i="35"/>
  <c r="L5" i="35"/>
  <c r="M5" i="35"/>
  <c r="A6" i="35"/>
  <c r="D6" i="35"/>
  <c r="E6" i="35"/>
  <c r="F6" i="35"/>
  <c r="G6" i="35"/>
  <c r="H6" i="35"/>
  <c r="I6" i="35"/>
  <c r="J6" i="35"/>
  <c r="K6" i="35"/>
  <c r="L6" i="35"/>
  <c r="M6" i="35"/>
  <c r="A7" i="35"/>
  <c r="D7" i="35"/>
  <c r="E7" i="35"/>
  <c r="F7" i="35"/>
  <c r="G7" i="35"/>
  <c r="H7" i="35"/>
  <c r="I7" i="35"/>
  <c r="J7" i="35"/>
  <c r="K7" i="35"/>
  <c r="L7" i="35"/>
  <c r="M7" i="35"/>
  <c r="A8" i="35"/>
  <c r="A9" i="35"/>
  <c r="D9" i="35"/>
  <c r="E9" i="35"/>
  <c r="F9" i="35"/>
  <c r="G9" i="35"/>
  <c r="H9" i="35"/>
  <c r="I9" i="35"/>
  <c r="J9" i="35"/>
  <c r="K9" i="35"/>
  <c r="L9" i="35"/>
  <c r="M9" i="35"/>
  <c r="A10" i="35"/>
  <c r="D10" i="35"/>
  <c r="E10" i="35"/>
  <c r="F10" i="35"/>
  <c r="G10" i="35"/>
  <c r="H10" i="35"/>
  <c r="I10" i="35"/>
  <c r="J10" i="35"/>
  <c r="K10" i="35"/>
  <c r="L10" i="35"/>
  <c r="M10" i="35"/>
  <c r="A11" i="35"/>
  <c r="D11" i="35"/>
  <c r="E11" i="35"/>
  <c r="F11" i="35"/>
  <c r="G11" i="35"/>
  <c r="H11" i="35"/>
  <c r="I11" i="35"/>
  <c r="J11" i="35"/>
  <c r="K11" i="35"/>
  <c r="L11" i="35"/>
  <c r="M11" i="35"/>
  <c r="A12" i="35"/>
  <c r="D12" i="35"/>
  <c r="E12" i="35"/>
  <c r="F12" i="35"/>
  <c r="G12" i="35"/>
  <c r="H12" i="35"/>
  <c r="I12" i="35"/>
  <c r="J12" i="35"/>
  <c r="K12" i="35"/>
  <c r="L12" i="35"/>
  <c r="M12" i="35"/>
  <c r="A13" i="35"/>
  <c r="D13" i="35"/>
  <c r="E13" i="35"/>
  <c r="F13" i="35"/>
  <c r="G13" i="35"/>
  <c r="H13" i="35"/>
  <c r="I13" i="35"/>
  <c r="J13" i="35"/>
  <c r="K13" i="35"/>
  <c r="L13" i="35"/>
  <c r="M13" i="35"/>
  <c r="A14" i="35"/>
  <c r="D14" i="35"/>
  <c r="E14" i="35"/>
  <c r="F14" i="35"/>
  <c r="G14" i="35"/>
  <c r="H14" i="35"/>
  <c r="I14" i="35"/>
  <c r="J14" i="35"/>
  <c r="K14" i="35"/>
  <c r="L14" i="35"/>
  <c r="M14" i="35"/>
  <c r="A15" i="35"/>
  <c r="D15" i="35"/>
  <c r="E15" i="35"/>
  <c r="F15" i="35"/>
  <c r="G15" i="35"/>
  <c r="H15" i="35"/>
  <c r="I15" i="35"/>
  <c r="J15" i="35"/>
  <c r="K15" i="35"/>
  <c r="L15" i="35"/>
  <c r="M15" i="35"/>
  <c r="A16" i="35"/>
  <c r="D16" i="35"/>
  <c r="E16" i="35"/>
  <c r="F16" i="35"/>
  <c r="G16" i="35"/>
  <c r="H16" i="35"/>
  <c r="I16" i="35"/>
  <c r="J16" i="35"/>
  <c r="K16" i="35"/>
  <c r="L16" i="35"/>
  <c r="M16" i="35"/>
  <c r="A17" i="35"/>
  <c r="D17" i="35"/>
  <c r="E17" i="35"/>
  <c r="F17" i="35"/>
  <c r="G17" i="35"/>
  <c r="H17" i="35"/>
  <c r="I17" i="35"/>
  <c r="J17" i="35"/>
  <c r="K17" i="35"/>
  <c r="L17" i="35"/>
  <c r="M17" i="35"/>
  <c r="A18" i="35"/>
  <c r="D18" i="35"/>
  <c r="E18" i="35"/>
  <c r="F18" i="35"/>
  <c r="G18" i="35"/>
  <c r="H18" i="35"/>
  <c r="I18" i="35"/>
  <c r="J18" i="35"/>
  <c r="K18" i="35"/>
  <c r="L18" i="35"/>
  <c r="M18" i="35"/>
  <c r="A19" i="35"/>
  <c r="D19" i="35"/>
  <c r="E19" i="35"/>
  <c r="F19" i="35"/>
  <c r="G19" i="35"/>
  <c r="H19" i="35"/>
  <c r="I19" i="35"/>
  <c r="J19" i="35"/>
  <c r="K19" i="35"/>
  <c r="L19" i="35"/>
  <c r="M19" i="35"/>
  <c r="A20" i="35"/>
  <c r="D20" i="35"/>
  <c r="E20" i="35"/>
  <c r="F20" i="35"/>
  <c r="G20" i="35"/>
  <c r="H20" i="35"/>
  <c r="I20" i="35"/>
  <c r="J20" i="35"/>
  <c r="K20" i="35"/>
  <c r="L20" i="35"/>
  <c r="M20" i="35"/>
  <c r="A21" i="35"/>
  <c r="D21" i="35"/>
  <c r="E21" i="35"/>
  <c r="F21" i="35"/>
  <c r="G21" i="35"/>
  <c r="H21" i="35"/>
  <c r="I21" i="35"/>
  <c r="J21" i="35"/>
  <c r="K21" i="35"/>
  <c r="L21" i="35"/>
  <c r="M21" i="35"/>
  <c r="A22" i="35"/>
  <c r="A23" i="35"/>
  <c r="D23" i="35"/>
  <c r="E23" i="35"/>
  <c r="F23" i="35"/>
  <c r="G23" i="35"/>
  <c r="H23" i="35"/>
  <c r="I23" i="35"/>
  <c r="J23" i="35"/>
  <c r="K23" i="35"/>
  <c r="L23" i="35"/>
  <c r="M23" i="35"/>
  <c r="A24" i="35"/>
  <c r="D24" i="35"/>
  <c r="E24" i="35"/>
  <c r="F24" i="35"/>
  <c r="G24" i="35"/>
  <c r="H24" i="35"/>
  <c r="I24" i="35"/>
  <c r="J24" i="35"/>
  <c r="K24" i="35"/>
  <c r="L24" i="35"/>
  <c r="M24" i="35"/>
  <c r="A25" i="35"/>
  <c r="A26" i="35"/>
  <c r="D26" i="35"/>
  <c r="E26" i="35"/>
  <c r="F26" i="35"/>
  <c r="G26" i="35"/>
  <c r="H26" i="35"/>
  <c r="I26" i="35"/>
  <c r="J26" i="35"/>
  <c r="K26" i="35"/>
  <c r="L26" i="35"/>
  <c r="M26" i="35"/>
  <c r="A27" i="35"/>
  <c r="D27" i="35"/>
  <c r="E27" i="35"/>
  <c r="F27" i="35"/>
  <c r="G27" i="35"/>
  <c r="H27" i="35"/>
  <c r="I27" i="35"/>
  <c r="J27" i="35"/>
  <c r="K27" i="35"/>
  <c r="L27" i="35"/>
  <c r="M27" i="35"/>
  <c r="A28" i="35"/>
  <c r="D28" i="35"/>
  <c r="E28" i="35"/>
  <c r="F28" i="35"/>
  <c r="G28" i="35"/>
  <c r="H28" i="35"/>
  <c r="I28" i="35"/>
  <c r="J28" i="35"/>
  <c r="K28" i="35"/>
  <c r="L28" i="35"/>
  <c r="M28" i="35"/>
  <c r="A29" i="35"/>
  <c r="D29" i="35"/>
  <c r="E29" i="35"/>
  <c r="F29" i="35"/>
  <c r="G29" i="35"/>
  <c r="H29" i="35"/>
  <c r="I29" i="35"/>
  <c r="J29" i="35"/>
  <c r="K29" i="35"/>
  <c r="L29" i="35"/>
  <c r="M29" i="35"/>
  <c r="A30" i="35"/>
  <c r="D30" i="35"/>
  <c r="E30" i="35"/>
  <c r="F30" i="35"/>
  <c r="G30" i="35"/>
  <c r="H30" i="35"/>
  <c r="I30" i="35"/>
  <c r="J30" i="35"/>
  <c r="K30" i="35"/>
  <c r="L30" i="35"/>
  <c r="M30" i="35"/>
  <c r="A31" i="35"/>
  <c r="D31" i="35"/>
  <c r="E31" i="35"/>
  <c r="F31" i="35"/>
  <c r="G31" i="35"/>
  <c r="H31" i="35"/>
  <c r="I31" i="35"/>
  <c r="J31" i="35"/>
  <c r="K31" i="35"/>
  <c r="L31" i="35"/>
  <c r="M31" i="35"/>
  <c r="A32" i="35"/>
  <c r="A33" i="35"/>
  <c r="D33" i="35"/>
  <c r="E33" i="35"/>
  <c r="F33" i="35"/>
  <c r="G33" i="35"/>
  <c r="H33" i="35"/>
  <c r="I33" i="35"/>
  <c r="J33" i="35"/>
  <c r="K33" i="35"/>
  <c r="L33" i="35"/>
  <c r="M33" i="35"/>
  <c r="A34" i="35"/>
  <c r="C34" i="35"/>
  <c r="A35" i="35"/>
  <c r="D35" i="35"/>
  <c r="E35" i="35"/>
  <c r="F35" i="35"/>
  <c r="G35" i="35"/>
  <c r="H35" i="35"/>
  <c r="I35" i="35"/>
  <c r="J35" i="35"/>
  <c r="K35" i="35"/>
  <c r="L35" i="35"/>
  <c r="M35" i="35"/>
  <c r="A36" i="35"/>
  <c r="A37" i="35"/>
  <c r="C37" i="35"/>
  <c r="A38" i="35"/>
  <c r="C38" i="35"/>
  <c r="A39" i="35"/>
  <c r="C39" i="35"/>
  <c r="A40" i="35"/>
  <c r="C40" i="35"/>
  <c r="A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A3" i="28"/>
  <c r="A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A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A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A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A8" i="28"/>
  <c r="A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A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A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A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A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A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A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A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A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A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A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A20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A21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A22" i="28"/>
  <c r="A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A3" i="21"/>
  <c r="A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A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A6" i="21"/>
  <c r="A7" i="21"/>
  <c r="A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A9" i="21"/>
  <c r="A10" i="21"/>
  <c r="A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A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A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A14" i="21"/>
  <c r="A15" i="21"/>
  <c r="A16" i="21"/>
  <c r="A17" i="21"/>
  <c r="C17" i="21"/>
  <c r="D17" i="21"/>
  <c r="E17" i="21"/>
  <c r="F17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A18" i="21"/>
  <c r="A19" i="21"/>
  <c r="A20" i="21"/>
  <c r="A21" i="21"/>
  <c r="A22" i="21"/>
  <c r="A23" i="21"/>
  <c r="A24" i="21"/>
  <c r="A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A26" i="21"/>
  <c r="A27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A28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A29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A30" i="21"/>
  <c r="A31" i="21"/>
  <c r="D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A32" i="21"/>
  <c r="A33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A34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A35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A36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A37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A38" i="21"/>
  <c r="A39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A40" i="21"/>
  <c r="A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A3" i="24"/>
  <c r="A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A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A6" i="24"/>
  <c r="A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A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A9" i="24"/>
  <c r="A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A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A12" i="24"/>
  <c r="A13" i="24"/>
  <c r="A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A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A16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A17" i="24"/>
  <c r="D17" i="24"/>
  <c r="E17" i="24"/>
  <c r="F17" i="24"/>
  <c r="G17" i="24"/>
  <c r="H17" i="24"/>
  <c r="I17" i="24"/>
  <c r="J17" i="24"/>
  <c r="K17" i="24"/>
  <c r="L17" i="24"/>
  <c r="M17" i="24"/>
  <c r="N17" i="24"/>
  <c r="O17" i="24"/>
  <c r="P17" i="24"/>
  <c r="Q17" i="24"/>
  <c r="R17" i="24"/>
  <c r="S17" i="24"/>
  <c r="T17" i="24"/>
  <c r="U17" i="24"/>
  <c r="V17" i="24"/>
  <c r="W17" i="24"/>
  <c r="A18" i="24"/>
  <c r="A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A20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A21" i="24"/>
  <c r="A22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A23" i="24"/>
  <c r="A24" i="24"/>
  <c r="A25" i="24"/>
  <c r="D25" i="24"/>
  <c r="E25" i="24"/>
  <c r="F25" i="24"/>
  <c r="G25" i="24"/>
  <c r="H25" i="24"/>
  <c r="I25" i="24"/>
  <c r="J25" i="24"/>
  <c r="K25" i="24"/>
  <c r="L25" i="24"/>
  <c r="M25" i="24"/>
  <c r="N25" i="24"/>
  <c r="O25" i="24"/>
  <c r="P25" i="24"/>
  <c r="Q25" i="24"/>
  <c r="R25" i="24"/>
  <c r="S25" i="24"/>
  <c r="T25" i="24"/>
  <c r="U25" i="24"/>
  <c r="V25" i="24"/>
  <c r="W25" i="24"/>
  <c r="A26" i="24"/>
  <c r="A27" i="24"/>
  <c r="A28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A29" i="24"/>
  <c r="A30" i="24"/>
  <c r="A31" i="24"/>
  <c r="D31" i="24"/>
  <c r="E31" i="24"/>
  <c r="F31" i="24"/>
  <c r="G31" i="24"/>
  <c r="H31" i="24"/>
  <c r="I31" i="24"/>
  <c r="J31" i="24"/>
  <c r="K31" i="24"/>
  <c r="L31" i="24"/>
  <c r="M31" i="24"/>
  <c r="N31" i="24"/>
  <c r="O31" i="24"/>
  <c r="P31" i="24"/>
  <c r="Q31" i="24"/>
  <c r="R31" i="24"/>
  <c r="S31" i="24"/>
  <c r="T31" i="24"/>
  <c r="U31" i="24"/>
  <c r="V31" i="24"/>
  <c r="W31" i="24"/>
  <c r="A32" i="24"/>
  <c r="C32" i="24"/>
  <c r="D32" i="24"/>
  <c r="A33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A34" i="24"/>
  <c r="C34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A35" i="24"/>
  <c r="C35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A36" i="24"/>
  <c r="C36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A37" i="24"/>
  <c r="A38" i="24"/>
  <c r="C38" i="24"/>
  <c r="D38" i="24"/>
  <c r="E38" i="24"/>
  <c r="F38" i="24"/>
  <c r="G38" i="24"/>
  <c r="H38" i="24"/>
  <c r="I38" i="24"/>
  <c r="J38" i="24"/>
  <c r="K38" i="24"/>
  <c r="L38" i="24"/>
  <c r="M38" i="24"/>
  <c r="N38" i="24"/>
  <c r="O38" i="24"/>
  <c r="P38" i="24"/>
  <c r="Q38" i="24"/>
  <c r="R38" i="24"/>
  <c r="S38" i="24"/>
  <c r="T38" i="24"/>
  <c r="U38" i="24"/>
  <c r="V38" i="24"/>
  <c r="W38" i="24"/>
  <c r="A39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A40" i="24"/>
  <c r="A41" i="24"/>
  <c r="A42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A43" i="24"/>
  <c r="C43" i="24"/>
  <c r="D43" i="24"/>
  <c r="A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A45" i="24"/>
  <c r="C45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A46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A47" i="24"/>
  <c r="C47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A48" i="24"/>
  <c r="A49" i="24"/>
  <c r="C49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A50" i="24"/>
  <c r="D50" i="24"/>
  <c r="E50" i="24"/>
  <c r="F50" i="24"/>
  <c r="G50" i="24"/>
  <c r="H50" i="24"/>
  <c r="I50" i="24"/>
  <c r="J50" i="24"/>
  <c r="K50" i="24"/>
  <c r="L50" i="24"/>
  <c r="M50" i="24"/>
  <c r="N50" i="24"/>
  <c r="O50" i="24"/>
  <c r="P50" i="24"/>
  <c r="Q50" i="24"/>
  <c r="R50" i="24"/>
  <c r="S50" i="24"/>
  <c r="T50" i="24"/>
  <c r="U50" i="24"/>
  <c r="V50" i="24"/>
  <c r="W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A78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A79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A80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A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A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A83" i="24"/>
  <c r="A84" i="24"/>
  <c r="A85" i="24"/>
  <c r="D85" i="24"/>
  <c r="E85" i="24"/>
  <c r="F85" i="24"/>
  <c r="G85" i="24"/>
  <c r="H85" i="24"/>
  <c r="I85" i="24"/>
  <c r="J85" i="24"/>
  <c r="K85" i="24"/>
  <c r="L85" i="24"/>
  <c r="M85" i="24"/>
  <c r="N85" i="24"/>
  <c r="O85" i="24"/>
  <c r="P85" i="24"/>
  <c r="Q85" i="24"/>
  <c r="R85" i="24"/>
  <c r="S85" i="24"/>
  <c r="T85" i="24"/>
  <c r="U85" i="24"/>
  <c r="V85" i="24"/>
  <c r="W85" i="24"/>
  <c r="A86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A87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A88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A89" i="24"/>
  <c r="A90" i="24"/>
  <c r="A91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A92" i="24"/>
  <c r="D92" i="24"/>
  <c r="E92" i="24"/>
  <c r="F92" i="24"/>
  <c r="G92" i="24"/>
  <c r="H92" i="24"/>
  <c r="I92" i="24"/>
  <c r="J92" i="24"/>
  <c r="K92" i="24"/>
  <c r="L92" i="24"/>
  <c r="M92" i="24"/>
  <c r="N92" i="24"/>
  <c r="O92" i="24"/>
  <c r="P92" i="24"/>
  <c r="Q92" i="24"/>
  <c r="R92" i="24"/>
  <c r="S92" i="24"/>
  <c r="T92" i="24"/>
  <c r="U92" i="24"/>
  <c r="V92" i="24"/>
  <c r="W92" i="24"/>
  <c r="A93" i="24"/>
  <c r="D93" i="24"/>
  <c r="E93" i="24"/>
  <c r="F93" i="24"/>
  <c r="G93" i="24"/>
  <c r="H93" i="24"/>
  <c r="I93" i="24"/>
  <c r="J93" i="24"/>
  <c r="K93" i="24"/>
  <c r="L93" i="24"/>
  <c r="M93" i="24"/>
  <c r="N93" i="24"/>
  <c r="O93" i="24"/>
  <c r="P93" i="24"/>
  <c r="Q93" i="24"/>
  <c r="R93" i="24"/>
  <c r="S93" i="24"/>
  <c r="T93" i="24"/>
  <c r="U93" i="24"/>
  <c r="V93" i="24"/>
  <c r="W93" i="24"/>
  <c r="A94" i="24"/>
  <c r="D94" i="24"/>
  <c r="E94" i="24"/>
  <c r="F94" i="24"/>
  <c r="G94" i="24"/>
  <c r="H94" i="24"/>
  <c r="I94" i="24"/>
  <c r="J94" i="24"/>
  <c r="K94" i="24"/>
  <c r="L94" i="24"/>
  <c r="M94" i="24"/>
  <c r="N94" i="24"/>
  <c r="O94" i="24"/>
  <c r="P94" i="24"/>
  <c r="Q94" i="24"/>
  <c r="R94" i="24"/>
  <c r="S94" i="24"/>
  <c r="T94" i="24"/>
  <c r="U94" i="24"/>
  <c r="V94" i="24"/>
  <c r="W94" i="24"/>
  <c r="A95" i="24"/>
  <c r="A96" i="24"/>
  <c r="A97" i="24"/>
  <c r="A98" i="24"/>
  <c r="D98" i="24"/>
  <c r="E98" i="24"/>
  <c r="F98" i="24"/>
  <c r="G98" i="24"/>
  <c r="H98" i="24"/>
  <c r="I98" i="24"/>
  <c r="J98" i="24"/>
  <c r="K98" i="24"/>
  <c r="L98" i="24"/>
  <c r="M98" i="24"/>
  <c r="N98" i="24"/>
  <c r="O98" i="24"/>
  <c r="P98" i="24"/>
  <c r="Q98" i="24"/>
  <c r="R98" i="24"/>
  <c r="S98" i="24"/>
  <c r="T98" i="24"/>
  <c r="U98" i="24"/>
  <c r="V98" i="24"/>
  <c r="W98" i="24"/>
  <c r="A99" i="24"/>
  <c r="D99" i="24"/>
  <c r="E99" i="24"/>
  <c r="F99" i="24"/>
  <c r="G99" i="24"/>
  <c r="H99" i="24"/>
  <c r="I99" i="24"/>
  <c r="J99" i="24"/>
  <c r="K99" i="24"/>
  <c r="L99" i="24"/>
  <c r="M99" i="24"/>
  <c r="N99" i="24"/>
  <c r="O99" i="24"/>
  <c r="P99" i="24"/>
  <c r="Q99" i="24"/>
  <c r="R99" i="24"/>
  <c r="S99" i="24"/>
  <c r="T99" i="24"/>
  <c r="U99" i="24"/>
  <c r="V99" i="24"/>
  <c r="W99" i="24"/>
  <c r="A100" i="24"/>
  <c r="D100" i="24"/>
  <c r="E100" i="24"/>
  <c r="F100" i="24"/>
  <c r="G100" i="24"/>
  <c r="H100" i="24"/>
  <c r="I100" i="24"/>
  <c r="J100" i="24"/>
  <c r="K100" i="24"/>
  <c r="L100" i="24"/>
  <c r="M100" i="24"/>
  <c r="N100" i="24"/>
  <c r="O100" i="24"/>
  <c r="P100" i="24"/>
  <c r="Q100" i="24"/>
  <c r="R100" i="24"/>
  <c r="S100" i="24"/>
  <c r="T100" i="24"/>
  <c r="U100" i="24"/>
  <c r="V100" i="24"/>
  <c r="W100" i="24"/>
  <c r="A101" i="24"/>
  <c r="A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A3" i="22"/>
  <c r="A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A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A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A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A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A9" i="22"/>
  <c r="A10" i="22"/>
  <c r="A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A12" i="22"/>
  <c r="A13" i="22"/>
  <c r="A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A15" i="22"/>
  <c r="A16" i="22"/>
  <c r="A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A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A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A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A21" i="22"/>
  <c r="D21" i="22"/>
  <c r="A22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A23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A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A25" i="22"/>
  <c r="A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V26" i="22"/>
  <c r="W26" i="22"/>
  <c r="A27" i="22"/>
  <c r="A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A29" i="22"/>
  <c r="A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V30" i="22"/>
  <c r="W30" i="22"/>
  <c r="A31" i="22"/>
  <c r="D31" i="22"/>
  <c r="E31" i="22"/>
  <c r="F31" i="22"/>
  <c r="G31" i="22"/>
  <c r="H31" i="22"/>
  <c r="I31" i="22"/>
  <c r="J31" i="22"/>
  <c r="K31" i="22"/>
  <c r="L31" i="22"/>
  <c r="M31" i="22"/>
  <c r="N31" i="22"/>
  <c r="O31" i="22"/>
  <c r="P31" i="22"/>
  <c r="Q31" i="22"/>
  <c r="R31" i="22"/>
  <c r="S31" i="22"/>
  <c r="T31" i="22"/>
  <c r="U31" i="22"/>
  <c r="V31" i="22"/>
  <c r="W31" i="22"/>
  <c r="A32" i="22"/>
  <c r="A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A3" i="32"/>
  <c r="A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A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A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A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A8" i="32"/>
  <c r="A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A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A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A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A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A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A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A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A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A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A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A20" i="32"/>
  <c r="A21" i="32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V21" i="32"/>
  <c r="W21" i="32"/>
  <c r="A22" i="32"/>
  <c r="D22" i="32"/>
  <c r="E22" i="32"/>
  <c r="F22" i="32"/>
  <c r="G22" i="32"/>
  <c r="H22" i="32"/>
  <c r="I22" i="32"/>
  <c r="J22" i="32"/>
  <c r="K22" i="32"/>
  <c r="L22" i="32"/>
  <c r="M22" i="32"/>
  <c r="N22" i="32"/>
  <c r="O22" i="32"/>
  <c r="P22" i="32"/>
  <c r="Q22" i="32"/>
  <c r="R22" i="32"/>
  <c r="S22" i="32"/>
  <c r="T22" i="32"/>
  <c r="U22" i="32"/>
  <c r="V22" i="32"/>
  <c r="W22" i="32"/>
  <c r="A23" i="32"/>
  <c r="D23" i="32"/>
  <c r="E23" i="32"/>
  <c r="F23" i="32"/>
  <c r="G23" i="32"/>
  <c r="H23" i="32"/>
  <c r="I23" i="32"/>
  <c r="J23" i="32"/>
  <c r="K23" i="32"/>
  <c r="L23" i="32"/>
  <c r="M23" i="32"/>
  <c r="N23" i="32"/>
  <c r="O23" i="32"/>
  <c r="P23" i="32"/>
  <c r="Q23" i="32"/>
  <c r="R23" i="32"/>
  <c r="S23" i="32"/>
  <c r="T23" i="32"/>
  <c r="U23" i="32"/>
  <c r="V23" i="32"/>
  <c r="W23" i="32"/>
  <c r="A24" i="32"/>
  <c r="D24" i="32"/>
  <c r="E24" i="32"/>
  <c r="F24" i="32"/>
  <c r="G24" i="32"/>
  <c r="H24" i="32"/>
  <c r="I24" i="32"/>
  <c r="J24" i="32"/>
  <c r="K24" i="32"/>
  <c r="L24" i="32"/>
  <c r="M24" i="32"/>
  <c r="N24" i="32"/>
  <c r="O24" i="32"/>
  <c r="P24" i="32"/>
  <c r="Q24" i="32"/>
  <c r="R24" i="32"/>
  <c r="S24" i="32"/>
  <c r="T24" i="32"/>
  <c r="U24" i="32"/>
  <c r="V24" i="32"/>
  <c r="W24" i="32"/>
  <c r="A25" i="32"/>
  <c r="A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A3" i="20"/>
  <c r="A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A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A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A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A8" i="20"/>
  <c r="A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A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A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A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A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A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A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A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A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A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A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A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A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A22" i="20"/>
  <c r="A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A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A25" i="20"/>
  <c r="A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A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A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A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A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W30" i="20"/>
  <c r="A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W31" i="20"/>
  <c r="A32" i="20"/>
  <c r="A33" i="20"/>
  <c r="A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A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A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A37" i="20"/>
  <c r="A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W38" i="20"/>
  <c r="A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A40" i="20"/>
  <c r="A41" i="20"/>
  <c r="A42" i="20"/>
  <c r="C42" i="20"/>
  <c r="D42" i="20"/>
  <c r="E42" i="20"/>
  <c r="G42" i="20"/>
  <c r="A43" i="20"/>
  <c r="C43" i="20"/>
  <c r="D43" i="20"/>
  <c r="E43" i="20"/>
  <c r="G43" i="20"/>
  <c r="A44" i="20"/>
  <c r="C44" i="20"/>
  <c r="D44" i="20"/>
  <c r="E44" i="20"/>
  <c r="G44" i="20"/>
  <c r="A45" i="20"/>
  <c r="C45" i="20"/>
  <c r="D45" i="20"/>
  <c r="E45" i="20"/>
  <c r="G45" i="20"/>
  <c r="A46" i="20"/>
  <c r="C46" i="20"/>
  <c r="D46" i="20"/>
  <c r="E46" i="20"/>
  <c r="G46" i="20"/>
  <c r="A47" i="20"/>
  <c r="C47" i="20"/>
  <c r="D47" i="20"/>
  <c r="E47" i="20"/>
  <c r="G47" i="20"/>
  <c r="A48" i="20"/>
  <c r="C48" i="20"/>
  <c r="D48" i="20"/>
  <c r="E48" i="20"/>
  <c r="G48" i="20"/>
  <c r="A49" i="20"/>
  <c r="C49" i="20"/>
  <c r="D49" i="20"/>
  <c r="E49" i="20"/>
  <c r="G49" i="20"/>
  <c r="A50" i="20"/>
  <c r="A51" i="20"/>
  <c r="C51" i="20"/>
  <c r="D51" i="20"/>
  <c r="E51" i="20"/>
  <c r="G51" i="20"/>
  <c r="A52" i="20"/>
  <c r="C52" i="20"/>
  <c r="D52" i="20"/>
  <c r="E52" i="20"/>
  <c r="G52" i="20"/>
  <c r="A53" i="20"/>
  <c r="D53" i="20"/>
  <c r="G53" i="20"/>
  <c r="A54" i="20"/>
  <c r="A55" i="20"/>
  <c r="D55" i="20"/>
  <c r="G55" i="20"/>
  <c r="A56" i="20"/>
  <c r="A57" i="20"/>
  <c r="C57" i="20"/>
  <c r="A58" i="20"/>
  <c r="A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A3" i="23"/>
  <c r="A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A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A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A7" i="23"/>
  <c r="A8" i="23"/>
  <c r="A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A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A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A12" i="23"/>
  <c r="A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A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A15" i="23"/>
  <c r="A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A17" i="23"/>
  <c r="D17" i="23"/>
  <c r="E17" i="23"/>
  <c r="F17" i="23"/>
  <c r="G17" i="23"/>
  <c r="H17" i="23"/>
  <c r="I17" i="23"/>
  <c r="J17" i="23"/>
  <c r="K17" i="23"/>
  <c r="L17" i="23"/>
  <c r="M17" i="23"/>
  <c r="N17" i="23"/>
  <c r="O17" i="23"/>
  <c r="P17" i="23"/>
  <c r="Q17" i="23"/>
  <c r="R17" i="23"/>
  <c r="S17" i="23"/>
  <c r="T17" i="23"/>
  <c r="U17" i="23"/>
  <c r="V17" i="23"/>
  <c r="W17" i="23"/>
  <c r="A18" i="23"/>
  <c r="D18" i="23"/>
  <c r="E18" i="23"/>
  <c r="F18" i="23"/>
  <c r="G18" i="23"/>
  <c r="H18" i="23"/>
  <c r="I18" i="23"/>
  <c r="J18" i="23"/>
  <c r="K18" i="23"/>
  <c r="L18" i="23"/>
  <c r="M18" i="23"/>
  <c r="N18" i="23"/>
  <c r="O18" i="23"/>
  <c r="P18" i="23"/>
  <c r="Q18" i="23"/>
  <c r="R18" i="23"/>
  <c r="S18" i="23"/>
  <c r="T18" i="23"/>
  <c r="U18" i="23"/>
  <c r="V18" i="23"/>
  <c r="W18" i="23"/>
  <c r="A19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A20" i="23"/>
  <c r="A21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A22" i="23"/>
  <c r="A23" i="23"/>
  <c r="A24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A25" i="23"/>
  <c r="D25" i="23"/>
  <c r="E25" i="23"/>
  <c r="F25" i="23"/>
  <c r="G25" i="23"/>
  <c r="H25" i="23"/>
  <c r="I25" i="23"/>
  <c r="J25" i="23"/>
  <c r="K25" i="23"/>
  <c r="L25" i="23"/>
  <c r="M25" i="23"/>
  <c r="N25" i="23"/>
  <c r="O25" i="23"/>
  <c r="P25" i="23"/>
  <c r="Q25" i="23"/>
  <c r="R25" i="23"/>
  <c r="S25" i="23"/>
  <c r="T25" i="23"/>
  <c r="U25" i="23"/>
  <c r="V25" i="23"/>
  <c r="W25" i="23"/>
  <c r="A26" i="23"/>
  <c r="D26" i="23"/>
  <c r="E26" i="23"/>
  <c r="F26" i="23"/>
  <c r="G26" i="23"/>
  <c r="H26" i="23"/>
  <c r="I26" i="23"/>
  <c r="J26" i="23"/>
  <c r="K26" i="23"/>
  <c r="L26" i="23"/>
  <c r="M26" i="23"/>
  <c r="N26" i="23"/>
  <c r="O26" i="23"/>
  <c r="P26" i="23"/>
  <c r="Q26" i="23"/>
  <c r="R26" i="23"/>
  <c r="S26" i="23"/>
  <c r="T26" i="23"/>
  <c r="U26" i="23"/>
  <c r="V26" i="23"/>
  <c r="W26" i="23"/>
  <c r="A27" i="23"/>
  <c r="A28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A29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A30" i="23"/>
  <c r="A31" i="23"/>
  <c r="D31" i="23"/>
  <c r="E31" i="23"/>
  <c r="F31" i="23"/>
  <c r="G31" i="23"/>
  <c r="H31" i="23"/>
  <c r="I31" i="23"/>
  <c r="J31" i="23"/>
  <c r="K31" i="23"/>
  <c r="L31" i="23"/>
  <c r="M31" i="23"/>
  <c r="N31" i="23"/>
  <c r="O31" i="23"/>
  <c r="P31" i="23"/>
  <c r="Q31" i="23"/>
  <c r="R31" i="23"/>
  <c r="S31" i="23"/>
  <c r="T31" i="23"/>
  <c r="U31" i="23"/>
  <c r="V31" i="23"/>
  <c r="W31" i="23"/>
  <c r="A32" i="23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A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A3" i="25"/>
  <c r="A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A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A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A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A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A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A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A11" i="25"/>
  <c r="D11" i="25"/>
  <c r="A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A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A14" i="25"/>
  <c r="A15" i="25"/>
  <c r="A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A17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A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A19" i="25"/>
  <c r="A20" i="25"/>
  <c r="A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A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A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A24" i="25"/>
  <c r="A25" i="25"/>
  <c r="A26" i="25"/>
  <c r="A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A28" i="25"/>
  <c r="A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A30" i="25"/>
  <c r="C30" i="25"/>
  <c r="D30" i="25"/>
  <c r="A31" i="25"/>
  <c r="D31" i="25"/>
  <c r="E31" i="25"/>
  <c r="F31" i="25"/>
  <c r="G31" i="25"/>
  <c r="H31" i="25"/>
  <c r="I31" i="25"/>
  <c r="J31" i="25"/>
  <c r="K31" i="25"/>
  <c r="L31" i="25"/>
  <c r="M31" i="25"/>
  <c r="N31" i="25"/>
  <c r="O31" i="25"/>
  <c r="P31" i="25"/>
  <c r="Q31" i="25"/>
  <c r="R31" i="25"/>
  <c r="S31" i="25"/>
  <c r="T31" i="25"/>
  <c r="U31" i="25"/>
  <c r="V31" i="25"/>
  <c r="W31" i="25"/>
  <c r="A32" i="25"/>
  <c r="C32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A33" i="25"/>
  <c r="A34" i="25"/>
  <c r="A35" i="25"/>
  <c r="C35" i="25"/>
  <c r="A36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A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A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A39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A40" i="25"/>
  <c r="A41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A42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A43" i="25"/>
  <c r="A44" i="25"/>
  <c r="D44" i="25"/>
  <c r="E44" i="25"/>
  <c r="F44" i="25"/>
  <c r="G44" i="25"/>
  <c r="H44" i="25"/>
  <c r="I44" i="25"/>
  <c r="J44" i="25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A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A46" i="25"/>
  <c r="A47" i="25"/>
  <c r="A48" i="25"/>
  <c r="D48" i="25"/>
  <c r="E48" i="25"/>
  <c r="F48" i="25"/>
  <c r="G48" i="25"/>
  <c r="H48" i="25"/>
  <c r="I48" i="25"/>
  <c r="J48" i="25"/>
  <c r="K48" i="25"/>
  <c r="L48" i="25"/>
  <c r="M48" i="25"/>
  <c r="N48" i="25"/>
  <c r="O48" i="25"/>
  <c r="P48" i="25"/>
  <c r="Q48" i="25"/>
  <c r="R48" i="25"/>
  <c r="S48" i="25"/>
  <c r="T48" i="25"/>
  <c r="U48" i="25"/>
  <c r="V48" i="25"/>
  <c r="W48" i="25"/>
  <c r="A49" i="25"/>
  <c r="A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A51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A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A53" i="25"/>
  <c r="A54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A55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A56" i="25"/>
  <c r="B7" i="36"/>
  <c r="D7" i="36"/>
  <c r="F7" i="36"/>
  <c r="B8" i="36"/>
  <c r="D8" i="36"/>
  <c r="F8" i="36"/>
  <c r="B9" i="36"/>
  <c r="D9" i="36"/>
  <c r="F9" i="36"/>
  <c r="B12" i="36"/>
  <c r="F12" i="36"/>
  <c r="B13" i="36"/>
  <c r="D13" i="36"/>
  <c r="F13" i="36"/>
  <c r="B14" i="36"/>
  <c r="D14" i="36"/>
  <c r="F14" i="36"/>
  <c r="B16" i="36"/>
  <c r="F16" i="36"/>
  <c r="B22" i="36"/>
  <c r="B23" i="36"/>
  <c r="B24" i="36"/>
  <c r="B28" i="36"/>
  <c r="D28" i="36"/>
  <c r="F28" i="36"/>
  <c r="B29" i="36"/>
  <c r="D29" i="36"/>
  <c r="F29" i="36"/>
  <c r="B30" i="36"/>
  <c r="D30" i="36"/>
  <c r="F30" i="36"/>
  <c r="B34" i="36"/>
  <c r="F34" i="36"/>
  <c r="B35" i="36"/>
  <c r="D35" i="36"/>
  <c r="F35" i="36"/>
  <c r="B36" i="36"/>
  <c r="D36" i="36"/>
  <c r="F36" i="36"/>
  <c r="B38" i="36"/>
  <c r="F38" i="36"/>
  <c r="B44" i="36"/>
  <c r="D44" i="36"/>
  <c r="F44" i="36"/>
  <c r="B45" i="36"/>
  <c r="D45" i="36"/>
  <c r="B46" i="36"/>
  <c r="D46" i="36"/>
  <c r="B49" i="36"/>
  <c r="B50" i="36"/>
  <c r="B51" i="36"/>
  <c r="B52" i="36"/>
  <c r="B54" i="36"/>
  <c r="D54" i="36"/>
  <c r="F54" i="36"/>
  <c r="B58" i="36"/>
  <c r="D58" i="36"/>
  <c r="F58" i="36"/>
  <c r="B59" i="36"/>
  <c r="D59" i="36"/>
  <c r="F59" i="36"/>
  <c r="B60" i="36"/>
  <c r="B61" i="36"/>
  <c r="B64" i="36"/>
  <c r="B65" i="36"/>
</calcChain>
</file>

<file path=xl/comments1.xml><?xml version="1.0" encoding="utf-8"?>
<comments xmlns="http://schemas.openxmlformats.org/spreadsheetml/2006/main">
  <authors>
    <author>renee_stlouis</author>
  </authors>
  <commentList>
    <comment ref="B38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Estimate of non-capitalizable expenses based on 2,000</t>
        </r>
      </text>
    </comment>
    <comment ref="B39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Phase I costs for Jan - March.  STB &amp; DRM only + estimate for salaries, benefits &amp; other expenses</t>
        </r>
      </text>
    </comment>
    <comment ref="B48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Estimate for DRM costs not capitalizable</t>
        </r>
      </text>
    </comment>
    <comment ref="B49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2000 Phase I basis + salaries &amp; benefits for STB &amp; DRM respectively + travel expense estimate for both STB &amp; DRM</t>
        </r>
      </text>
    </comment>
    <comment ref="B58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Copied from EBS Cashflows model line 6
</t>
        </r>
      </text>
    </comment>
  </commentList>
</comments>
</file>

<file path=xl/comments2.xml><?xml version="1.0" encoding="utf-8"?>
<comments xmlns="http://schemas.openxmlformats.org/spreadsheetml/2006/main">
  <authors>
    <author>renee_stlouis</author>
  </authors>
  <commentList>
    <comment ref="D32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paid first quarter</t>
        </r>
      </text>
    </comment>
    <comment ref="D43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Invested 1st Quarter</t>
        </r>
      </text>
    </comment>
  </commentList>
</comments>
</file>

<file path=xl/comments3.xml><?xml version="1.0" encoding="utf-8"?>
<comments xmlns="http://schemas.openxmlformats.org/spreadsheetml/2006/main">
  <authors>
    <author>renee_stlouis</author>
  </authors>
  <commentList>
    <comment ref="C30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Initial investment 
</t>
        </r>
      </text>
    </comment>
    <comment ref="D30" authorId="0" shapeId="0">
      <text>
        <r>
          <rPr>
            <b/>
            <sz val="8"/>
            <color indexed="81"/>
            <rFont val="Tahoma"/>
          </rPr>
          <t>renee_stlouis:</t>
        </r>
        <r>
          <rPr>
            <sz val="8"/>
            <color indexed="81"/>
            <rFont val="Tahoma"/>
          </rPr>
          <t xml:space="preserve">
Equity Invested throughout the year</t>
        </r>
      </text>
    </comment>
  </commentList>
</comments>
</file>

<file path=xl/sharedStrings.xml><?xml version="1.0" encoding="utf-8"?>
<sst xmlns="http://schemas.openxmlformats.org/spreadsheetml/2006/main" count="511" uniqueCount="335">
  <si>
    <t>Assets</t>
  </si>
  <si>
    <t>Depreciation</t>
  </si>
  <si>
    <t>= EBIT</t>
  </si>
  <si>
    <t>= Net Income</t>
  </si>
  <si>
    <t>Revenues</t>
  </si>
  <si>
    <t xml:space="preserve"> = EBITDA</t>
  </si>
  <si>
    <t>less Depreciation</t>
  </si>
  <si>
    <t>less interest</t>
  </si>
  <si>
    <t>= Pre-tax Income</t>
  </si>
  <si>
    <t>Notes</t>
  </si>
  <si>
    <t>Current Assets</t>
  </si>
  <si>
    <t xml:space="preserve">   A/R</t>
  </si>
  <si>
    <t xml:space="preserve">   Other CA</t>
  </si>
  <si>
    <t>Total Current Assets</t>
  </si>
  <si>
    <t>PP&amp;E</t>
  </si>
  <si>
    <t>Accumulated Depreciation</t>
  </si>
  <si>
    <t>Net PP&amp;E</t>
  </si>
  <si>
    <t>Total Gross PP&amp;E</t>
  </si>
  <si>
    <t>Revolver</t>
  </si>
  <si>
    <t>Total Liabilities</t>
  </si>
  <si>
    <t>Total Revenues</t>
  </si>
  <si>
    <t>Total Expenses</t>
  </si>
  <si>
    <t>Pre-tax Income</t>
  </si>
  <si>
    <t>Tax Rate</t>
  </si>
  <si>
    <t>Goodwill</t>
  </si>
  <si>
    <t>Other Assets</t>
  </si>
  <si>
    <t>Total Assets</t>
  </si>
  <si>
    <t>Current Liabilities</t>
  </si>
  <si>
    <t xml:space="preserve">   A/P</t>
  </si>
  <si>
    <t xml:space="preserve">   Accrued Interest</t>
  </si>
  <si>
    <t xml:space="preserve">   Current Portion of LTD</t>
  </si>
  <si>
    <t>Total Current Liabilities</t>
  </si>
  <si>
    <t>Liabilities &amp; Shareholders Equity</t>
  </si>
  <si>
    <t>Deferred income taxes</t>
  </si>
  <si>
    <t xml:space="preserve">   Current due on Revolver</t>
  </si>
  <si>
    <t>Other LT Liabilities</t>
  </si>
  <si>
    <t>Retained Earnings</t>
  </si>
  <si>
    <t>Total S/E</t>
  </si>
  <si>
    <t>Total Liabilities &amp; S/E</t>
  </si>
  <si>
    <t>Beginning Balance</t>
  </si>
  <si>
    <t>Drawdowns</t>
  </si>
  <si>
    <t>Repayments</t>
  </si>
  <si>
    <t>Ending Balance</t>
  </si>
  <si>
    <t>Interest Rate</t>
  </si>
  <si>
    <t>Interest Due</t>
  </si>
  <si>
    <t>Expenses</t>
  </si>
  <si>
    <t xml:space="preserve">  STB</t>
  </si>
  <si>
    <t xml:space="preserve">  DRM</t>
  </si>
  <si>
    <t xml:space="preserve">  Subscription fee</t>
  </si>
  <si>
    <t>Additions to Revolver</t>
  </si>
  <si>
    <t>Additional Paid In Capital</t>
  </si>
  <si>
    <t>less dividends</t>
  </si>
  <si>
    <t>=Net Income to Retained Earnings</t>
  </si>
  <si>
    <t>Repurchased Equity</t>
  </si>
  <si>
    <t>NOL Carryforward</t>
  </si>
  <si>
    <t>Deferred Income Taxes</t>
  </si>
  <si>
    <t>Long Term Debt</t>
  </si>
  <si>
    <t>Total Equity</t>
  </si>
  <si>
    <t>Long-Term Debt</t>
  </si>
  <si>
    <t xml:space="preserve">Balance  </t>
  </si>
  <si>
    <t>Beginning Cash Position</t>
  </si>
  <si>
    <t>Ending Cash Position</t>
  </si>
  <si>
    <t xml:space="preserve">   Cash</t>
  </si>
  <si>
    <t>Capital Expenditures</t>
  </si>
  <si>
    <t>Debt Revolver</t>
  </si>
  <si>
    <t>Income Taxes Payable for CF</t>
  </si>
  <si>
    <t>Accumulated NOLs</t>
  </si>
  <si>
    <t>Cash Provided by (used for) Operations</t>
  </si>
  <si>
    <t>Cash Provided by (used for) Investments</t>
  </si>
  <si>
    <t>Cash Provided by (used for) Financing</t>
  </si>
  <si>
    <t>Initial Issuance/Outstanding</t>
  </si>
  <si>
    <t>Acquisitions</t>
  </si>
  <si>
    <t>Proceeds from sales of assets</t>
  </si>
  <si>
    <t>Additions to Long Term Debt</t>
  </si>
  <si>
    <t>Principal payments to Revolver</t>
  </si>
  <si>
    <t>Principal payments to LTD</t>
  </si>
  <si>
    <t>Equity issued</t>
  </si>
  <si>
    <t>Repurchased equity</t>
  </si>
  <si>
    <t>Financing Fees</t>
  </si>
  <si>
    <t>Increase (Decrease) in Cash</t>
  </si>
  <si>
    <t>Cash Flow Allocation</t>
  </si>
  <si>
    <t>Beginning Cash</t>
  </si>
  <si>
    <t xml:space="preserve">Cash Provided by Operations </t>
  </si>
  <si>
    <t>Cash Provided by Investments</t>
  </si>
  <si>
    <t>Minimum Cash Needed on Hand</t>
  </si>
  <si>
    <t>Drawdown to Revolver</t>
  </si>
  <si>
    <t>Cash Shortfalls</t>
  </si>
  <si>
    <t>Equity Issuance/Paid In Cap</t>
  </si>
  <si>
    <t xml:space="preserve">Equity </t>
  </si>
  <si>
    <t>Total Outstanding - EOY</t>
  </si>
  <si>
    <t>Total</t>
  </si>
  <si>
    <t>Total Leverage - EOY</t>
  </si>
  <si>
    <t>Total Interest Due to Debt</t>
  </si>
  <si>
    <t>Percentage to Revolver</t>
  </si>
  <si>
    <t>Payments to Revolver</t>
  </si>
  <si>
    <t>Cash Available to Pay Revolver</t>
  </si>
  <si>
    <t>Cash Available to Pay LTD</t>
  </si>
  <si>
    <t>Cash Available to Pay Equity</t>
  </si>
  <si>
    <t xml:space="preserve">Revenues </t>
  </si>
  <si>
    <t>Number of Subscribers</t>
  </si>
  <si>
    <t>STB Sales Revenue</t>
  </si>
  <si>
    <t xml:space="preserve">Depreciation </t>
  </si>
  <si>
    <t>Remaining Rental Fee</t>
  </si>
  <si>
    <t>Royalty Paid to Studios</t>
  </si>
  <si>
    <t>Number of Rentals per Year</t>
  </si>
  <si>
    <t>VOD Mo. Access Fees per Subscriber per Month</t>
  </si>
  <si>
    <t>Access Fee Revenues</t>
  </si>
  <si>
    <t>Sales Income</t>
  </si>
  <si>
    <t>Cash Received (3 yr financing package)</t>
  </si>
  <si>
    <t>Other</t>
  </si>
  <si>
    <t>Income Tax Rate (Federal plus local)</t>
  </si>
  <si>
    <t>Net Cash Flow</t>
  </si>
  <si>
    <t>NPV  15 year</t>
  </si>
  <si>
    <t>NPV  10 year</t>
  </si>
  <si>
    <t>NPV  7 year</t>
  </si>
  <si>
    <t>NPV  5 year</t>
  </si>
  <si>
    <t>NPV  20 year  ($ MM)</t>
  </si>
  <si>
    <t>NPV  3 year</t>
  </si>
  <si>
    <t>Finance Assumptions</t>
  </si>
  <si>
    <t>LTD</t>
  </si>
  <si>
    <t>Equity</t>
  </si>
  <si>
    <t xml:space="preserve">  Network Services (Rentals)</t>
  </si>
  <si>
    <t>Dividends Paid</t>
  </si>
  <si>
    <t>Return on/to Equity</t>
  </si>
  <si>
    <t>Return to Dividends</t>
  </si>
  <si>
    <t>Return to Equity Holders</t>
  </si>
  <si>
    <t>Capex</t>
  </si>
  <si>
    <t>Depreciable Life</t>
  </si>
  <si>
    <t>Depreciable Basis</t>
  </si>
  <si>
    <t>Salvage Value</t>
  </si>
  <si>
    <t>Remaining Asset Value</t>
  </si>
  <si>
    <t>Current Year Depreciation</t>
  </si>
  <si>
    <t>Working Capital</t>
  </si>
  <si>
    <t>Net Income before Dividends</t>
  </si>
  <si>
    <t>less Tax Expense (Benefit)</t>
  </si>
  <si>
    <t>plus Depreciation</t>
  </si>
  <si>
    <t>plus Deferred Taxes</t>
  </si>
  <si>
    <t>less Capital Expenditures</t>
  </si>
  <si>
    <t>less Investments in WC</t>
  </si>
  <si>
    <t>Investment in WC (excluding Cash)</t>
  </si>
  <si>
    <t>Net Income Before Dividends</t>
  </si>
  <si>
    <t>NPV  8 year</t>
  </si>
  <si>
    <t>NPV  9 year</t>
  </si>
  <si>
    <t>STB A/R Ending Balance</t>
  </si>
  <si>
    <t xml:space="preserve">Income Tax Rate </t>
  </si>
  <si>
    <t xml:space="preserve">Discount Rate </t>
  </si>
  <si>
    <t>2001 Phase 1 Costs</t>
  </si>
  <si>
    <t>Payments to LTD</t>
  </si>
  <si>
    <t>Percentage to LTD</t>
  </si>
  <si>
    <t>Drawdowns to cover interest</t>
  </si>
  <si>
    <t>Book Taxes</t>
  </si>
  <si>
    <t>Cash Taxes</t>
  </si>
  <si>
    <t>Book Income Taxes</t>
  </si>
  <si>
    <t>Cash Income Taxes</t>
  </si>
  <si>
    <t>Deferred Taxes - Timing Diff.</t>
  </si>
  <si>
    <t>Deferred Taxes - NOL Diff.</t>
  </si>
  <si>
    <t>Total Deferred Taxes</t>
  </si>
  <si>
    <t>Cumulative Deferred Taxes</t>
  </si>
  <si>
    <t>YE 2000</t>
  </si>
  <si>
    <t>2000 Phase 1 Costs</t>
  </si>
  <si>
    <t>Capital Structure</t>
  </si>
  <si>
    <t>EBS Equity Ownership</t>
  </si>
  <si>
    <t>nCube Equity Owership</t>
  </si>
  <si>
    <t xml:space="preserve">  Phase 1 Expenses</t>
  </si>
  <si>
    <t>Additions to LTD</t>
  </si>
  <si>
    <t xml:space="preserve">  Note</t>
  </si>
  <si>
    <t>Gain</t>
  </si>
  <si>
    <t>Taxes on EBIT from FCF</t>
  </si>
  <si>
    <t>ST nCube Note Retired</t>
  </si>
  <si>
    <t>ST Note Retired</t>
  </si>
  <si>
    <t>less Transaction Costs</t>
  </si>
  <si>
    <t>Income Taxes Payable for FCF</t>
  </si>
  <si>
    <t>WAAC for FCF NPV Calculations</t>
  </si>
  <si>
    <t>Discount Rate for NPV of Monetized CFs</t>
  </si>
  <si>
    <t>Costs to LLC</t>
  </si>
  <si>
    <t xml:space="preserve">  Network Services Fees</t>
  </si>
  <si>
    <t>Network Services Fees</t>
  </si>
  <si>
    <t>Investments in WC - STBs</t>
  </si>
  <si>
    <t>Network Service Fees paid to EBS</t>
  </si>
  <si>
    <t>2000 Phase 1 Depreciation</t>
  </si>
  <si>
    <t>2001 Phase 1 Depreciation</t>
  </si>
  <si>
    <t>Total Depreciation</t>
  </si>
  <si>
    <t>Total Accumulated Depreciation</t>
  </si>
  <si>
    <t>Direct Costs</t>
  </si>
  <si>
    <t>Totals</t>
  </si>
  <si>
    <t xml:space="preserve">Total Payments to Tranche 1 </t>
  </si>
  <si>
    <t>Post Return Payment to Tranche 2</t>
  </si>
  <si>
    <t>Total Payments to Tranche 2</t>
  </si>
  <si>
    <t>Post Return Percentage to Tranche 1</t>
  </si>
  <si>
    <t>10 yr NPV</t>
  </si>
  <si>
    <t xml:space="preserve">EBSCS Movie Rental Revenues </t>
  </si>
  <si>
    <t>EBSCS Share of Revenues</t>
  </si>
  <si>
    <t>Movie Rental Revenues - EBSCS</t>
  </si>
  <si>
    <t>Movie Rental Fee to EBSCS</t>
  </si>
  <si>
    <t>Network Service Fee paid to EBSCS</t>
  </si>
  <si>
    <t>EBSCS Revenues</t>
  </si>
  <si>
    <t>DRM Expense of EBSCS</t>
  </si>
  <si>
    <t>EBSCS Income Statement</t>
  </si>
  <si>
    <t>EBSCS Income Statement for calculating Cash Taxes</t>
  </si>
  <si>
    <t>EBSCS LLC Cash Flow Statement</t>
  </si>
  <si>
    <t>EBSCS LLC Balance Sheet</t>
  </si>
  <si>
    <t>EBSCS LLC Tax Calculations</t>
  </si>
  <si>
    <t>EBSCS LLC Debt Schedule</t>
  </si>
  <si>
    <t>EBSCS LLC WaterFall</t>
  </si>
  <si>
    <t>Total Equity Distributions</t>
  </si>
  <si>
    <t>Tranche I - nCube/Financial Investor</t>
  </si>
  <si>
    <t>nCube</t>
  </si>
  <si>
    <t>EBS</t>
  </si>
  <si>
    <t>Tranche II - EBS</t>
  </si>
  <si>
    <t>Valuation Cash Equity Strips</t>
  </si>
  <si>
    <t>EBSCS LLC Free Cash Flow</t>
  </si>
  <si>
    <t>Tranche I - Third Party Equity</t>
  </si>
  <si>
    <t>Discount Rate</t>
  </si>
  <si>
    <t>NPV *</t>
  </si>
  <si>
    <t>*Discount Rate</t>
  </si>
  <si>
    <t>EBS Equity Strip</t>
  </si>
  <si>
    <t>EBSCS Income Statement (000s)</t>
  </si>
  <si>
    <t>STB Expense of EBSCS</t>
  </si>
  <si>
    <t>Linked to Operational/CF/Phase 1 Model</t>
  </si>
  <si>
    <t>Basis</t>
  </si>
  <si>
    <t>Share Calculation (000s)</t>
  </si>
  <si>
    <t>NPV of 100% Equity Strip (000,000s)</t>
  </si>
  <si>
    <t>Percentage of Equity to Monetize</t>
  </si>
  <si>
    <t>EBS - CFs to Monetize</t>
  </si>
  <si>
    <t>FTEs</t>
  </si>
  <si>
    <t>O&amp;M Expense of EBSCS</t>
  </si>
  <si>
    <t xml:space="preserve">  O&amp;M</t>
  </si>
  <si>
    <t>Overhead</t>
  </si>
  <si>
    <t>Total Cost per FTE</t>
  </si>
  <si>
    <t>Salary per FTE (escalation)</t>
  </si>
  <si>
    <t>Total Initial Basis</t>
  </si>
  <si>
    <t>Additional Equity Contributed</t>
  </si>
  <si>
    <t>EBS Equity Contributed</t>
  </si>
  <si>
    <t>nCUBE Equity Contributed</t>
  </si>
  <si>
    <t>Additional Equity Contributions</t>
  </si>
  <si>
    <t>Total Book Basis</t>
  </si>
  <si>
    <t>Total Basis for Gain Calculation:</t>
  </si>
  <si>
    <t>Legal Fees</t>
  </si>
  <si>
    <t>Third Party Valuation Fees</t>
  </si>
  <si>
    <t>Total Transaction Fees</t>
  </si>
  <si>
    <t>Transaction Fees</t>
  </si>
  <si>
    <t>Revolver-Debt Contributions by Partners</t>
  </si>
  <si>
    <t>n/a</t>
  </si>
  <si>
    <t>= Net Operating Profit</t>
  </si>
  <si>
    <t>= Net Free Cash Flow</t>
  </si>
  <si>
    <t>Monetized Equity Strip</t>
  </si>
  <si>
    <t>Vendor Financing-15 MM Capacity</t>
  </si>
  <si>
    <t>Cash Flow</t>
  </si>
  <si>
    <t>Paid In Capital</t>
  </si>
  <si>
    <t>Target Return to Tranche 1</t>
  </si>
  <si>
    <t>Second Return Cash Flow to Tranche 1</t>
  </si>
  <si>
    <t>Pre- Return Cash Available to Tranche 1</t>
  </si>
  <si>
    <t>Pre- Return Cash Flows to Tranche 1</t>
  </si>
  <si>
    <t>Pre- Return IRR to Tranche 1</t>
  </si>
  <si>
    <t>Pre- Return Percentage Split to Tranche 2</t>
  </si>
  <si>
    <t>Pre- Return Cash Flows to Tranche 2</t>
  </si>
  <si>
    <t>Pre- Return Percentage Split to Tranche 1</t>
  </si>
  <si>
    <t>Cash Available to Equity after Return</t>
  </si>
  <si>
    <t>Pre Return</t>
  </si>
  <si>
    <t>Return Calculation</t>
  </si>
  <si>
    <t>Cumulative IRR to calculate flip</t>
  </si>
  <si>
    <t>Return Flip - when cell = "1"</t>
  </si>
  <si>
    <t>Discounted Cash Flows Pre-Return</t>
  </si>
  <si>
    <t>Payout to hit Target Return</t>
  </si>
  <si>
    <t>Post Return</t>
  </si>
  <si>
    <t>IRR to Investor</t>
  </si>
  <si>
    <t>Target Return for Third Party Equity</t>
  </si>
  <si>
    <t>A Member Interests</t>
  </si>
  <si>
    <t>B Member Interests</t>
  </si>
  <si>
    <t>Total Equity Capitalization</t>
  </si>
  <si>
    <t>% by share</t>
  </si>
  <si>
    <t>Equity - Class A Interests</t>
  </si>
  <si>
    <t>Equity - Class B Interests</t>
  </si>
  <si>
    <t>Equity Class B - Tranche 1 nCube</t>
  </si>
  <si>
    <t>Equity Class B - Tranche 2 EBS</t>
  </si>
  <si>
    <t>Equity - Class A</t>
  </si>
  <si>
    <t>Streaming Capex</t>
  </si>
  <si>
    <t>Storage Capex</t>
  </si>
  <si>
    <t>Streaming Depreciation</t>
  </si>
  <si>
    <t>Storage Depreciation</t>
  </si>
  <si>
    <t xml:space="preserve">Total Capex </t>
  </si>
  <si>
    <t>Cumulative Total Capex  + STB</t>
  </si>
  <si>
    <t>EBS Basis for Gain Calculation:</t>
  </si>
  <si>
    <t>Basis Calculation</t>
  </si>
  <si>
    <t>nCUBE Basis for Gain Calculation:</t>
  </si>
  <si>
    <t>Adjust Basis</t>
  </si>
  <si>
    <t>10 NPV as % of 20</t>
  </si>
  <si>
    <t>Equity Structure</t>
  </si>
  <si>
    <t>Value</t>
  </si>
  <si>
    <t>Ownership</t>
  </si>
  <si>
    <t>B-interests</t>
  </si>
  <si>
    <t>Split</t>
  </si>
  <si>
    <t>% Total Cap</t>
  </si>
  <si>
    <t>Total Basis</t>
  </si>
  <si>
    <t>A-interests</t>
  </si>
  <si>
    <t>% of Equity</t>
  </si>
  <si>
    <t>Monetization Proceeds</t>
  </si>
  <si>
    <t>Total Initial Equity Contributed</t>
  </si>
  <si>
    <t>Total Initial Equity Contributed to B Interests</t>
  </si>
  <si>
    <t>Total Initial Equity Contributed to A Interests</t>
  </si>
  <si>
    <t>New B Member Interests</t>
  </si>
  <si>
    <t>EBS Equity</t>
  </si>
  <si>
    <t xml:space="preserve">nCube Equity </t>
  </si>
  <si>
    <t>A-interests as</t>
  </si>
  <si>
    <t>B-interests as</t>
  </si>
  <si>
    <t>Total Equity Contributed First Quarter</t>
  </si>
  <si>
    <t>Adjusted B Member Interests</t>
  </si>
  <si>
    <t>Adj. Equity</t>
  </si>
  <si>
    <t>Total NPV</t>
  </si>
  <si>
    <t>EBS Equity NPV</t>
  </si>
  <si>
    <t>nCube Equity NPV</t>
  </si>
  <si>
    <t>EBS Basis Calculation</t>
  </si>
  <si>
    <t>Initial Equity Contribution - B Interests</t>
  </si>
  <si>
    <t>Initial Equity Contribution - A Interests</t>
  </si>
  <si>
    <t>First Quarter Equity Contribution - B Interests</t>
  </si>
  <si>
    <t>20 yr NPV</t>
  </si>
  <si>
    <t>of 20 yr NPV</t>
  </si>
  <si>
    <t>=</t>
  </si>
  <si>
    <t>*</t>
  </si>
  <si>
    <t>% 10 yr NPV</t>
  </si>
  <si>
    <t>less Basis</t>
  </si>
  <si>
    <t>less Transaction Fees</t>
  </si>
  <si>
    <t>Net Gain</t>
  </si>
  <si>
    <t>% of EBS Equity to Monetize:</t>
  </si>
  <si>
    <t>Basis Allocated for 10 years</t>
  </si>
  <si>
    <t>3.    Valuation (Post-Assignment) and Gain Calculation</t>
  </si>
  <si>
    <t>1.    Initial Equity Contributions - Book Values</t>
  </si>
  <si>
    <t>2.    First Quarter Equity Contribution - Book Values</t>
  </si>
  <si>
    <t>Cash Invested</t>
  </si>
  <si>
    <t>Pre- Return Cash Available less Equity</t>
  </si>
  <si>
    <t>NPV of Monetized Equity (000,000's)</t>
  </si>
  <si>
    <t>NPV of Monetized Equity (actual $s)</t>
  </si>
  <si>
    <t>Hawaii II Capitalization:</t>
  </si>
  <si>
    <t>Debt Tranche</t>
  </si>
  <si>
    <t>Equity Tranche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</si>
</sst>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0" formatCode="_(* #,##0.0_);_(* \(#,##0.0\);_(* &quot;-&quot;??_);_(@_)"/>
    <numFmt numFmtId="171" formatCode="_(* #,##0_);_(* \(#,##0\);_(* &quot;-&quot;??_);_(@_)"/>
    <numFmt numFmtId="172" formatCode="0.0%"/>
    <numFmt numFmtId="173" formatCode="_(&quot;$&quot;* #,##0.0_);_(&quot;$&quot;* \(#,##0.0\);_(&quot;$&quot;* &quot;-&quot;??_);_(@_)"/>
    <numFmt numFmtId="174" formatCode="_(&quot;$&quot;* #,##0_);_(&quot;$&quot;* \(#,##0\);_(&quot;$&quot;* &quot;-&quot;??_);_(@_)"/>
    <numFmt numFmtId="175" formatCode="0.000%"/>
    <numFmt numFmtId="176" formatCode="0.0000%"/>
    <numFmt numFmtId="179" formatCode="_(* #,##0.000_);_(* \(#,##0.000\);_(* &quot;-&quot;??_);_(@_)"/>
    <numFmt numFmtId="200" formatCode="#,##0.000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i/>
      <sz val="8"/>
      <name val="Times New Roman"/>
      <family val="1"/>
    </font>
    <font>
      <b/>
      <u/>
      <sz val="10"/>
      <name val="Times New Roman"/>
      <family val="1"/>
    </font>
    <font>
      <b/>
      <i/>
      <u/>
      <sz val="8"/>
      <name val="Times New Roman"/>
      <family val="1"/>
    </font>
    <font>
      <sz val="10"/>
      <color indexed="12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10"/>
      <color indexed="8"/>
      <name val="MS Sans Serif"/>
    </font>
    <font>
      <b/>
      <sz val="18"/>
      <name val="Arial"/>
      <family val="2"/>
    </font>
    <font>
      <b/>
      <i/>
      <sz val="12"/>
      <name val="Times New Roman"/>
      <family val="1"/>
    </font>
    <font>
      <sz val="10"/>
      <name val="Arial"/>
      <family val="2"/>
    </font>
    <font>
      <b/>
      <u/>
      <sz val="14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u/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name val="Arial"/>
    </font>
    <font>
      <b/>
      <i/>
      <u/>
      <sz val="12"/>
      <name val="Times New Roman"/>
      <family val="1"/>
    </font>
    <font>
      <u/>
      <sz val="10"/>
      <name val="Arial"/>
      <family val="2"/>
    </font>
    <font>
      <i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2">
    <xf numFmtId="0" fontId="0" fillId="0" borderId="0" xfId="0"/>
    <xf numFmtId="0" fontId="2" fillId="0" borderId="0" xfId="0" applyFont="1"/>
    <xf numFmtId="0" fontId="5" fillId="0" borderId="1" xfId="0" applyFont="1" applyBorder="1"/>
    <xf numFmtId="0" fontId="6" fillId="0" borderId="0" xfId="0" applyFont="1"/>
    <xf numFmtId="0" fontId="7" fillId="0" borderId="2" xfId="0" applyFont="1" applyBorder="1"/>
    <xf numFmtId="0" fontId="3" fillId="0" borderId="0" xfId="0" applyFont="1"/>
    <xf numFmtId="0" fontId="5" fillId="0" borderId="2" xfId="0" applyFont="1" applyBorder="1"/>
    <xf numFmtId="43" fontId="2" fillId="0" borderId="0" xfId="1" applyFont="1"/>
    <xf numFmtId="0" fontId="2" fillId="0" borderId="0" xfId="0" quotePrefix="1" applyFont="1"/>
    <xf numFmtId="0" fontId="2" fillId="0" borderId="3" xfId="0" applyFont="1" applyBorder="1"/>
    <xf numFmtId="0" fontId="9" fillId="0" borderId="0" xfId="0" applyFont="1"/>
    <xf numFmtId="0" fontId="5" fillId="0" borderId="2" xfId="0" quotePrefix="1" applyFont="1" applyBorder="1"/>
    <xf numFmtId="0" fontId="10" fillId="0" borderId="0" xfId="0" applyFont="1"/>
    <xf numFmtId="1" fontId="2" fillId="0" borderId="0" xfId="0" applyNumberFormat="1" applyFont="1"/>
    <xf numFmtId="1" fontId="5" fillId="0" borderId="1" xfId="0" applyNumberFormat="1" applyFont="1" applyBorder="1"/>
    <xf numFmtId="1" fontId="3" fillId="0" borderId="0" xfId="1" applyNumberFormat="1" applyFont="1"/>
    <xf numFmtId="1" fontId="5" fillId="0" borderId="2" xfId="0" applyNumberFormat="1" applyFont="1" applyBorder="1"/>
    <xf numFmtId="1" fontId="10" fillId="0" borderId="0" xfId="0" applyNumberFormat="1" applyFont="1"/>
    <xf numFmtId="9" fontId="8" fillId="0" borderId="0" xfId="3" applyFont="1"/>
    <xf numFmtId="0" fontId="11" fillId="0" borderId="0" xfId="0" applyFont="1"/>
    <xf numFmtId="0" fontId="2" fillId="0" borderId="4" xfId="0" applyFont="1" applyBorder="1"/>
    <xf numFmtId="171" fontId="2" fillId="0" borderId="0" xfId="1" applyNumberFormat="1" applyFont="1"/>
    <xf numFmtId="171" fontId="5" fillId="0" borderId="2" xfId="0" applyNumberFormat="1" applyFont="1" applyBorder="1"/>
    <xf numFmtId="171" fontId="2" fillId="0" borderId="5" xfId="1" applyNumberFormat="1" applyFont="1" applyBorder="1"/>
    <xf numFmtId="171" fontId="7" fillId="0" borderId="2" xfId="0" applyNumberFormat="1" applyFont="1" applyBorder="1"/>
    <xf numFmtId="171" fontId="2" fillId="0" borderId="0" xfId="0" applyNumberFormat="1" applyFont="1"/>
    <xf numFmtId="171" fontId="3" fillId="0" borderId="0" xfId="1" applyNumberFormat="1" applyFont="1"/>
    <xf numFmtId="171" fontId="8" fillId="0" borderId="0" xfId="1" applyNumberFormat="1" applyFont="1"/>
    <xf numFmtId="0" fontId="3" fillId="0" borderId="0" xfId="1" applyNumberFormat="1" applyFont="1"/>
    <xf numFmtId="171" fontId="2" fillId="0" borderId="6" xfId="1" applyNumberFormat="1" applyFont="1" applyBorder="1"/>
    <xf numFmtId="171" fontId="9" fillId="0" borderId="0" xfId="0" applyNumberFormat="1" applyFont="1"/>
    <xf numFmtId="9" fontId="2" fillId="0" borderId="0" xfId="3" applyFont="1"/>
    <xf numFmtId="171" fontId="4" fillId="0" borderId="0" xfId="1" applyNumberFormat="1" applyFont="1"/>
    <xf numFmtId="171" fontId="2" fillId="0" borderId="0" xfId="1" applyNumberFormat="1" applyFont="1" applyFill="1"/>
    <xf numFmtId="0" fontId="2" fillId="0" borderId="0" xfId="0" applyFont="1" applyFill="1"/>
    <xf numFmtId="0" fontId="2" fillId="0" borderId="3" xfId="0" quotePrefix="1" applyFont="1" applyBorder="1"/>
    <xf numFmtId="171" fontId="2" fillId="0" borderId="7" xfId="1" applyNumberFormat="1" applyFont="1" applyBorder="1"/>
    <xf numFmtId="0" fontId="9" fillId="0" borderId="2" xfId="0" applyFont="1" applyBorder="1"/>
    <xf numFmtId="9" fontId="3" fillId="0" borderId="0" xfId="3" applyFont="1"/>
    <xf numFmtId="0" fontId="2" fillId="0" borderId="0" xfId="0" applyFont="1" applyBorder="1"/>
    <xf numFmtId="171" fontId="8" fillId="0" borderId="0" xfId="1" applyNumberFormat="1" applyFont="1" applyBorder="1"/>
    <xf numFmtId="171" fontId="2" fillId="0" borderId="0" xfId="1" applyNumberFormat="1" applyFont="1" applyBorder="1"/>
    <xf numFmtId="9" fontId="8" fillId="0" borderId="0" xfId="3" applyFont="1" applyBorder="1"/>
    <xf numFmtId="0" fontId="10" fillId="0" borderId="0" xfId="0" applyFont="1" applyBorder="1"/>
    <xf numFmtId="43" fontId="2" fillId="0" borderId="0" xfId="1" applyFont="1" applyBorder="1"/>
    <xf numFmtId="0" fontId="5" fillId="0" borderId="0" xfId="0" applyFont="1" applyBorder="1"/>
    <xf numFmtId="0" fontId="9" fillId="0" borderId="0" xfId="0" applyFont="1" applyBorder="1"/>
    <xf numFmtId="9" fontId="2" fillId="0" borderId="0" xfId="3" applyFont="1" applyFill="1"/>
    <xf numFmtId="171" fontId="5" fillId="0" borderId="2" xfId="0" applyNumberFormat="1" applyFont="1" applyFill="1" applyBorder="1"/>
    <xf numFmtId="171" fontId="2" fillId="0" borderId="0" xfId="0" applyNumberFormat="1" applyFont="1" applyFill="1"/>
    <xf numFmtId="171" fontId="2" fillId="0" borderId="0" xfId="3" applyNumberFormat="1" applyFont="1" applyFill="1"/>
    <xf numFmtId="9" fontId="8" fillId="0" borderId="0" xfId="3" applyFont="1" applyFill="1"/>
    <xf numFmtId="0" fontId="13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10" fillId="0" borderId="0" xfId="0" applyFont="1" applyFill="1"/>
    <xf numFmtId="3" fontId="2" fillId="0" borderId="0" xfId="0" applyNumberFormat="1" applyFont="1" applyFill="1" applyBorder="1"/>
    <xf numFmtId="0" fontId="2" fillId="0" borderId="0" xfId="0" applyFont="1" applyFill="1" applyBorder="1"/>
    <xf numFmtId="0" fontId="10" fillId="0" borderId="0" xfId="0" applyFont="1" applyFill="1" applyBorder="1"/>
    <xf numFmtId="0" fontId="14" fillId="2" borderId="0" xfId="0" applyFont="1" applyFill="1" applyBorder="1"/>
    <xf numFmtId="171" fontId="2" fillId="0" borderId="0" xfId="0" applyNumberFormat="1" applyFont="1" applyFill="1" applyBorder="1"/>
    <xf numFmtId="3" fontId="2" fillId="0" borderId="0" xfId="0" applyNumberFormat="1" applyFont="1" applyFill="1"/>
    <xf numFmtId="171" fontId="2" fillId="0" borderId="0" xfId="1" applyNumberFormat="1" applyFont="1" applyFill="1" applyBorder="1"/>
    <xf numFmtId="7" fontId="2" fillId="0" borderId="0" xfId="1" applyNumberFormat="1" applyFont="1" applyFill="1"/>
    <xf numFmtId="7" fontId="2" fillId="3" borderId="0" xfId="1" applyNumberFormat="1" applyFont="1" applyFill="1"/>
    <xf numFmtId="7" fontId="2" fillId="3" borderId="5" xfId="1" applyNumberFormat="1" applyFont="1" applyFill="1" applyBorder="1"/>
    <xf numFmtId="0" fontId="2" fillId="3" borderId="0" xfId="0" applyFont="1" applyFill="1" applyBorder="1"/>
    <xf numFmtId="171" fontId="2" fillId="3" borderId="0" xfId="1" applyNumberFormat="1" applyFont="1" applyFill="1"/>
    <xf numFmtId="3" fontId="2" fillId="3" borderId="0" xfId="0" applyNumberFormat="1" applyFont="1" applyFill="1"/>
    <xf numFmtId="3" fontId="2" fillId="3" borderId="0" xfId="0" applyNumberFormat="1" applyFont="1" applyFill="1" applyBorder="1"/>
    <xf numFmtId="38" fontId="2" fillId="3" borderId="0" xfId="0" applyNumberFormat="1" applyFont="1" applyFill="1" applyBorder="1"/>
    <xf numFmtId="0" fontId="10" fillId="0" borderId="8" xfId="0" applyFont="1" applyBorder="1"/>
    <xf numFmtId="3" fontId="2" fillId="0" borderId="8" xfId="0" applyNumberFormat="1" applyFont="1" applyFill="1" applyBorder="1"/>
    <xf numFmtId="0" fontId="8" fillId="0" borderId="0" xfId="0" applyFont="1" applyFill="1" applyBorder="1"/>
    <xf numFmtId="170" fontId="10" fillId="2" borderId="9" xfId="1" applyNumberFormat="1" applyFont="1" applyFill="1" applyBorder="1"/>
    <xf numFmtId="170" fontId="10" fillId="2" borderId="10" xfId="1" applyNumberFormat="1" applyFont="1" applyFill="1" applyBorder="1"/>
    <xf numFmtId="170" fontId="10" fillId="2" borderId="11" xfId="1" applyNumberFormat="1" applyFont="1" applyFill="1" applyBorder="1"/>
    <xf numFmtId="171" fontId="10" fillId="0" borderId="0" xfId="0" applyNumberFormat="1" applyFont="1" applyFill="1"/>
    <xf numFmtId="9" fontId="15" fillId="0" borderId="0" xfId="3" applyFont="1" applyFill="1" applyBorder="1"/>
    <xf numFmtId="0" fontId="16" fillId="4" borderId="0" xfId="0" applyFont="1" applyFill="1"/>
    <xf numFmtId="0" fontId="16" fillId="4" borderId="0" xfId="0" applyFont="1" applyFill="1" applyBorder="1"/>
    <xf numFmtId="3" fontId="8" fillId="0" borderId="0" xfId="0" applyNumberFormat="1" applyFont="1" applyFill="1" applyBorder="1"/>
    <xf numFmtId="0" fontId="14" fillId="0" borderId="0" xfId="0" applyFont="1" applyFill="1" applyBorder="1"/>
    <xf numFmtId="9" fontId="15" fillId="0" borderId="0" xfId="3" applyFont="1" applyFill="1" applyBorder="1" applyAlignment="1">
      <alignment horizontal="center" wrapText="1"/>
    </xf>
    <xf numFmtId="0" fontId="9" fillId="0" borderId="1" xfId="0" applyFont="1" applyFill="1" applyBorder="1"/>
    <xf numFmtId="179" fontId="2" fillId="0" borderId="0" xfId="1" applyNumberFormat="1" applyFont="1"/>
    <xf numFmtId="1" fontId="3" fillId="0" borderId="0" xfId="0" applyNumberFormat="1" applyFont="1"/>
    <xf numFmtId="170" fontId="10" fillId="2" borderId="12" xfId="1" applyNumberFormat="1" applyFont="1" applyFill="1" applyBorder="1"/>
    <xf numFmtId="170" fontId="10" fillId="2" borderId="13" xfId="1" applyNumberFormat="1" applyFont="1" applyFill="1" applyBorder="1"/>
    <xf numFmtId="170" fontId="10" fillId="2" borderId="14" xfId="1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0" borderId="6" xfId="0" quotePrefix="1" applyFont="1" applyBorder="1"/>
    <xf numFmtId="1" fontId="3" fillId="0" borderId="0" xfId="0" applyNumberFormat="1" applyFont="1" applyAlignment="1">
      <alignment horizontal="right"/>
    </xf>
    <xf numFmtId="7" fontId="2" fillId="0" borderId="5" xfId="1" applyNumberFormat="1" applyFont="1" applyFill="1" applyBorder="1"/>
    <xf numFmtId="0" fontId="0" fillId="0" borderId="0" xfId="0" applyFill="1"/>
    <xf numFmtId="38" fontId="2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3" fontId="2" fillId="0" borderId="0" xfId="0" applyNumberFormat="1" applyFont="1"/>
    <xf numFmtId="170" fontId="10" fillId="2" borderId="15" xfId="1" applyNumberFormat="1" applyFont="1" applyFill="1" applyBorder="1"/>
    <xf numFmtId="170" fontId="10" fillId="2" borderId="16" xfId="0" applyNumberFormat="1" applyFont="1" applyFill="1" applyBorder="1"/>
    <xf numFmtId="171" fontId="10" fillId="0" borderId="0" xfId="0" applyNumberFormat="1" applyFont="1" applyFill="1" applyAlignment="1">
      <alignment horizontal="left"/>
    </xf>
    <xf numFmtId="0" fontId="10" fillId="0" borderId="0" xfId="0" applyFont="1" applyAlignment="1">
      <alignment horizontal="left"/>
    </xf>
    <xf numFmtId="0" fontId="10" fillId="0" borderId="8" xfId="0" applyFont="1" applyFill="1" applyBorder="1"/>
    <xf numFmtId="38" fontId="2" fillId="0" borderId="8" xfId="0" applyNumberFormat="1" applyFont="1" applyFill="1" applyBorder="1"/>
    <xf numFmtId="170" fontId="10" fillId="2" borderId="17" xfId="1" applyNumberFormat="1" applyFont="1" applyFill="1" applyBorder="1"/>
    <xf numFmtId="170" fontId="10" fillId="2" borderId="18" xfId="1" applyNumberFormat="1" applyFont="1" applyFill="1" applyBorder="1"/>
    <xf numFmtId="0" fontId="0" fillId="0" borderId="2" xfId="0" applyBorder="1"/>
    <xf numFmtId="170" fontId="10" fillId="2" borderId="19" xfId="0" applyNumberFormat="1" applyFont="1" applyFill="1" applyBorder="1"/>
    <xf numFmtId="170" fontId="10" fillId="2" borderId="20" xfId="0" applyNumberFormat="1" applyFont="1" applyFill="1" applyBorder="1"/>
    <xf numFmtId="170" fontId="10" fillId="0" borderId="0" xfId="0" applyNumberFormat="1" applyFont="1"/>
    <xf numFmtId="170" fontId="10" fillId="0" borderId="0" xfId="1" applyNumberFormat="1" applyFont="1"/>
    <xf numFmtId="170" fontId="10" fillId="2" borderId="12" xfId="0" applyNumberFormat="1" applyFont="1" applyFill="1" applyBorder="1"/>
    <xf numFmtId="1" fontId="2" fillId="0" borderId="0" xfId="0" applyNumberFormat="1" applyFont="1" applyBorder="1"/>
    <xf numFmtId="0" fontId="4" fillId="0" borderId="0" xfId="0" applyFont="1" applyBorder="1"/>
    <xf numFmtId="9" fontId="19" fillId="0" borderId="21" xfId="3" applyNumberFormat="1" applyFont="1" applyFill="1" applyBorder="1" applyAlignment="1">
      <alignment horizontal="center" wrapText="1"/>
    </xf>
    <xf numFmtId="9" fontId="19" fillId="0" borderId="0" xfId="3" applyNumberFormat="1" applyFont="1" applyFill="1" applyBorder="1"/>
    <xf numFmtId="9" fontId="15" fillId="0" borderId="0" xfId="3" applyNumberFormat="1" applyFont="1" applyFill="1" applyBorder="1"/>
    <xf numFmtId="3" fontId="10" fillId="0" borderId="0" xfId="0" applyNumberFormat="1" applyFont="1" applyFill="1" applyAlignment="1">
      <alignment horizontal="center"/>
    </xf>
    <xf numFmtId="175" fontId="2" fillId="0" borderId="0" xfId="3" applyNumberFormat="1" applyFont="1" applyFill="1"/>
    <xf numFmtId="175" fontId="8" fillId="0" borderId="0" xfId="3" applyNumberFormat="1" applyFont="1" applyFill="1"/>
    <xf numFmtId="4" fontId="2" fillId="0" borderId="0" xfId="0" applyNumberFormat="1" applyFont="1" applyFill="1"/>
    <xf numFmtId="175" fontId="3" fillId="0" borderId="0" xfId="3" applyNumberFormat="1" applyFont="1" applyFill="1" applyBorder="1"/>
    <xf numFmtId="0" fontId="10" fillId="0" borderId="0" xfId="0" applyFont="1" applyFill="1" applyBorder="1" applyAlignment="1">
      <alignment horizontal="center"/>
    </xf>
    <xf numFmtId="4" fontId="8" fillId="0" borderId="0" xfId="0" applyNumberFormat="1" applyFont="1" applyFill="1"/>
    <xf numFmtId="4" fontId="3" fillId="0" borderId="0" xfId="0" applyNumberFormat="1" applyFont="1" applyFill="1"/>
    <xf numFmtId="9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43" fontId="2" fillId="0" borderId="0" xfId="1" applyNumberFormat="1" applyFont="1"/>
    <xf numFmtId="9" fontId="8" fillId="0" borderId="0" xfId="0" applyNumberFormat="1" applyFont="1" applyFill="1" applyBorder="1"/>
    <xf numFmtId="9" fontId="19" fillId="0" borderId="21" xfId="3" applyFont="1" applyFill="1" applyBorder="1" applyAlignment="1">
      <alignment horizontal="center" wrapText="1"/>
    </xf>
    <xf numFmtId="3" fontId="3" fillId="0" borderId="0" xfId="0" applyNumberFormat="1" applyFont="1" applyFill="1"/>
    <xf numFmtId="3" fontId="8" fillId="0" borderId="0" xfId="0" applyNumberFormat="1" applyFont="1" applyFill="1"/>
    <xf numFmtId="3" fontId="20" fillId="0" borderId="0" xfId="0" applyNumberFormat="1" applyFont="1" applyFill="1"/>
    <xf numFmtId="3" fontId="8" fillId="0" borderId="0" xfId="0" applyNumberFormat="1" applyFont="1" applyFill="1" applyAlignment="1">
      <alignment horizontal="center"/>
    </xf>
    <xf numFmtId="9" fontId="4" fillId="0" borderId="0" xfId="3" applyNumberFormat="1" applyFont="1" applyFill="1" applyBorder="1"/>
    <xf numFmtId="171" fontId="2" fillId="2" borderId="16" xfId="1" applyNumberFormat="1" applyFont="1" applyFill="1" applyBorder="1"/>
    <xf numFmtId="171" fontId="2" fillId="2" borderId="22" xfId="1" applyNumberFormat="1" applyFont="1" applyFill="1" applyBorder="1"/>
    <xf numFmtId="170" fontId="2" fillId="0" borderId="0" xfId="1" applyNumberFormat="1" applyFont="1" applyFill="1" applyBorder="1"/>
    <xf numFmtId="173" fontId="10" fillId="2" borderId="15" xfId="2" applyNumberFormat="1" applyFont="1" applyFill="1" applyBorder="1"/>
    <xf numFmtId="0" fontId="10" fillId="2" borderId="0" xfId="0" applyFont="1" applyFill="1" applyBorder="1"/>
    <xf numFmtId="172" fontId="10" fillId="2" borderId="0" xfId="3" applyNumberFormat="1" applyFont="1" applyFill="1" applyBorder="1"/>
    <xf numFmtId="9" fontId="10" fillId="2" borderId="0" xfId="3" applyFont="1" applyFill="1" applyBorder="1"/>
    <xf numFmtId="0" fontId="4" fillId="0" borderId="0" xfId="0" applyFont="1"/>
    <xf numFmtId="1" fontId="9" fillId="0" borderId="1" xfId="0" applyNumberFormat="1" applyFont="1" applyBorder="1"/>
    <xf numFmtId="171" fontId="9" fillId="0" borderId="2" xfId="0" applyNumberFormat="1" applyFont="1" applyBorder="1"/>
    <xf numFmtId="0" fontId="22" fillId="0" borderId="0" xfId="0" applyFont="1"/>
    <xf numFmtId="0" fontId="22" fillId="0" borderId="2" xfId="0" applyFont="1" applyBorder="1"/>
    <xf numFmtId="172" fontId="8" fillId="0" borderId="0" xfId="3" applyNumberFormat="1" applyFont="1" applyFill="1"/>
    <xf numFmtId="9" fontId="2" fillId="0" borderId="0" xfId="3" applyNumberFormat="1" applyFont="1"/>
    <xf numFmtId="200" fontId="8" fillId="0" borderId="0" xfId="0" applyNumberFormat="1" applyFont="1" applyFill="1"/>
    <xf numFmtId="172" fontId="2" fillId="0" borderId="0" xfId="3" applyNumberFormat="1" applyFont="1"/>
    <xf numFmtId="171" fontId="9" fillId="0" borderId="2" xfId="1" applyNumberFormat="1" applyFont="1" applyBorder="1"/>
    <xf numFmtId="174" fontId="2" fillId="0" borderId="0" xfId="2" applyNumberFormat="1" applyFont="1" applyFill="1"/>
    <xf numFmtId="0" fontId="4" fillId="0" borderId="0" xfId="0" applyFont="1" applyFill="1" applyBorder="1"/>
    <xf numFmtId="0" fontId="2" fillId="2" borderId="0" xfId="0" applyFont="1" applyFill="1"/>
    <xf numFmtId="9" fontId="2" fillId="2" borderId="0" xfId="3" applyFont="1" applyFill="1"/>
    <xf numFmtId="172" fontId="2" fillId="2" borderId="0" xfId="3" applyNumberFormat="1" applyFont="1" applyFill="1"/>
    <xf numFmtId="176" fontId="2" fillId="0" borderId="0" xfId="3" applyNumberFormat="1" applyFont="1" applyFill="1"/>
    <xf numFmtId="176" fontId="3" fillId="0" borderId="0" xfId="3" applyNumberFormat="1" applyFont="1" applyFill="1" applyBorder="1"/>
    <xf numFmtId="0" fontId="23" fillId="0" borderId="0" xfId="0" applyFont="1" applyFill="1" applyBorder="1"/>
    <xf numFmtId="171" fontId="0" fillId="0" borderId="0" xfId="1" applyNumberFormat="1" applyFont="1"/>
    <xf numFmtId="171" fontId="24" fillId="0" borderId="0" xfId="1" applyNumberFormat="1" applyFont="1"/>
    <xf numFmtId="0" fontId="24" fillId="0" borderId="0" xfId="0" applyFont="1"/>
    <xf numFmtId="171" fontId="2" fillId="0" borderId="2" xfId="1" applyNumberFormat="1" applyFont="1" applyBorder="1"/>
    <xf numFmtId="171" fontId="2" fillId="3" borderId="0" xfId="0" applyNumberFormat="1" applyFont="1" applyFill="1" applyBorder="1"/>
    <xf numFmtId="171" fontId="0" fillId="0" borderId="0" xfId="0" applyNumberFormat="1"/>
    <xf numFmtId="43" fontId="0" fillId="0" borderId="0" xfId="0" applyNumberFormat="1"/>
    <xf numFmtId="175" fontId="2" fillId="0" borderId="0" xfId="3" applyNumberFormat="1" applyFont="1" applyFill="1" applyBorder="1"/>
    <xf numFmtId="3" fontId="3" fillId="0" borderId="0" xfId="0" applyNumberFormat="1" applyFont="1" applyFill="1" applyAlignment="1">
      <alignment horizontal="right"/>
    </xf>
    <xf numFmtId="172" fontId="8" fillId="0" borderId="0" xfId="3" applyNumberFormat="1" applyFont="1"/>
    <xf numFmtId="172" fontId="8" fillId="0" borderId="0" xfId="3" applyNumberFormat="1" applyFont="1" applyFill="1" applyBorder="1"/>
    <xf numFmtId="172" fontId="2" fillId="0" borderId="0" xfId="3" applyNumberFormat="1" applyFont="1" applyFill="1" applyBorder="1"/>
    <xf numFmtId="0" fontId="16" fillId="0" borderId="0" xfId="0" applyFont="1" applyFill="1" applyBorder="1"/>
    <xf numFmtId="0" fontId="1" fillId="0" borderId="0" xfId="0" applyFont="1"/>
    <xf numFmtId="44" fontId="10" fillId="0" borderId="0" xfId="2" applyFont="1" applyFill="1" applyAlignment="1">
      <alignment horizontal="center"/>
    </xf>
    <xf numFmtId="3" fontId="6" fillId="0" borderId="0" xfId="0" applyNumberFormat="1" applyFont="1" applyFill="1" applyAlignment="1">
      <alignment horizontal="center"/>
    </xf>
    <xf numFmtId="0" fontId="10" fillId="0" borderId="6" xfId="0" applyFont="1" applyFill="1" applyBorder="1"/>
    <xf numFmtId="174" fontId="2" fillId="0" borderId="6" xfId="2" applyNumberFormat="1" applyFont="1" applyFill="1" applyBorder="1"/>
    <xf numFmtId="175" fontId="2" fillId="0" borderId="6" xfId="3" applyNumberFormat="1" applyFont="1" applyFill="1" applyBorder="1"/>
    <xf numFmtId="3" fontId="2" fillId="0" borderId="6" xfId="0" applyNumberFormat="1" applyFont="1" applyFill="1" applyBorder="1"/>
    <xf numFmtId="176" fontId="2" fillId="0" borderId="6" xfId="3" applyNumberFormat="1" applyFont="1" applyFill="1" applyBorder="1"/>
    <xf numFmtId="175" fontId="3" fillId="0" borderId="0" xfId="3" applyNumberFormat="1" applyFont="1" applyFill="1"/>
    <xf numFmtId="0" fontId="0" fillId="0" borderId="6" xfId="0" applyBorder="1"/>
    <xf numFmtId="0" fontId="10" fillId="0" borderId="23" xfId="0" applyFont="1" applyFill="1" applyBorder="1"/>
    <xf numFmtId="174" fontId="2" fillId="0" borderId="23" xfId="2" applyNumberFormat="1" applyFont="1" applyFill="1" applyBorder="1"/>
    <xf numFmtId="0" fontId="2" fillId="0" borderId="23" xfId="0" applyFont="1" applyFill="1" applyBorder="1"/>
    <xf numFmtId="176" fontId="2" fillId="0" borderId="23" xfId="0" applyNumberFormat="1" applyFont="1" applyFill="1" applyBorder="1"/>
    <xf numFmtId="0" fontId="0" fillId="3" borderId="0" xfId="0" applyFill="1"/>
    <xf numFmtId="174" fontId="3" fillId="0" borderId="0" xfId="2" applyNumberFormat="1" applyFont="1" applyFill="1"/>
    <xf numFmtId="176" fontId="3" fillId="0" borderId="0" xfId="3" applyNumberFormat="1" applyFont="1" applyFill="1"/>
    <xf numFmtId="174" fontId="2" fillId="0" borderId="0" xfId="2" applyNumberFormat="1" applyFont="1" applyFill="1" applyBorder="1"/>
    <xf numFmtId="0" fontId="2" fillId="0" borderId="6" xfId="0" applyFont="1" applyFill="1" applyBorder="1"/>
    <xf numFmtId="0" fontId="14" fillId="3" borderId="0" xfId="0" applyFont="1" applyFill="1" applyBorder="1"/>
    <xf numFmtId="44" fontId="10" fillId="3" borderId="0" xfId="2" applyFont="1" applyFill="1" applyAlignment="1">
      <alignment horizontal="center"/>
    </xf>
    <xf numFmtId="3" fontId="10" fillId="3" borderId="0" xfId="0" applyNumberFormat="1" applyFont="1" applyFill="1" applyAlignment="1">
      <alignment horizontal="center"/>
    </xf>
    <xf numFmtId="174" fontId="10" fillId="0" borderId="6" xfId="2" applyNumberFormat="1" applyFont="1" applyFill="1" applyBorder="1"/>
    <xf numFmtId="174" fontId="10" fillId="0" borderId="0" xfId="2" applyNumberFormat="1" applyFont="1" applyFill="1" applyBorder="1"/>
    <xf numFmtId="174" fontId="4" fillId="0" borderId="0" xfId="2" quotePrefix="1" applyNumberFormat="1" applyFont="1" applyFill="1"/>
    <xf numFmtId="174" fontId="4" fillId="0" borderId="0" xfId="2" applyNumberFormat="1" applyFont="1" applyFill="1"/>
    <xf numFmtId="0" fontId="25" fillId="0" borderId="0" xfId="0" applyFont="1"/>
    <xf numFmtId="175" fontId="4" fillId="0" borderId="0" xfId="3" applyNumberFormat="1" applyFont="1" applyFill="1"/>
    <xf numFmtId="174" fontId="10" fillId="3" borderId="6" xfId="2" applyNumberFormat="1" applyFont="1" applyFill="1" applyBorder="1"/>
    <xf numFmtId="172" fontId="10" fillId="2" borderId="15" xfId="3" applyNumberFormat="1" applyFont="1" applyFill="1" applyBorder="1"/>
    <xf numFmtId="175" fontId="21" fillId="0" borderId="0" xfId="3" applyNumberFormat="1" applyFont="1" applyFill="1"/>
    <xf numFmtId="175" fontId="0" fillId="0" borderId="0" xfId="0" applyNumberFormat="1"/>
    <xf numFmtId="174" fontId="0" fillId="0" borderId="0" xfId="0" applyNumberFormat="1"/>
    <xf numFmtId="174" fontId="2" fillId="0" borderId="15" xfId="2" applyNumberFormat="1" applyFont="1" applyFill="1" applyBorder="1"/>
    <xf numFmtId="171" fontId="2" fillId="2" borderId="18" xfId="1" applyNumberFormat="1" applyFont="1" applyFill="1" applyBorder="1"/>
    <xf numFmtId="43" fontId="2" fillId="0" borderId="1" xfId="1" applyFont="1" applyBorder="1"/>
    <xf numFmtId="171" fontId="2" fillId="0" borderId="1" xfId="1" applyNumberFormat="1" applyFont="1" applyBorder="1"/>
    <xf numFmtId="171" fontId="2" fillId="0" borderId="24" xfId="1" applyNumberFormat="1" applyFont="1" applyBorder="1"/>
    <xf numFmtId="0" fontId="6" fillId="0" borderId="25" xfId="0" applyFont="1" applyBorder="1"/>
    <xf numFmtId="43" fontId="2" fillId="0" borderId="25" xfId="1" applyFont="1" applyBorder="1"/>
    <xf numFmtId="1" fontId="5" fillId="0" borderId="0" xfId="0" applyNumberFormat="1" applyFont="1" applyBorder="1"/>
    <xf numFmtId="0" fontId="6" fillId="0" borderId="26" xfId="0" applyFont="1" applyBorder="1"/>
    <xf numFmtId="43" fontId="2" fillId="0" borderId="27" xfId="1" applyFont="1" applyBorder="1"/>
    <xf numFmtId="1" fontId="2" fillId="0" borderId="4" xfId="0" applyNumberFormat="1" applyFont="1" applyBorder="1"/>
    <xf numFmtId="1" fontId="2" fillId="0" borderId="5" xfId="0" applyNumberFormat="1" applyFont="1" applyBorder="1" applyAlignment="1">
      <alignment horizontal="right"/>
    </xf>
    <xf numFmtId="1" fontId="2" fillId="0" borderId="5" xfId="1" applyNumberFormat="1" applyFont="1" applyBorder="1"/>
    <xf numFmtId="1" fontId="2" fillId="0" borderId="24" xfId="1" applyNumberFormat="1" applyFont="1" applyBorder="1"/>
    <xf numFmtId="175" fontId="0" fillId="0" borderId="0" xfId="3" applyNumberFormat="1" applyFont="1"/>
    <xf numFmtId="43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BS%20Cash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hase%20I%20EBSC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OD%20DS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EBS FCF"/>
    </sheetNames>
    <sheetDataSet>
      <sheetData sheetId="0">
        <row r="6">
          <cell r="D6">
            <v>394.93958685256149</v>
          </cell>
          <cell r="E6">
            <v>1829.5910156181794</v>
          </cell>
          <cell r="F6">
            <v>6640.3238557047271</v>
          </cell>
          <cell r="G6">
            <v>21508.024175893512</v>
          </cell>
          <cell r="H6">
            <v>42097.863604746686</v>
          </cell>
          <cell r="I6">
            <v>66955.814516119543</v>
          </cell>
          <cell r="J6">
            <v>97960.720708475259</v>
          </cell>
          <cell r="K6">
            <v>130177.41533713361</v>
          </cell>
          <cell r="L6">
            <v>163241.28393037885</v>
          </cell>
          <cell r="M6">
            <v>197116.67926616807</v>
          </cell>
          <cell r="N6">
            <v>218890.7560803036</v>
          </cell>
          <cell r="O6">
            <v>244727.45751128448</v>
          </cell>
          <cell r="P6">
            <v>269383.92688926111</v>
          </cell>
          <cell r="Q6">
            <v>295695.59121592023</v>
          </cell>
          <cell r="R6">
            <v>319978.00108163455</v>
          </cell>
          <cell r="S6">
            <v>341719.33897281147</v>
          </cell>
          <cell r="T6">
            <v>364429.31146225624</v>
          </cell>
          <cell r="U6">
            <v>396388.665018662</v>
          </cell>
          <cell r="V6">
            <v>430070.06224351388</v>
          </cell>
          <cell r="W6">
            <v>465557.88280212611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Revenue"/>
      <sheetName val="nCube"/>
      <sheetName val="STB Forecast"/>
      <sheetName val="STB"/>
      <sheetName val="DRM"/>
      <sheetName val="Streaming Server"/>
    </sheetNames>
    <sheetDataSet>
      <sheetData sheetId="0">
        <row r="8">
          <cell r="R8">
            <v>480.59456603773583</v>
          </cell>
        </row>
        <row r="17">
          <cell r="N17">
            <v>13124.163671496855</v>
          </cell>
          <cell r="R17">
            <v>3695.4151774510683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STB"/>
      <sheetName val="Network"/>
      <sheetName val="Streaming"/>
      <sheetName val="Storage"/>
      <sheetName val="Encoding"/>
      <sheetName val="DRM"/>
      <sheetName val="LH Bandwidth"/>
      <sheetName val="Local Loop"/>
      <sheetName val="Distribution"/>
      <sheetName val="CRM"/>
      <sheetName val="O&amp;M"/>
      <sheetName val="Marketing"/>
      <sheetName val="Royalties"/>
      <sheetName val="Depreciation"/>
      <sheetName val="EBS &amp; EOD FCF"/>
      <sheetName val="Project FCF"/>
      <sheetName val="BBI FCF"/>
      <sheetName val="Scenario"/>
      <sheetName val="Metro"/>
    </sheetNames>
    <sheetDataSet>
      <sheetData sheetId="0">
        <row r="28">
          <cell r="F28">
            <v>9679.8918346216069</v>
          </cell>
          <cell r="G28">
            <v>44842.917049465184</v>
          </cell>
          <cell r="H28">
            <v>162753.03567903742</v>
          </cell>
          <cell r="I28">
            <v>527157.45529150765</v>
          </cell>
          <cell r="J28">
            <v>1031810.3824692816</v>
          </cell>
          <cell r="K28">
            <v>1641073.8851990085</v>
          </cell>
          <cell r="L28">
            <v>2400998.0565802758</v>
          </cell>
          <cell r="M28">
            <v>3190622.9249297455</v>
          </cell>
          <cell r="N28">
            <v>4001011.861038697</v>
          </cell>
          <cell r="O28">
            <v>4831291.1584845111</v>
          </cell>
          <cell r="P28">
            <v>5364969.5117721474</v>
          </cell>
          <cell r="Q28">
            <v>5998221.9978256002</v>
          </cell>
          <cell r="R28">
            <v>6602547.2276779683</v>
          </cell>
          <cell r="S28">
            <v>7247440.9611745151</v>
          </cell>
          <cell r="T28">
            <v>7842598.0657263361</v>
          </cell>
          <cell r="U28">
            <v>8375473.9944316531</v>
          </cell>
          <cell r="V28">
            <v>8932090.9672121629</v>
          </cell>
          <cell r="W28">
            <v>9715408.4563397542</v>
          </cell>
          <cell r="X28">
            <v>10540932.898125341</v>
          </cell>
          <cell r="Y28">
            <v>11410732.42162074</v>
          </cell>
        </row>
        <row r="34">
          <cell r="F34">
            <v>464634.8080618371</v>
          </cell>
          <cell r="G34">
            <v>2354253.1450969223</v>
          </cell>
          <cell r="H34">
            <v>9276923.0337051321</v>
          </cell>
          <cell r="I34">
            <v>32420183.500427719</v>
          </cell>
          <cell r="J34">
            <v>68099485.242972583</v>
          </cell>
          <cell r="K34">
            <v>108310876.42313455</v>
          </cell>
          <cell r="L34">
            <v>158465871.7342982</v>
          </cell>
          <cell r="M34">
            <v>210581113.04536319</v>
          </cell>
          <cell r="N34">
            <v>264066782.828554</v>
          </cell>
          <cell r="O34">
            <v>318865216.45997775</v>
          </cell>
          <cell r="P34">
            <v>354087987.77696174</v>
          </cell>
          <cell r="Q34">
            <v>395882651.8564896</v>
          </cell>
          <cell r="R34">
            <v>435768117.02674592</v>
          </cell>
          <cell r="S34">
            <v>478331103.437518</v>
          </cell>
          <cell r="T34">
            <v>517611472.33793819</v>
          </cell>
          <cell r="U34">
            <v>552781283.63248909</v>
          </cell>
          <cell r="V34">
            <v>589518003.83600271</v>
          </cell>
          <cell r="W34">
            <v>641216958.11842382</v>
          </cell>
          <cell r="X34">
            <v>695701571.27627254</v>
          </cell>
          <cell r="Y34">
            <v>753108339.82696891</v>
          </cell>
        </row>
        <row r="56">
          <cell r="F56">
            <v>0.5</v>
          </cell>
        </row>
        <row r="88">
          <cell r="F88">
            <v>4.99</v>
          </cell>
          <cell r="G88">
            <v>4.99</v>
          </cell>
          <cell r="H88">
            <v>4.99</v>
          </cell>
          <cell r="I88">
            <v>4.99</v>
          </cell>
          <cell r="J88">
            <v>4.99</v>
          </cell>
          <cell r="K88">
            <v>4.99</v>
          </cell>
          <cell r="L88">
            <v>4.99</v>
          </cell>
          <cell r="M88">
            <v>4.99</v>
          </cell>
          <cell r="N88">
            <v>4.99</v>
          </cell>
          <cell r="O88">
            <v>4.99</v>
          </cell>
          <cell r="P88">
            <v>4.99</v>
          </cell>
          <cell r="Q88">
            <v>4.99</v>
          </cell>
          <cell r="R88">
            <v>4.99</v>
          </cell>
          <cell r="S88">
            <v>4.99</v>
          </cell>
          <cell r="T88">
            <v>4.99</v>
          </cell>
          <cell r="U88">
            <v>4.99</v>
          </cell>
          <cell r="V88">
            <v>4.99</v>
          </cell>
          <cell r="W88">
            <v>4.99</v>
          </cell>
          <cell r="X88">
            <v>4.99</v>
          </cell>
          <cell r="Y88">
            <v>4.99</v>
          </cell>
        </row>
        <row r="92">
          <cell r="F92">
            <v>2.4950000000000001</v>
          </cell>
          <cell r="G92">
            <v>2.4950000000000001</v>
          </cell>
          <cell r="H92">
            <v>2.4950000000000001</v>
          </cell>
          <cell r="I92">
            <v>2.4950000000000001</v>
          </cell>
          <cell r="J92">
            <v>2.4950000000000001</v>
          </cell>
          <cell r="K92">
            <v>2.4950000000000001</v>
          </cell>
          <cell r="L92">
            <v>2.4950000000000001</v>
          </cell>
          <cell r="M92">
            <v>2.4950000000000001</v>
          </cell>
          <cell r="N92">
            <v>2.4950000000000001</v>
          </cell>
          <cell r="O92">
            <v>2.4950000000000001</v>
          </cell>
          <cell r="P92">
            <v>2.4950000000000001</v>
          </cell>
          <cell r="Q92">
            <v>2.4950000000000001</v>
          </cell>
          <cell r="R92">
            <v>2.4950000000000001</v>
          </cell>
          <cell r="S92">
            <v>2.4950000000000001</v>
          </cell>
          <cell r="T92">
            <v>2.4950000000000001</v>
          </cell>
          <cell r="U92">
            <v>2.4950000000000001</v>
          </cell>
          <cell r="V92">
            <v>2.4950000000000001</v>
          </cell>
          <cell r="W92">
            <v>2.4950000000000001</v>
          </cell>
          <cell r="X92">
            <v>2.4950000000000001</v>
          </cell>
          <cell r="Y92">
            <v>2.4950000000000001</v>
          </cell>
        </row>
        <row r="95">
          <cell r="F95">
            <v>2.5</v>
          </cell>
          <cell r="G95">
            <v>2.5</v>
          </cell>
          <cell r="H95">
            <v>2.5</v>
          </cell>
          <cell r="I95">
            <v>2.5</v>
          </cell>
          <cell r="J95">
            <v>2.5</v>
          </cell>
          <cell r="K95">
            <v>2.5</v>
          </cell>
          <cell r="L95">
            <v>2.5</v>
          </cell>
          <cell r="M95">
            <v>2.5</v>
          </cell>
          <cell r="N95">
            <v>2.5</v>
          </cell>
          <cell r="O95">
            <v>2.5</v>
          </cell>
          <cell r="P95">
            <v>2.5</v>
          </cell>
          <cell r="Q95">
            <v>2.5</v>
          </cell>
          <cell r="R95">
            <v>2.5</v>
          </cell>
          <cell r="S95">
            <v>2.5</v>
          </cell>
          <cell r="T95">
            <v>2.5</v>
          </cell>
          <cell r="U95">
            <v>2.5</v>
          </cell>
          <cell r="V95">
            <v>2.5</v>
          </cell>
          <cell r="W95">
            <v>2.5</v>
          </cell>
          <cell r="X95">
            <v>2.5</v>
          </cell>
          <cell r="Y95">
            <v>2.5</v>
          </cell>
        </row>
        <row r="97">
          <cell r="F97">
            <v>1.2</v>
          </cell>
          <cell r="G97">
            <v>1.2</v>
          </cell>
          <cell r="H97">
            <v>1.2</v>
          </cell>
          <cell r="I97">
            <v>1.2</v>
          </cell>
          <cell r="J97">
            <v>1.2</v>
          </cell>
          <cell r="K97">
            <v>1.2</v>
          </cell>
          <cell r="L97">
            <v>1.2</v>
          </cell>
          <cell r="M97">
            <v>1.2</v>
          </cell>
          <cell r="N97">
            <v>1.2</v>
          </cell>
          <cell r="O97">
            <v>1.2</v>
          </cell>
          <cell r="P97">
            <v>1.2</v>
          </cell>
          <cell r="Q97">
            <v>1.2</v>
          </cell>
          <cell r="R97">
            <v>1.2</v>
          </cell>
          <cell r="S97">
            <v>1.2</v>
          </cell>
          <cell r="T97">
            <v>1.2</v>
          </cell>
          <cell r="U97">
            <v>1.2</v>
          </cell>
          <cell r="V97">
            <v>1.2</v>
          </cell>
          <cell r="W97">
            <v>1.2</v>
          </cell>
          <cell r="X97">
            <v>1.2</v>
          </cell>
          <cell r="Y97">
            <v>1.2</v>
          </cell>
        </row>
        <row r="253">
          <cell r="F253">
            <v>0.5</v>
          </cell>
        </row>
      </sheetData>
      <sheetData sheetId="1">
        <row r="29">
          <cell r="E29">
            <v>-4685.0676479568574</v>
          </cell>
          <cell r="F29">
            <v>-13683.691262356377</v>
          </cell>
          <cell r="G29">
            <v>-36349.036595827951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</row>
        <row r="102">
          <cell r="E102">
            <v>869.44788458571281</v>
          </cell>
          <cell r="F102">
            <v>3158.3429247972504</v>
          </cell>
          <cell r="G102">
            <v>10590.68685530818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</row>
        <row r="103">
          <cell r="E103">
            <v>289.81596152857094</v>
          </cell>
          <cell r="F103">
            <v>1342.5969364609878</v>
          </cell>
          <cell r="G103">
            <v>4872.8258882303817</v>
          </cell>
          <cell r="H103">
            <v>4583.0099267018104</v>
          </cell>
          <cell r="I103">
            <v>3530.2289517693935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</row>
        <row r="104">
          <cell r="E104">
            <v>579.63192305714188</v>
          </cell>
          <cell r="F104">
            <v>2395.3779113934047</v>
          </cell>
          <cell r="G104">
            <v>8113.2388784712039</v>
          </cell>
          <cell r="H104">
            <v>3530.2289517693935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</row>
      </sheetData>
      <sheetData sheetId="2"/>
      <sheetData sheetId="3">
        <row r="68">
          <cell r="E68">
            <v>2245.9047187499996</v>
          </cell>
          <cell r="F68">
            <v>1225.0389374999997</v>
          </cell>
          <cell r="G68">
            <v>918.77920312499975</v>
          </cell>
          <cell r="H68">
            <v>3617.6931123046866</v>
          </cell>
          <cell r="I68">
            <v>3746.8964377441384</v>
          </cell>
          <cell r="J68">
            <v>4118.3559983825671</v>
          </cell>
          <cell r="K68">
            <v>1453.5374111938472</v>
          </cell>
          <cell r="L68">
            <v>2888.9056047477711</v>
          </cell>
          <cell r="M68">
            <v>1676.110327282905</v>
          </cell>
          <cell r="N68">
            <v>2759.4499290633185</v>
          </cell>
          <cell r="O68">
            <v>1529.1951690225892</v>
          </cell>
          <cell r="P68">
            <v>758.84873049241276</v>
          </cell>
          <cell r="Q68">
            <v>995.98895877129178</v>
          </cell>
          <cell r="R68">
            <v>630.57742519611008</v>
          </cell>
          <cell r="S68">
            <v>829.45184391180624</v>
          </cell>
          <cell r="T68">
            <v>493.85126232906885</v>
          </cell>
          <cell r="U68">
            <v>278.30292131251394</v>
          </cell>
          <cell r="V68">
            <v>534.09604751886866</v>
          </cell>
          <cell r="W68">
            <v>214.09884663471891</v>
          </cell>
          <cell r="X68">
            <v>245.17771146879102</v>
          </cell>
        </row>
      </sheetData>
      <sheetData sheetId="4">
        <row r="46">
          <cell r="F46">
            <v>0</v>
          </cell>
          <cell r="G46">
            <v>24.37158203125</v>
          </cell>
          <cell r="H46">
            <v>72.651147460937494</v>
          </cell>
          <cell r="I46">
            <v>114.89606567382813</v>
          </cell>
          <cell r="J46">
            <v>152.48302850341798</v>
          </cell>
          <cell r="K46">
            <v>186.51149979553222</v>
          </cell>
          <cell r="L46">
            <v>217.85590823837282</v>
          </cell>
          <cell r="M46">
            <v>247.2084199732742</v>
          </cell>
          <cell r="N46">
            <v>275.11394271327936</v>
          </cell>
          <cell r="O46">
            <v>301.99872953344675</v>
          </cell>
          <cell r="P46">
            <v>328.19371483870265</v>
          </cell>
          <cell r="Q46">
            <v>353.95351927069169</v>
          </cell>
          <cell r="R46">
            <v>379.47189781265075</v>
          </cell>
          <cell r="S46">
            <v>404.89427052249403</v>
          </cell>
          <cell r="T46">
            <v>430.32786352328719</v>
          </cell>
          <cell r="U46">
            <v>455.84989523239875</v>
          </cell>
          <cell r="V46">
            <v>481.51416608544042</v>
          </cell>
          <cell r="W46">
            <v>507.35634651640311</v>
          </cell>
          <cell r="X46">
            <v>533.39820544834208</v>
          </cell>
          <cell r="Y46">
            <v>559.65097816189279</v>
          </cell>
        </row>
      </sheetData>
      <sheetData sheetId="5"/>
      <sheetData sheetId="6">
        <row r="41">
          <cell r="E41">
            <v>627.09644307565713</v>
          </cell>
          <cell r="F41">
            <v>677.96357110453823</v>
          </cell>
          <cell r="G41">
            <v>1230.6695350110178</v>
          </cell>
          <cell r="H41">
            <v>3078.4274506741494</v>
          </cell>
          <cell r="I41">
            <v>5927.0629017989313</v>
          </cell>
          <cell r="J41">
            <v>9137.5403736230619</v>
          </cell>
          <cell r="K41">
            <v>13141.915199266368</v>
          </cell>
          <cell r="L41">
            <v>17302.796065541796</v>
          </cell>
          <cell r="M41">
            <v>21573.091941031755</v>
          </cell>
          <cell r="N41">
            <v>25948.198882164623</v>
          </cell>
          <cell r="O41">
            <v>28760.384944112629</v>
          </cell>
          <cell r="P41">
            <v>32097.270924222132</v>
          </cell>
          <cell r="Q41">
            <v>35281.726463415398</v>
          </cell>
          <cell r="R41">
            <v>38679.955298451438</v>
          </cell>
          <cell r="S41">
            <v>41816.099951460979</v>
          </cell>
          <cell r="T41">
            <v>44624.057685217937</v>
          </cell>
          <cell r="U41">
            <v>47557.117426266457</v>
          </cell>
          <cell r="V41">
            <v>51684.76193617496</v>
          </cell>
          <cell r="W41">
            <v>56034.813450697606</v>
          </cell>
          <cell r="X41">
            <v>60618.169851785206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21">
          <cell r="E21">
            <v>449.18094374999993</v>
          </cell>
          <cell r="F21">
            <v>694.18873124999982</v>
          </cell>
          <cell r="G21">
            <v>877.94457187499984</v>
          </cell>
          <cell r="H21">
            <v>1601.4831943359372</v>
          </cell>
          <cell r="I21">
            <v>2350.8624818847647</v>
          </cell>
          <cell r="J21">
            <v>2725.3527378112785</v>
          </cell>
          <cell r="K21">
            <v>2771.0524325500478</v>
          </cell>
          <cell r="L21">
            <v>3165.0777128746022</v>
          </cell>
          <cell r="M21">
            <v>2776.7611558702456</v>
          </cell>
          <cell r="N21">
            <v>2579.2718541340819</v>
          </cell>
          <cell r="O21">
            <v>2061.4396882620863</v>
          </cell>
          <cell r="P21">
            <v>1922.5019521217994</v>
          </cell>
          <cell r="Q21">
            <v>1543.9186229265033</v>
          </cell>
          <cell r="R21">
            <v>1334.8120425091445</v>
          </cell>
          <cell r="S21">
            <v>948.81242547884199</v>
          </cell>
          <cell r="T21">
            <v>741.74364414013792</v>
          </cell>
          <cell r="U21">
            <v>645.63448230415815</v>
          </cell>
          <cell r="V21">
            <v>553.2559000536736</v>
          </cell>
          <cell r="W21">
            <v>469.96018434139529</v>
          </cell>
          <cell r="X21">
            <v>353.10535785279234</v>
          </cell>
        </row>
        <row r="30">
          <cell r="E30">
            <v>0</v>
          </cell>
          <cell r="F30">
            <v>12.185791015625</v>
          </cell>
          <cell r="G30">
            <v>48.511364746093747</v>
          </cell>
          <cell r="H30">
            <v>93.773606567382814</v>
          </cell>
          <cell r="I30">
            <v>133.68954708862304</v>
          </cell>
          <cell r="J30">
            <v>169.49726414947509</v>
          </cell>
          <cell r="K30">
            <v>202.18370401695253</v>
          </cell>
          <cell r="L30">
            <v>232.53216410582351</v>
          </cell>
          <cell r="M30">
            <v>261.16118134327678</v>
          </cell>
          <cell r="N30">
            <v>288.55633612336305</v>
          </cell>
          <cell r="O30">
            <v>315.09622218607467</v>
          </cell>
          <cell r="P30">
            <v>341.07361705469719</v>
          </cell>
          <cell r="Q30">
            <v>366.7127085416713</v>
          </cell>
          <cell r="R30">
            <v>392.18308416757236</v>
          </cell>
          <cell r="S30">
            <v>417.61106702289061</v>
          </cell>
          <cell r="T30">
            <v>443.088879377843</v>
          </cell>
          <cell r="U30">
            <v>468.68203065891953</v>
          </cell>
          <cell r="V30">
            <v>494.43525630092188</v>
          </cell>
          <cell r="W30">
            <v>520.37727598237257</v>
          </cell>
          <cell r="X30">
            <v>546.52459180511755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157"/>
  <sheetViews>
    <sheetView zoomScale="75" zoomScaleNormal="100" workbookViewId="0">
      <pane xSplit="2" ySplit="2" topLeftCell="C58" activePane="bottomRight" state="frozen"/>
      <selection pane="topRight" activeCell="B1" sqref="B1"/>
      <selection pane="bottomLeft" activeCell="A3" sqref="A3"/>
      <selection pane="bottomRight" activeCell="D73" sqref="D73"/>
    </sheetView>
  </sheetViews>
  <sheetFormatPr defaultRowHeight="12.75" x14ac:dyDescent="0.2"/>
  <cols>
    <col min="1" max="1" width="4.42578125" style="83" customWidth="1"/>
    <col min="2" max="2" width="50.5703125" style="56" customWidth="1"/>
    <col min="3" max="3" width="10.42578125" style="56" customWidth="1"/>
    <col min="4" max="4" width="15.28515625" style="56" customWidth="1"/>
    <col min="5" max="5" width="11.42578125" style="56" customWidth="1"/>
    <col min="6" max="6" width="14" style="56" customWidth="1"/>
    <col min="7" max="7" width="10.42578125" style="56" bestFit="1" customWidth="1"/>
    <col min="8" max="8" width="11.5703125" style="56" customWidth="1"/>
    <col min="9" max="9" width="15.42578125" style="56" customWidth="1"/>
    <col min="10" max="10" width="11.42578125" style="56" bestFit="1" customWidth="1"/>
    <col min="11" max="11" width="10.7109375" style="56" bestFit="1" customWidth="1"/>
    <col min="12" max="12" width="11.7109375" style="56" bestFit="1" customWidth="1"/>
    <col min="13" max="13" width="11" style="56" bestFit="1" customWidth="1"/>
    <col min="14" max="15" width="11.7109375" style="56" bestFit="1" customWidth="1"/>
    <col min="16" max="17" width="11" style="56" bestFit="1" customWidth="1"/>
    <col min="18" max="18" width="10.7109375" style="56" bestFit="1" customWidth="1"/>
    <col min="19" max="20" width="11.42578125" style="56" bestFit="1" customWidth="1"/>
    <col min="21" max="22" width="11" style="56" bestFit="1" customWidth="1"/>
    <col min="23" max="23" width="11.42578125" style="56" bestFit="1" customWidth="1"/>
    <col min="24" max="24" width="3.42578125" style="56" customWidth="1"/>
    <col min="25" max="16384" width="9.140625" style="56"/>
  </cols>
  <sheetData>
    <row r="1" spans="1:32" s="39" customFormat="1" ht="21.75" customHeight="1" x14ac:dyDescent="0.35">
      <c r="A1" s="2">
        <v>1</v>
      </c>
      <c r="B1" s="52" t="s">
        <v>118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6"/>
      <c r="Y1" s="56"/>
      <c r="Z1" s="56"/>
      <c r="AA1" s="56"/>
      <c r="AB1" s="56"/>
      <c r="AC1" s="56"/>
      <c r="AD1" s="56"/>
      <c r="AE1" s="56"/>
      <c r="AF1" s="56"/>
    </row>
    <row r="2" spans="1:32" s="39" customFormat="1" x14ac:dyDescent="0.2">
      <c r="A2" s="2">
        <f>A1+1</f>
        <v>2</v>
      </c>
      <c r="B2" s="65" t="s">
        <v>218</v>
      </c>
      <c r="C2" s="96" t="s">
        <v>158</v>
      </c>
      <c r="D2" s="53">
        <v>2001</v>
      </c>
      <c r="E2" s="53">
        <v>2002</v>
      </c>
      <c r="F2" s="53">
        <v>2003</v>
      </c>
      <c r="G2" s="53">
        <v>2004</v>
      </c>
      <c r="H2" s="53">
        <v>2005</v>
      </c>
      <c r="I2" s="53">
        <v>2006</v>
      </c>
      <c r="J2" s="53">
        <v>2007</v>
      </c>
      <c r="K2" s="53">
        <v>2008</v>
      </c>
      <c r="L2" s="53">
        <v>2009</v>
      </c>
      <c r="M2" s="53">
        <v>2010</v>
      </c>
      <c r="N2" s="53">
        <v>2011</v>
      </c>
      <c r="O2" s="53">
        <v>2012</v>
      </c>
      <c r="P2" s="53">
        <v>2013</v>
      </c>
      <c r="Q2" s="53">
        <v>2014</v>
      </c>
      <c r="R2" s="53">
        <v>2015</v>
      </c>
      <c r="S2" s="53">
        <v>2016</v>
      </c>
      <c r="T2" s="53">
        <v>2017</v>
      </c>
      <c r="U2" s="53">
        <v>2018</v>
      </c>
      <c r="V2" s="53">
        <v>2019</v>
      </c>
      <c r="W2" s="53">
        <v>2020</v>
      </c>
      <c r="X2" s="56"/>
      <c r="Y2" s="56"/>
      <c r="Z2" s="56"/>
      <c r="AA2" s="56"/>
      <c r="AB2" s="56"/>
      <c r="AC2" s="56"/>
      <c r="AD2" s="56"/>
      <c r="AE2" s="56"/>
      <c r="AF2" s="56"/>
    </row>
    <row r="3" spans="1:32" s="1" customFormat="1" ht="18.75" x14ac:dyDescent="0.3">
      <c r="A3" s="2">
        <f>A2+1</f>
        <v>3</v>
      </c>
      <c r="B3" s="78" t="s">
        <v>98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spans="1:32" s="1" customFormat="1" ht="15.75" x14ac:dyDescent="0.25">
      <c r="A4" s="2">
        <f t="shared" ref="A4:A75" si="0">A3+1</f>
        <v>4</v>
      </c>
      <c r="B4" s="58" t="s">
        <v>192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spans="1:32" s="1" customFormat="1" x14ac:dyDescent="0.2">
      <c r="A5" s="2">
        <f t="shared" si="0"/>
        <v>5</v>
      </c>
      <c r="B5" s="54" t="s">
        <v>193</v>
      </c>
      <c r="C5" s="62"/>
      <c r="D5" s="63">
        <f>[3]Assumptions!F88</f>
        <v>4.99</v>
      </c>
      <c r="E5" s="63">
        <f>[3]Assumptions!G88</f>
        <v>4.99</v>
      </c>
      <c r="F5" s="63">
        <f>[3]Assumptions!H88</f>
        <v>4.99</v>
      </c>
      <c r="G5" s="63">
        <f>[3]Assumptions!I88</f>
        <v>4.99</v>
      </c>
      <c r="H5" s="63">
        <f>[3]Assumptions!J88</f>
        <v>4.99</v>
      </c>
      <c r="I5" s="63">
        <f>[3]Assumptions!K88</f>
        <v>4.99</v>
      </c>
      <c r="J5" s="63">
        <f>[3]Assumptions!L88</f>
        <v>4.99</v>
      </c>
      <c r="K5" s="63">
        <f>[3]Assumptions!M88</f>
        <v>4.99</v>
      </c>
      <c r="L5" s="63">
        <f>[3]Assumptions!N88</f>
        <v>4.99</v>
      </c>
      <c r="M5" s="63">
        <f>[3]Assumptions!O88</f>
        <v>4.99</v>
      </c>
      <c r="N5" s="63">
        <f>[3]Assumptions!P88</f>
        <v>4.99</v>
      </c>
      <c r="O5" s="63">
        <f>[3]Assumptions!Q88</f>
        <v>4.99</v>
      </c>
      <c r="P5" s="63">
        <f>[3]Assumptions!R88</f>
        <v>4.99</v>
      </c>
      <c r="Q5" s="63">
        <f>[3]Assumptions!S88</f>
        <v>4.99</v>
      </c>
      <c r="R5" s="63">
        <f>[3]Assumptions!T88</f>
        <v>4.99</v>
      </c>
      <c r="S5" s="63">
        <f>[3]Assumptions!U88</f>
        <v>4.99</v>
      </c>
      <c r="T5" s="63">
        <f>[3]Assumptions!V88</f>
        <v>4.99</v>
      </c>
      <c r="U5" s="63">
        <f>[3]Assumptions!W88</f>
        <v>4.99</v>
      </c>
      <c r="V5" s="63">
        <f>[3]Assumptions!X88</f>
        <v>4.99</v>
      </c>
      <c r="W5" s="63">
        <f>[3]Assumptions!Y88</f>
        <v>4.99</v>
      </c>
      <c r="X5" s="34"/>
      <c r="Y5" s="34"/>
      <c r="Z5" s="34"/>
      <c r="AA5" s="34"/>
      <c r="AB5" s="34"/>
      <c r="AC5" s="34"/>
      <c r="AD5" s="34"/>
      <c r="AE5" s="34"/>
      <c r="AF5" s="34"/>
    </row>
    <row r="6" spans="1:32" s="1" customFormat="1" x14ac:dyDescent="0.2">
      <c r="A6" s="2">
        <f t="shared" si="0"/>
        <v>6</v>
      </c>
      <c r="B6" s="54" t="s">
        <v>103</v>
      </c>
      <c r="C6" s="62"/>
      <c r="D6" s="63">
        <f>[3]Assumptions!F92</f>
        <v>2.4950000000000001</v>
      </c>
      <c r="E6" s="63">
        <f>[3]Assumptions!G92</f>
        <v>2.4950000000000001</v>
      </c>
      <c r="F6" s="63">
        <f>[3]Assumptions!H92</f>
        <v>2.4950000000000001</v>
      </c>
      <c r="G6" s="63">
        <f>[3]Assumptions!I92</f>
        <v>2.4950000000000001</v>
      </c>
      <c r="H6" s="63">
        <f>[3]Assumptions!J92</f>
        <v>2.4950000000000001</v>
      </c>
      <c r="I6" s="63">
        <f>[3]Assumptions!K92</f>
        <v>2.4950000000000001</v>
      </c>
      <c r="J6" s="63">
        <f>[3]Assumptions!L92</f>
        <v>2.4950000000000001</v>
      </c>
      <c r="K6" s="63">
        <f>[3]Assumptions!M92</f>
        <v>2.4950000000000001</v>
      </c>
      <c r="L6" s="63">
        <f>[3]Assumptions!N92</f>
        <v>2.4950000000000001</v>
      </c>
      <c r="M6" s="63">
        <f>[3]Assumptions!O92</f>
        <v>2.4950000000000001</v>
      </c>
      <c r="N6" s="63">
        <f>[3]Assumptions!P92</f>
        <v>2.4950000000000001</v>
      </c>
      <c r="O6" s="63">
        <f>[3]Assumptions!Q92</f>
        <v>2.4950000000000001</v>
      </c>
      <c r="P6" s="63">
        <f>[3]Assumptions!R92</f>
        <v>2.4950000000000001</v>
      </c>
      <c r="Q6" s="63">
        <f>[3]Assumptions!S92</f>
        <v>2.4950000000000001</v>
      </c>
      <c r="R6" s="63">
        <f>[3]Assumptions!T92</f>
        <v>2.4950000000000001</v>
      </c>
      <c r="S6" s="63">
        <f>[3]Assumptions!U92</f>
        <v>2.4950000000000001</v>
      </c>
      <c r="T6" s="63">
        <f>[3]Assumptions!V92</f>
        <v>2.4950000000000001</v>
      </c>
      <c r="U6" s="63">
        <f>[3]Assumptions!W92</f>
        <v>2.4950000000000001</v>
      </c>
      <c r="V6" s="63">
        <f>[3]Assumptions!X92</f>
        <v>2.4950000000000001</v>
      </c>
      <c r="W6" s="63">
        <f>[3]Assumptions!Y92</f>
        <v>2.4950000000000001</v>
      </c>
      <c r="X6" s="62"/>
      <c r="Y6" s="34"/>
      <c r="Z6" s="34"/>
      <c r="AA6" s="34"/>
      <c r="AB6" s="34"/>
      <c r="AC6" s="34"/>
      <c r="AD6" s="34"/>
      <c r="AE6" s="34"/>
      <c r="AF6" s="34"/>
    </row>
    <row r="7" spans="1:32" s="1" customFormat="1" x14ac:dyDescent="0.2">
      <c r="A7" s="2">
        <f t="shared" si="0"/>
        <v>7</v>
      </c>
      <c r="B7" s="54" t="s">
        <v>194</v>
      </c>
      <c r="C7" s="93"/>
      <c r="D7" s="64">
        <f>[3]Assumptions!F97</f>
        <v>1.2</v>
      </c>
      <c r="E7" s="64">
        <f>[3]Assumptions!G97</f>
        <v>1.2</v>
      </c>
      <c r="F7" s="64">
        <f>[3]Assumptions!H97</f>
        <v>1.2</v>
      </c>
      <c r="G7" s="64">
        <f>[3]Assumptions!I97</f>
        <v>1.2</v>
      </c>
      <c r="H7" s="64">
        <f>[3]Assumptions!J97</f>
        <v>1.2</v>
      </c>
      <c r="I7" s="64">
        <f>[3]Assumptions!K97</f>
        <v>1.2</v>
      </c>
      <c r="J7" s="64">
        <f>[3]Assumptions!L97</f>
        <v>1.2</v>
      </c>
      <c r="K7" s="64">
        <f>[3]Assumptions!M97</f>
        <v>1.2</v>
      </c>
      <c r="L7" s="64">
        <f>[3]Assumptions!N97</f>
        <v>1.2</v>
      </c>
      <c r="M7" s="64">
        <f>[3]Assumptions!O97</f>
        <v>1.2</v>
      </c>
      <c r="N7" s="64">
        <f>[3]Assumptions!P97</f>
        <v>1.2</v>
      </c>
      <c r="O7" s="64">
        <f>[3]Assumptions!Q97</f>
        <v>1.2</v>
      </c>
      <c r="P7" s="64">
        <f>[3]Assumptions!R97</f>
        <v>1.2</v>
      </c>
      <c r="Q7" s="64">
        <f>[3]Assumptions!S97</f>
        <v>1.2</v>
      </c>
      <c r="R7" s="64">
        <f>[3]Assumptions!T97</f>
        <v>1.2</v>
      </c>
      <c r="S7" s="64">
        <f>[3]Assumptions!U97</f>
        <v>1.2</v>
      </c>
      <c r="T7" s="64">
        <f>[3]Assumptions!V97</f>
        <v>1.2</v>
      </c>
      <c r="U7" s="64">
        <f>[3]Assumptions!W97</f>
        <v>1.2</v>
      </c>
      <c r="V7" s="64">
        <f>[3]Assumptions!X97</f>
        <v>1.2</v>
      </c>
      <c r="W7" s="64">
        <f>[3]Assumptions!Y97</f>
        <v>1.2</v>
      </c>
      <c r="X7" s="34"/>
      <c r="Y7" s="34"/>
      <c r="Z7" s="34"/>
      <c r="AA7" s="34"/>
      <c r="AB7" s="34"/>
      <c r="AC7" s="34"/>
      <c r="AD7" s="34"/>
      <c r="AE7" s="34"/>
      <c r="AF7" s="34"/>
    </row>
    <row r="8" spans="1:32" s="1" customFormat="1" x14ac:dyDescent="0.2">
      <c r="A8" s="2">
        <f t="shared" si="0"/>
        <v>8</v>
      </c>
      <c r="B8" s="54" t="s">
        <v>102</v>
      </c>
      <c r="C8" s="62"/>
      <c r="D8" s="62">
        <f>D5-D6-D7</f>
        <v>1.2950000000000002</v>
      </c>
      <c r="E8" s="62">
        <f t="shared" ref="E8:W8" si="1">E5-E6-E7</f>
        <v>1.2950000000000002</v>
      </c>
      <c r="F8" s="62">
        <f t="shared" si="1"/>
        <v>1.2950000000000002</v>
      </c>
      <c r="G8" s="62">
        <f t="shared" si="1"/>
        <v>1.2950000000000002</v>
      </c>
      <c r="H8" s="62">
        <f t="shared" si="1"/>
        <v>1.2950000000000002</v>
      </c>
      <c r="I8" s="62">
        <f t="shared" si="1"/>
        <v>1.2950000000000002</v>
      </c>
      <c r="J8" s="62">
        <f t="shared" si="1"/>
        <v>1.2950000000000002</v>
      </c>
      <c r="K8" s="62">
        <f t="shared" si="1"/>
        <v>1.2950000000000002</v>
      </c>
      <c r="L8" s="62">
        <f t="shared" si="1"/>
        <v>1.2950000000000002</v>
      </c>
      <c r="M8" s="62">
        <f t="shared" si="1"/>
        <v>1.2950000000000002</v>
      </c>
      <c r="N8" s="62">
        <f t="shared" si="1"/>
        <v>1.2950000000000002</v>
      </c>
      <c r="O8" s="62">
        <f t="shared" si="1"/>
        <v>1.2950000000000002</v>
      </c>
      <c r="P8" s="62">
        <f t="shared" si="1"/>
        <v>1.2950000000000002</v>
      </c>
      <c r="Q8" s="62">
        <f t="shared" si="1"/>
        <v>1.2950000000000002</v>
      </c>
      <c r="R8" s="62">
        <f t="shared" si="1"/>
        <v>1.2950000000000002</v>
      </c>
      <c r="S8" s="62">
        <f t="shared" si="1"/>
        <v>1.2950000000000002</v>
      </c>
      <c r="T8" s="62">
        <f t="shared" si="1"/>
        <v>1.2950000000000002</v>
      </c>
      <c r="U8" s="62">
        <f t="shared" si="1"/>
        <v>1.2950000000000002</v>
      </c>
      <c r="V8" s="62">
        <f t="shared" si="1"/>
        <v>1.2950000000000002</v>
      </c>
      <c r="W8" s="62">
        <f t="shared" si="1"/>
        <v>1.2950000000000002</v>
      </c>
      <c r="X8" s="34"/>
      <c r="Y8" s="34"/>
      <c r="Z8" s="34"/>
      <c r="AA8" s="34"/>
      <c r="AB8" s="34"/>
      <c r="AC8" s="34"/>
      <c r="AD8" s="34"/>
      <c r="AE8" s="34"/>
      <c r="AF8" s="34"/>
    </row>
    <row r="9" spans="1:32" s="1" customFormat="1" x14ac:dyDescent="0.2">
      <c r="A9" s="2">
        <f t="shared" si="0"/>
        <v>9</v>
      </c>
      <c r="B9" s="54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34"/>
      <c r="Y9" s="34"/>
      <c r="Z9" s="34"/>
      <c r="AA9" s="34"/>
      <c r="AB9" s="34"/>
      <c r="AC9" s="34"/>
      <c r="AD9" s="34"/>
      <c r="AE9" s="34"/>
      <c r="AF9" s="34"/>
    </row>
    <row r="10" spans="1:32" s="1" customFormat="1" x14ac:dyDescent="0.2">
      <c r="A10" s="2">
        <f t="shared" si="0"/>
        <v>10</v>
      </c>
      <c r="B10" s="54" t="s">
        <v>104</v>
      </c>
      <c r="C10" s="33"/>
      <c r="D10" s="66">
        <f>[3]Assumptions!F34</f>
        <v>464634.8080618371</v>
      </c>
      <c r="E10" s="66">
        <f>[3]Assumptions!G34</f>
        <v>2354253.1450969223</v>
      </c>
      <c r="F10" s="66">
        <f>[3]Assumptions!H34</f>
        <v>9276923.0337051321</v>
      </c>
      <c r="G10" s="66">
        <f>[3]Assumptions!I34</f>
        <v>32420183.500427719</v>
      </c>
      <c r="H10" s="66">
        <f>[3]Assumptions!J34</f>
        <v>68099485.242972583</v>
      </c>
      <c r="I10" s="66">
        <f>[3]Assumptions!K34</f>
        <v>108310876.42313455</v>
      </c>
      <c r="J10" s="66">
        <f>[3]Assumptions!L34</f>
        <v>158465871.7342982</v>
      </c>
      <c r="K10" s="66">
        <f>[3]Assumptions!M34</f>
        <v>210581113.04536319</v>
      </c>
      <c r="L10" s="66">
        <f>[3]Assumptions!N34</f>
        <v>264066782.828554</v>
      </c>
      <c r="M10" s="66">
        <f>[3]Assumptions!O34</f>
        <v>318865216.45997775</v>
      </c>
      <c r="N10" s="66">
        <f>[3]Assumptions!P34</f>
        <v>354087987.77696174</v>
      </c>
      <c r="O10" s="66">
        <f>[3]Assumptions!Q34</f>
        <v>395882651.8564896</v>
      </c>
      <c r="P10" s="66">
        <f>[3]Assumptions!R34</f>
        <v>435768117.02674592</v>
      </c>
      <c r="Q10" s="66">
        <f>[3]Assumptions!S34</f>
        <v>478331103.437518</v>
      </c>
      <c r="R10" s="66">
        <f>[3]Assumptions!T34</f>
        <v>517611472.33793819</v>
      </c>
      <c r="S10" s="66">
        <f>[3]Assumptions!U34</f>
        <v>552781283.63248909</v>
      </c>
      <c r="T10" s="66">
        <f>[3]Assumptions!V34</f>
        <v>589518003.83600271</v>
      </c>
      <c r="U10" s="66">
        <f>[3]Assumptions!W34</f>
        <v>641216958.11842382</v>
      </c>
      <c r="V10" s="66">
        <f>[3]Assumptions!X34</f>
        <v>695701571.27627254</v>
      </c>
      <c r="W10" s="66">
        <f>[3]Assumptions!Y34</f>
        <v>753108339.82696891</v>
      </c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x14ac:dyDescent="0.2">
      <c r="A11" s="2">
        <f t="shared" si="0"/>
        <v>11</v>
      </c>
      <c r="B11" s="12" t="s">
        <v>190</v>
      </c>
      <c r="C11" s="60"/>
      <c r="D11" s="60">
        <f t="shared" ref="D11:W11" si="2">D7*D$10/1000</f>
        <v>557.56176967420447</v>
      </c>
      <c r="E11" s="60">
        <f t="shared" si="2"/>
        <v>2825.1037741163063</v>
      </c>
      <c r="F11" s="60">
        <f t="shared" si="2"/>
        <v>11132.307640446159</v>
      </c>
      <c r="G11" s="60">
        <f t="shared" si="2"/>
        <v>38904.220200513257</v>
      </c>
      <c r="H11" s="60">
        <f t="shared" si="2"/>
        <v>81719.382291567104</v>
      </c>
      <c r="I11" s="60">
        <f t="shared" si="2"/>
        <v>129973.05170776145</v>
      </c>
      <c r="J11" s="60">
        <f t="shared" si="2"/>
        <v>190159.04608115784</v>
      </c>
      <c r="K11" s="60">
        <f t="shared" si="2"/>
        <v>252697.33565443582</v>
      </c>
      <c r="L11" s="60">
        <f t="shared" si="2"/>
        <v>316880.13939426484</v>
      </c>
      <c r="M11" s="60">
        <f t="shared" si="2"/>
        <v>382638.25975197327</v>
      </c>
      <c r="N11" s="60">
        <f t="shared" si="2"/>
        <v>424905.58533235407</v>
      </c>
      <c r="O11" s="60">
        <f t="shared" si="2"/>
        <v>475059.1822277875</v>
      </c>
      <c r="P11" s="60">
        <f t="shared" si="2"/>
        <v>522921.74043209507</v>
      </c>
      <c r="Q11" s="60">
        <f t="shared" si="2"/>
        <v>573997.32412502158</v>
      </c>
      <c r="R11" s="60">
        <f t="shared" si="2"/>
        <v>621133.76680552575</v>
      </c>
      <c r="S11" s="60">
        <f t="shared" si="2"/>
        <v>663337.54035898682</v>
      </c>
      <c r="T11" s="60">
        <f t="shared" si="2"/>
        <v>707421.60460320313</v>
      </c>
      <c r="U11" s="60">
        <f t="shared" si="2"/>
        <v>769460.34974210861</v>
      </c>
      <c r="V11" s="60">
        <f t="shared" si="2"/>
        <v>834841.88553152699</v>
      </c>
      <c r="W11" s="60">
        <f t="shared" si="2"/>
        <v>903730.00779236271</v>
      </c>
    </row>
    <row r="12" spans="1:32" x14ac:dyDescent="0.2">
      <c r="A12" s="2">
        <f t="shared" si="0"/>
        <v>12</v>
      </c>
      <c r="B12" s="12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</row>
    <row r="13" spans="1:32" ht="15.75" x14ac:dyDescent="0.25">
      <c r="A13" s="2">
        <f t="shared" si="0"/>
        <v>13</v>
      </c>
      <c r="B13" s="58" t="s">
        <v>106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</row>
    <row r="14" spans="1:32" s="1" customFormat="1" ht="14.25" customHeight="1" x14ac:dyDescent="0.2">
      <c r="A14" s="2">
        <f t="shared" si="0"/>
        <v>14</v>
      </c>
      <c r="B14" s="54" t="s">
        <v>105</v>
      </c>
      <c r="C14" s="62"/>
      <c r="D14" s="63">
        <f>[3]Assumptions!F95</f>
        <v>2.5</v>
      </c>
      <c r="E14" s="63">
        <f>[3]Assumptions!G95</f>
        <v>2.5</v>
      </c>
      <c r="F14" s="63">
        <f>[3]Assumptions!H95</f>
        <v>2.5</v>
      </c>
      <c r="G14" s="63">
        <f>[3]Assumptions!I95</f>
        <v>2.5</v>
      </c>
      <c r="H14" s="63">
        <f>[3]Assumptions!J95</f>
        <v>2.5</v>
      </c>
      <c r="I14" s="63">
        <f>[3]Assumptions!K95</f>
        <v>2.5</v>
      </c>
      <c r="J14" s="63">
        <f>[3]Assumptions!L95</f>
        <v>2.5</v>
      </c>
      <c r="K14" s="63">
        <f>[3]Assumptions!M95</f>
        <v>2.5</v>
      </c>
      <c r="L14" s="63">
        <f>[3]Assumptions!N95</f>
        <v>2.5</v>
      </c>
      <c r="M14" s="63">
        <f>[3]Assumptions!O95</f>
        <v>2.5</v>
      </c>
      <c r="N14" s="63">
        <f>[3]Assumptions!P95</f>
        <v>2.5</v>
      </c>
      <c r="O14" s="63">
        <f>[3]Assumptions!Q95</f>
        <v>2.5</v>
      </c>
      <c r="P14" s="63">
        <f>[3]Assumptions!R95</f>
        <v>2.5</v>
      </c>
      <c r="Q14" s="63">
        <f>[3]Assumptions!S95</f>
        <v>2.5</v>
      </c>
      <c r="R14" s="63">
        <f>[3]Assumptions!T95</f>
        <v>2.5</v>
      </c>
      <c r="S14" s="63">
        <f>[3]Assumptions!U95</f>
        <v>2.5</v>
      </c>
      <c r="T14" s="63">
        <f>[3]Assumptions!V95</f>
        <v>2.5</v>
      </c>
      <c r="U14" s="63">
        <f>[3]Assumptions!W95</f>
        <v>2.5</v>
      </c>
      <c r="V14" s="63">
        <f>[3]Assumptions!X95</f>
        <v>2.5</v>
      </c>
      <c r="W14" s="63">
        <f>[3]Assumptions!Y95</f>
        <v>2.5</v>
      </c>
      <c r="X14" s="34"/>
      <c r="Y14" s="34"/>
      <c r="Z14" s="34"/>
      <c r="AA14" s="34"/>
      <c r="AB14" s="34"/>
      <c r="AC14" s="34"/>
      <c r="AD14" s="34"/>
      <c r="AE14" s="34"/>
      <c r="AF14" s="34"/>
    </row>
    <row r="15" spans="1:32" s="1" customFormat="1" x14ac:dyDescent="0.2">
      <c r="A15" s="2">
        <f t="shared" si="0"/>
        <v>15</v>
      </c>
      <c r="B15" s="54" t="s">
        <v>99</v>
      </c>
      <c r="C15" s="60"/>
      <c r="D15" s="67">
        <f>[3]Assumptions!F28</f>
        <v>9679.8918346216069</v>
      </c>
      <c r="E15" s="67">
        <f>[3]Assumptions!G28</f>
        <v>44842.917049465184</v>
      </c>
      <c r="F15" s="67">
        <f>[3]Assumptions!H28</f>
        <v>162753.03567903742</v>
      </c>
      <c r="G15" s="67">
        <f>[3]Assumptions!I28</f>
        <v>527157.45529150765</v>
      </c>
      <c r="H15" s="67">
        <f>[3]Assumptions!J28</f>
        <v>1031810.3824692816</v>
      </c>
      <c r="I15" s="67">
        <f>[3]Assumptions!K28</f>
        <v>1641073.8851990085</v>
      </c>
      <c r="J15" s="67">
        <f>[3]Assumptions!L28</f>
        <v>2400998.0565802758</v>
      </c>
      <c r="K15" s="67">
        <f>[3]Assumptions!M28</f>
        <v>3190622.9249297455</v>
      </c>
      <c r="L15" s="67">
        <f>[3]Assumptions!N28</f>
        <v>4001011.861038697</v>
      </c>
      <c r="M15" s="67">
        <f>[3]Assumptions!O28</f>
        <v>4831291.1584845111</v>
      </c>
      <c r="N15" s="67">
        <f>[3]Assumptions!P28</f>
        <v>5364969.5117721474</v>
      </c>
      <c r="O15" s="67">
        <f>[3]Assumptions!Q28</f>
        <v>5998221.9978256002</v>
      </c>
      <c r="P15" s="67">
        <f>[3]Assumptions!R28</f>
        <v>6602547.2276779683</v>
      </c>
      <c r="Q15" s="67">
        <f>[3]Assumptions!S28</f>
        <v>7247440.9611745151</v>
      </c>
      <c r="R15" s="67">
        <f>[3]Assumptions!T28</f>
        <v>7842598.0657263361</v>
      </c>
      <c r="S15" s="67">
        <f>[3]Assumptions!U28</f>
        <v>8375473.9944316531</v>
      </c>
      <c r="T15" s="67">
        <f>[3]Assumptions!V28</f>
        <v>8932090.9672121629</v>
      </c>
      <c r="U15" s="67">
        <f>[3]Assumptions!W28</f>
        <v>9715408.4563397542</v>
      </c>
      <c r="V15" s="67">
        <f>[3]Assumptions!X28</f>
        <v>10540932.898125341</v>
      </c>
      <c r="W15" s="67">
        <f>[3]Assumptions!Y28</f>
        <v>11410732.42162074</v>
      </c>
      <c r="X15" s="34"/>
      <c r="Y15" s="34"/>
      <c r="Z15" s="34"/>
      <c r="AA15" s="34"/>
      <c r="AB15" s="34"/>
      <c r="AC15" s="34"/>
      <c r="AD15" s="34"/>
      <c r="AE15" s="34"/>
      <c r="AF15" s="34"/>
    </row>
    <row r="16" spans="1:32" s="1" customFormat="1" x14ac:dyDescent="0.2">
      <c r="A16" s="2">
        <f t="shared" si="0"/>
        <v>16</v>
      </c>
      <c r="B16" s="5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spans="1:32" s="1" customFormat="1" x14ac:dyDescent="0.2">
      <c r="A17" s="2">
        <f t="shared" si="0"/>
        <v>17</v>
      </c>
      <c r="B17" s="54" t="s">
        <v>191</v>
      </c>
      <c r="C17" s="77"/>
      <c r="D17" s="115">
        <v>0.5</v>
      </c>
      <c r="E17" s="116">
        <f>D17</f>
        <v>0.5</v>
      </c>
      <c r="F17" s="116">
        <f t="shared" ref="F17:W17" si="3">E17</f>
        <v>0.5</v>
      </c>
      <c r="G17" s="116">
        <f t="shared" si="3"/>
        <v>0.5</v>
      </c>
      <c r="H17" s="116">
        <f t="shared" si="3"/>
        <v>0.5</v>
      </c>
      <c r="I17" s="116">
        <f t="shared" si="3"/>
        <v>0.5</v>
      </c>
      <c r="J17" s="116">
        <f t="shared" si="3"/>
        <v>0.5</v>
      </c>
      <c r="K17" s="116">
        <f t="shared" si="3"/>
        <v>0.5</v>
      </c>
      <c r="L17" s="116">
        <f t="shared" si="3"/>
        <v>0.5</v>
      </c>
      <c r="M17" s="116">
        <f t="shared" si="3"/>
        <v>0.5</v>
      </c>
      <c r="N17" s="116">
        <f t="shared" si="3"/>
        <v>0.5</v>
      </c>
      <c r="O17" s="116">
        <f t="shared" si="3"/>
        <v>0.5</v>
      </c>
      <c r="P17" s="116">
        <f t="shared" si="3"/>
        <v>0.5</v>
      </c>
      <c r="Q17" s="116">
        <f t="shared" si="3"/>
        <v>0.5</v>
      </c>
      <c r="R17" s="116">
        <f t="shared" si="3"/>
        <v>0.5</v>
      </c>
      <c r="S17" s="116">
        <f t="shared" si="3"/>
        <v>0.5</v>
      </c>
      <c r="T17" s="116">
        <f t="shared" si="3"/>
        <v>0.5</v>
      </c>
      <c r="U17" s="116">
        <f t="shared" si="3"/>
        <v>0.5</v>
      </c>
      <c r="V17" s="116">
        <f t="shared" si="3"/>
        <v>0.5</v>
      </c>
      <c r="W17" s="116">
        <f t="shared" si="3"/>
        <v>0.5</v>
      </c>
      <c r="X17" s="34"/>
      <c r="Y17" s="34"/>
      <c r="Z17" s="34"/>
      <c r="AA17" s="34"/>
      <c r="AB17" s="34"/>
      <c r="AC17" s="34"/>
      <c r="AD17" s="34"/>
      <c r="AE17" s="34"/>
      <c r="AF17" s="34"/>
    </row>
    <row r="18" spans="1:32" s="1" customFormat="1" x14ac:dyDescent="0.2">
      <c r="A18" s="2">
        <f t="shared" si="0"/>
        <v>18</v>
      </c>
      <c r="B18" s="54" t="s">
        <v>195</v>
      </c>
      <c r="C18" s="60"/>
      <c r="D18" s="60">
        <f>(D14*D15*12/1000)*D17</f>
        <v>145.19837751932411</v>
      </c>
      <c r="E18" s="60">
        <f t="shared" ref="E18:W18" si="4">(E14*E15*12/1000)*E17</f>
        <v>672.64375574197777</v>
      </c>
      <c r="F18" s="60">
        <f t="shared" si="4"/>
        <v>2441.2955351855617</v>
      </c>
      <c r="G18" s="60">
        <f t="shared" si="4"/>
        <v>7907.3618293726149</v>
      </c>
      <c r="H18" s="60">
        <f t="shared" si="4"/>
        <v>15477.155737039224</v>
      </c>
      <c r="I18" s="60">
        <f t="shared" si="4"/>
        <v>24616.108277985124</v>
      </c>
      <c r="J18" s="60">
        <f t="shared" si="4"/>
        <v>36014.970848704135</v>
      </c>
      <c r="K18" s="60">
        <f t="shared" si="4"/>
        <v>47859.343873946185</v>
      </c>
      <c r="L18" s="60">
        <f t="shared" si="4"/>
        <v>60015.177915580454</v>
      </c>
      <c r="M18" s="60">
        <f t="shared" si="4"/>
        <v>72469.367377267656</v>
      </c>
      <c r="N18" s="60">
        <f t="shared" si="4"/>
        <v>80474.542676582219</v>
      </c>
      <c r="O18" s="60">
        <f t="shared" si="4"/>
        <v>89973.329967384008</v>
      </c>
      <c r="P18" s="60">
        <f t="shared" si="4"/>
        <v>99038.208415169516</v>
      </c>
      <c r="Q18" s="60">
        <f t="shared" si="4"/>
        <v>108711.61441761772</v>
      </c>
      <c r="R18" s="60">
        <f t="shared" si="4"/>
        <v>117638.97098589505</v>
      </c>
      <c r="S18" s="60">
        <f t="shared" si="4"/>
        <v>125632.1099164748</v>
      </c>
      <c r="T18" s="60">
        <f t="shared" si="4"/>
        <v>133981.36450818245</v>
      </c>
      <c r="U18" s="60">
        <f t="shared" si="4"/>
        <v>145731.12684509633</v>
      </c>
      <c r="V18" s="60">
        <f t="shared" si="4"/>
        <v>158113.99347188015</v>
      </c>
      <c r="W18" s="60">
        <f t="shared" si="4"/>
        <v>171160.98632431112</v>
      </c>
      <c r="X18" s="34"/>
      <c r="Y18" s="34"/>
      <c r="Z18" s="34"/>
      <c r="AA18" s="34"/>
      <c r="AB18" s="34"/>
      <c r="AC18" s="34"/>
      <c r="AD18" s="34"/>
      <c r="AE18" s="34"/>
      <c r="AF18" s="34"/>
    </row>
    <row r="19" spans="1:32" x14ac:dyDescent="0.2">
      <c r="A19" s="2">
        <f t="shared" si="0"/>
        <v>19</v>
      </c>
    </row>
    <row r="20" spans="1:32" s="1" customFormat="1" ht="15.75" x14ac:dyDescent="0.25">
      <c r="A20" s="2">
        <f t="shared" si="0"/>
        <v>20</v>
      </c>
      <c r="B20" s="58" t="s">
        <v>100</v>
      </c>
      <c r="C20" s="34"/>
      <c r="X20" s="60"/>
      <c r="Y20" s="60"/>
      <c r="Z20" s="60"/>
      <c r="AA20" s="34"/>
      <c r="AB20" s="34"/>
      <c r="AC20" s="34"/>
      <c r="AD20" s="34"/>
      <c r="AE20" s="34"/>
      <c r="AF20" s="34"/>
    </row>
    <row r="21" spans="1:32" s="1" customFormat="1" x14ac:dyDescent="0.2">
      <c r="A21" s="2">
        <f t="shared" si="0"/>
        <v>21</v>
      </c>
      <c r="B21" s="43" t="s">
        <v>107</v>
      </c>
      <c r="C21" s="55"/>
      <c r="D21" s="68">
        <f>[3]STB!E102</f>
        <v>869.44788458571281</v>
      </c>
      <c r="E21" s="68">
        <f>[3]STB!F102</f>
        <v>3158.3429247972504</v>
      </c>
      <c r="F21" s="68">
        <f>[3]STB!G102</f>
        <v>10590.68685530818</v>
      </c>
      <c r="G21" s="68">
        <f>[3]STB!H102</f>
        <v>0</v>
      </c>
      <c r="H21" s="68">
        <f>[3]STB!I102</f>
        <v>0</v>
      </c>
      <c r="I21" s="68">
        <f>[3]STB!J102</f>
        <v>0</v>
      </c>
      <c r="J21" s="68">
        <f>[3]STB!K102</f>
        <v>0</v>
      </c>
      <c r="K21" s="68">
        <f>[3]STB!L102</f>
        <v>0</v>
      </c>
      <c r="L21" s="68">
        <f>[3]STB!M102</f>
        <v>0</v>
      </c>
      <c r="M21" s="68">
        <f>[3]STB!N102</f>
        <v>0</v>
      </c>
      <c r="N21" s="68">
        <f>[3]STB!O102</f>
        <v>0</v>
      </c>
      <c r="O21" s="68">
        <f>[3]STB!P102</f>
        <v>0</v>
      </c>
      <c r="P21" s="68">
        <f>[3]STB!Q102</f>
        <v>0</v>
      </c>
      <c r="Q21" s="68">
        <f>[3]STB!R102</f>
        <v>0</v>
      </c>
      <c r="R21" s="68">
        <f>[3]STB!S102</f>
        <v>0</v>
      </c>
      <c r="S21" s="68">
        <f>[3]STB!T102</f>
        <v>0</v>
      </c>
      <c r="T21" s="68">
        <f>[3]STB!U102</f>
        <v>0</v>
      </c>
      <c r="U21" s="68">
        <f>[3]STB!V102</f>
        <v>0</v>
      </c>
      <c r="V21" s="68">
        <f>[3]STB!W102</f>
        <v>0</v>
      </c>
      <c r="W21" s="68">
        <f>[3]STB!X102</f>
        <v>0</v>
      </c>
      <c r="X21" s="60"/>
      <c r="Y21" s="60"/>
      <c r="Z21" s="60"/>
      <c r="AA21" s="34"/>
      <c r="AB21" s="34"/>
      <c r="AC21" s="34"/>
      <c r="AD21" s="34"/>
      <c r="AE21" s="34"/>
      <c r="AF21" s="34"/>
    </row>
    <row r="22" spans="1:32" s="1" customFormat="1" ht="13.5" thickBot="1" x14ac:dyDescent="0.25">
      <c r="A22" s="2">
        <f t="shared" si="0"/>
        <v>22</v>
      </c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/>
      <c r="Y22" s="60"/>
      <c r="Z22" s="60"/>
      <c r="AA22" s="34"/>
      <c r="AB22" s="34"/>
      <c r="AC22" s="34"/>
      <c r="AD22" s="34"/>
      <c r="AE22" s="34"/>
      <c r="AF22" s="34"/>
    </row>
    <row r="23" spans="1:32" s="1" customFormat="1" ht="21" customHeight="1" x14ac:dyDescent="0.3">
      <c r="A23" s="2">
        <f t="shared" si="0"/>
        <v>23</v>
      </c>
      <c r="B23" s="79" t="s">
        <v>174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60"/>
      <c r="Y23" s="60"/>
      <c r="Z23" s="60"/>
      <c r="AA23" s="34"/>
      <c r="AB23" s="34"/>
      <c r="AC23" s="34"/>
      <c r="AD23" s="34"/>
      <c r="AE23" s="34"/>
      <c r="AF23" s="34"/>
    </row>
    <row r="24" spans="1:32" ht="15.75" x14ac:dyDescent="0.25">
      <c r="A24" s="2">
        <f t="shared" si="0"/>
        <v>24</v>
      </c>
      <c r="B24" s="58" t="s">
        <v>183</v>
      </c>
      <c r="X24" s="55"/>
      <c r="Y24" s="55"/>
      <c r="Z24" s="55"/>
    </row>
    <row r="25" spans="1:32" x14ac:dyDescent="0.2">
      <c r="A25" s="2">
        <f t="shared" si="0"/>
        <v>25</v>
      </c>
      <c r="B25" s="57" t="s">
        <v>196</v>
      </c>
      <c r="C25" s="60"/>
      <c r="D25" s="67">
        <f>[3]Assumptions!$F$253*[3]DRM!E41</f>
        <v>313.54822153782857</v>
      </c>
      <c r="E25" s="67">
        <f>[3]Assumptions!$F$253*[3]DRM!F41</f>
        <v>338.98178555226912</v>
      </c>
      <c r="F25" s="67">
        <f>[3]Assumptions!$F$253*[3]DRM!G41</f>
        <v>615.33476750550892</v>
      </c>
      <c r="G25" s="67">
        <f>[3]Assumptions!$F$253*[3]DRM!H41</f>
        <v>1539.2137253370747</v>
      </c>
      <c r="H25" s="67">
        <f>[3]Assumptions!$F$253*[3]DRM!I41</f>
        <v>2963.5314508994657</v>
      </c>
      <c r="I25" s="67">
        <f>[3]Assumptions!$F$253*[3]DRM!J41</f>
        <v>4568.7701868115309</v>
      </c>
      <c r="J25" s="67">
        <f>[3]Assumptions!$F$253*[3]DRM!K41</f>
        <v>6570.9575996331841</v>
      </c>
      <c r="K25" s="67">
        <f>[3]Assumptions!$F$253*[3]DRM!L41</f>
        <v>8651.3980327708978</v>
      </c>
      <c r="L25" s="67">
        <f>[3]Assumptions!$F$253*[3]DRM!M41</f>
        <v>10786.545970515877</v>
      </c>
      <c r="M25" s="67">
        <f>[3]Assumptions!$F$253*[3]DRM!N41</f>
        <v>12974.099441082311</v>
      </c>
      <c r="N25" s="67">
        <f>[3]Assumptions!$F$253*[3]DRM!O41</f>
        <v>14380.192472056315</v>
      </c>
      <c r="O25" s="67">
        <f>[3]Assumptions!$F$253*[3]DRM!P41</f>
        <v>16048.635462111066</v>
      </c>
      <c r="P25" s="67">
        <f>[3]Assumptions!$F$253*[3]DRM!Q41</f>
        <v>17640.863231707699</v>
      </c>
      <c r="Q25" s="67">
        <f>[3]Assumptions!$F$253*[3]DRM!R41</f>
        <v>19339.977649225719</v>
      </c>
      <c r="R25" s="67">
        <f>[3]Assumptions!$F$253*[3]DRM!S41</f>
        <v>20908.04997573049</v>
      </c>
      <c r="S25" s="67">
        <f>[3]Assumptions!$F$253*[3]DRM!T41</f>
        <v>22312.028842608968</v>
      </c>
      <c r="T25" s="67">
        <f>[3]Assumptions!$F$253*[3]DRM!U41</f>
        <v>23778.558713133229</v>
      </c>
      <c r="U25" s="67">
        <f>[3]Assumptions!$F$253*[3]DRM!V41</f>
        <v>25842.38096808748</v>
      </c>
      <c r="V25" s="67">
        <f>[3]Assumptions!$F$253*[3]DRM!W41</f>
        <v>28017.406725348803</v>
      </c>
      <c r="W25" s="67">
        <f>[3]Assumptions!$F$253*[3]DRM!X41</f>
        <v>30309.084925892603</v>
      </c>
      <c r="X25" s="55"/>
      <c r="Y25" s="55"/>
      <c r="Z25" s="55"/>
    </row>
    <row r="26" spans="1:32" x14ac:dyDescent="0.2">
      <c r="A26" s="2">
        <f t="shared" si="0"/>
        <v>26</v>
      </c>
      <c r="B26" s="57" t="s">
        <v>217</v>
      </c>
      <c r="C26" s="55"/>
      <c r="D26" s="69">
        <f>-[3]STB!E29*[3]Assumptions!$F$56</f>
        <v>2342.5338239784287</v>
      </c>
      <c r="E26" s="69">
        <f>-[3]STB!F29*[3]Assumptions!$F$56</f>
        <v>6841.8456311781883</v>
      </c>
      <c r="F26" s="69">
        <f>-[3]STB!G29*[3]Assumptions!$F$56</f>
        <v>18174.518297913975</v>
      </c>
      <c r="G26" s="69">
        <f>-[3]STB!H29*[3]Assumptions!$F$56</f>
        <v>0</v>
      </c>
      <c r="H26" s="69">
        <f>-[3]STB!I29*[3]Assumptions!$F$56</f>
        <v>0</v>
      </c>
      <c r="I26" s="69">
        <f>-[3]STB!J29*[3]Assumptions!$F$56</f>
        <v>0</v>
      </c>
      <c r="J26" s="69">
        <f>-[3]STB!K29*[3]Assumptions!$F$56</f>
        <v>0</v>
      </c>
      <c r="K26" s="69">
        <f>-[3]STB!L29*[3]Assumptions!$F$56</f>
        <v>0</v>
      </c>
      <c r="L26" s="69">
        <f>-[3]STB!M29*[3]Assumptions!$F$56</f>
        <v>0</v>
      </c>
      <c r="M26" s="69">
        <f>-[3]STB!N29*[3]Assumptions!$F$56</f>
        <v>0</v>
      </c>
      <c r="N26" s="69">
        <f>-[3]STB!O29*[3]Assumptions!$F$56</f>
        <v>0</v>
      </c>
      <c r="O26" s="69">
        <f>-[3]STB!P29*[3]Assumptions!$F$56</f>
        <v>0</v>
      </c>
      <c r="P26" s="69">
        <f>-[3]STB!Q29*[3]Assumptions!$F$56</f>
        <v>0</v>
      </c>
      <c r="Q26" s="69">
        <f>-[3]STB!R29*[3]Assumptions!$F$56</f>
        <v>0</v>
      </c>
      <c r="R26" s="69">
        <f>-[3]STB!S29*[3]Assumptions!$F$56</f>
        <v>0</v>
      </c>
      <c r="S26" s="69">
        <f>-[3]STB!T29*[3]Assumptions!$F$56</f>
        <v>0</v>
      </c>
      <c r="T26" s="69">
        <f>-[3]STB!U29*[3]Assumptions!$F$56</f>
        <v>0</v>
      </c>
      <c r="U26" s="69">
        <f>-[3]STB!V29*[3]Assumptions!$F$56</f>
        <v>0</v>
      </c>
      <c r="V26" s="69">
        <f>-[3]STB!W29*[3]Assumptions!$F$56</f>
        <v>0</v>
      </c>
      <c r="W26" s="69">
        <f>-[3]STB!X29*[3]Assumptions!$F$56</f>
        <v>0</v>
      </c>
    </row>
    <row r="27" spans="1:32" x14ac:dyDescent="0.2">
      <c r="A27" s="2">
        <f t="shared" si="0"/>
        <v>27</v>
      </c>
      <c r="B27" s="57"/>
      <c r="C27" s="5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</row>
    <row r="28" spans="1:32" x14ac:dyDescent="0.2">
      <c r="A28" s="2">
        <f t="shared" si="0"/>
        <v>28</v>
      </c>
      <c r="B28" s="57" t="s">
        <v>224</v>
      </c>
      <c r="C28" s="80">
        <v>5</v>
      </c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</row>
    <row r="29" spans="1:32" x14ac:dyDescent="0.2">
      <c r="A29" s="2">
        <f t="shared" si="0"/>
        <v>29</v>
      </c>
      <c r="B29" s="57" t="s">
        <v>229</v>
      </c>
      <c r="C29" s="128">
        <v>0.03</v>
      </c>
      <c r="D29" s="80">
        <v>50</v>
      </c>
      <c r="E29" s="55">
        <f>D29*(1+$C$29)</f>
        <v>51.5</v>
      </c>
      <c r="F29" s="55">
        <f t="shared" ref="F29:W29" si="5">E29*(1+$C$29)</f>
        <v>53.045000000000002</v>
      </c>
      <c r="G29" s="55">
        <f t="shared" si="5"/>
        <v>54.63635</v>
      </c>
      <c r="H29" s="55">
        <f t="shared" si="5"/>
        <v>56.275440500000002</v>
      </c>
      <c r="I29" s="55">
        <f t="shared" si="5"/>
        <v>57.963703715000001</v>
      </c>
      <c r="J29" s="55">
        <f t="shared" si="5"/>
        <v>59.702614826450002</v>
      </c>
      <c r="K29" s="55">
        <f t="shared" si="5"/>
        <v>61.493693271243501</v>
      </c>
      <c r="L29" s="55">
        <f t="shared" si="5"/>
        <v>63.338504069380811</v>
      </c>
      <c r="M29" s="55">
        <f t="shared" si="5"/>
        <v>65.238659191462233</v>
      </c>
      <c r="N29" s="55">
        <f t="shared" si="5"/>
        <v>67.195818967206108</v>
      </c>
      <c r="O29" s="55">
        <f t="shared" si="5"/>
        <v>69.211693536222299</v>
      </c>
      <c r="P29" s="55">
        <f t="shared" si="5"/>
        <v>71.288044342308964</v>
      </c>
      <c r="Q29" s="55">
        <f t="shared" si="5"/>
        <v>73.42668567257823</v>
      </c>
      <c r="R29" s="55">
        <f t="shared" si="5"/>
        <v>75.629486242755576</v>
      </c>
      <c r="S29" s="55">
        <f t="shared" si="5"/>
        <v>77.898370830038246</v>
      </c>
      <c r="T29" s="55">
        <f t="shared" si="5"/>
        <v>80.235321954939394</v>
      </c>
      <c r="U29" s="55">
        <f t="shared" si="5"/>
        <v>82.642381613587574</v>
      </c>
      <c r="V29" s="55">
        <f t="shared" si="5"/>
        <v>85.121653061995204</v>
      </c>
      <c r="W29" s="55">
        <f t="shared" si="5"/>
        <v>87.675302653855056</v>
      </c>
    </row>
    <row r="30" spans="1:32" x14ac:dyDescent="0.2">
      <c r="A30" s="2">
        <f t="shared" si="0"/>
        <v>30</v>
      </c>
      <c r="B30" s="57" t="s">
        <v>227</v>
      </c>
      <c r="C30" s="128">
        <v>0.5</v>
      </c>
      <c r="D30" s="55">
        <f>D29*($C$30)</f>
        <v>25</v>
      </c>
      <c r="E30" s="55">
        <f t="shared" ref="E30:W30" si="6">E29*($C$30)</f>
        <v>25.75</v>
      </c>
      <c r="F30" s="55">
        <f t="shared" si="6"/>
        <v>26.522500000000001</v>
      </c>
      <c r="G30" s="55">
        <f t="shared" si="6"/>
        <v>27.318175</v>
      </c>
      <c r="H30" s="55">
        <f t="shared" si="6"/>
        <v>28.137720250000001</v>
      </c>
      <c r="I30" s="55">
        <f t="shared" si="6"/>
        <v>28.981851857500001</v>
      </c>
      <c r="J30" s="55">
        <f t="shared" si="6"/>
        <v>29.851307413225001</v>
      </c>
      <c r="K30" s="55">
        <f t="shared" si="6"/>
        <v>30.74684663562175</v>
      </c>
      <c r="L30" s="55">
        <f t="shared" si="6"/>
        <v>31.669252034690405</v>
      </c>
      <c r="M30" s="55">
        <f t="shared" si="6"/>
        <v>32.619329595731116</v>
      </c>
      <c r="N30" s="55">
        <f t="shared" si="6"/>
        <v>33.597909483603054</v>
      </c>
      <c r="O30" s="55">
        <f t="shared" si="6"/>
        <v>34.605846768111149</v>
      </c>
      <c r="P30" s="55">
        <f t="shared" si="6"/>
        <v>35.644022171154482</v>
      </c>
      <c r="Q30" s="55">
        <f t="shared" si="6"/>
        <v>36.713342836289115</v>
      </c>
      <c r="R30" s="55">
        <f t="shared" si="6"/>
        <v>37.814743121377788</v>
      </c>
      <c r="S30" s="55">
        <f t="shared" si="6"/>
        <v>38.949185415019123</v>
      </c>
      <c r="T30" s="55">
        <f t="shared" si="6"/>
        <v>40.117660977469697</v>
      </c>
      <c r="U30" s="55">
        <f t="shared" si="6"/>
        <v>41.321190806793787</v>
      </c>
      <c r="V30" s="55">
        <f t="shared" si="6"/>
        <v>42.560826530997602</v>
      </c>
      <c r="W30" s="55">
        <f t="shared" si="6"/>
        <v>43.837651326927528</v>
      </c>
    </row>
    <row r="31" spans="1:32" x14ac:dyDescent="0.2">
      <c r="A31" s="2">
        <f t="shared" si="0"/>
        <v>31</v>
      </c>
      <c r="B31" s="57" t="s">
        <v>228</v>
      </c>
      <c r="C31" s="125"/>
      <c r="D31" s="55">
        <f>SUM(D29:D30)</f>
        <v>75</v>
      </c>
      <c r="E31" s="55">
        <f t="shared" ref="E31:W31" si="7">SUM(E29:E30)</f>
        <v>77.25</v>
      </c>
      <c r="F31" s="55">
        <f t="shared" si="7"/>
        <v>79.567499999999995</v>
      </c>
      <c r="G31" s="55">
        <f t="shared" si="7"/>
        <v>81.954525000000004</v>
      </c>
      <c r="H31" s="55">
        <f t="shared" si="7"/>
        <v>84.413160750000003</v>
      </c>
      <c r="I31" s="55">
        <f t="shared" si="7"/>
        <v>86.945555572499998</v>
      </c>
      <c r="J31" s="55">
        <f t="shared" si="7"/>
        <v>89.553922239675003</v>
      </c>
      <c r="K31" s="55">
        <f t="shared" si="7"/>
        <v>92.240539906865251</v>
      </c>
      <c r="L31" s="55">
        <f t="shared" si="7"/>
        <v>95.00775610407122</v>
      </c>
      <c r="M31" s="55">
        <f t="shared" si="7"/>
        <v>97.857988787193349</v>
      </c>
      <c r="N31" s="55">
        <f t="shared" si="7"/>
        <v>100.79372845080917</v>
      </c>
      <c r="O31" s="55">
        <f t="shared" si="7"/>
        <v>103.81754030433345</v>
      </c>
      <c r="P31" s="55">
        <f t="shared" si="7"/>
        <v>106.93206651346344</v>
      </c>
      <c r="Q31" s="55">
        <f t="shared" si="7"/>
        <v>110.14002850886735</v>
      </c>
      <c r="R31" s="55">
        <f t="shared" si="7"/>
        <v>113.44422936413336</v>
      </c>
      <c r="S31" s="55">
        <f t="shared" si="7"/>
        <v>116.84755624505738</v>
      </c>
      <c r="T31" s="55">
        <f t="shared" si="7"/>
        <v>120.35298293240909</v>
      </c>
      <c r="U31" s="55">
        <f t="shared" si="7"/>
        <v>123.96357242038135</v>
      </c>
      <c r="V31" s="55">
        <f t="shared" si="7"/>
        <v>127.68247959299281</v>
      </c>
      <c r="W31" s="55">
        <f t="shared" si="7"/>
        <v>131.51295398078258</v>
      </c>
    </row>
    <row r="32" spans="1:32" x14ac:dyDescent="0.2">
      <c r="A32" s="2">
        <f t="shared" si="0"/>
        <v>32</v>
      </c>
      <c r="B32" s="57" t="s">
        <v>225</v>
      </c>
      <c r="C32" s="55"/>
      <c r="D32" s="61">
        <f>D31*$C$28</f>
        <v>375</v>
      </c>
      <c r="E32" s="61">
        <f t="shared" ref="E32:W32" si="8">E31*$C$28</f>
        <v>386.25</v>
      </c>
      <c r="F32" s="61">
        <f t="shared" si="8"/>
        <v>397.83749999999998</v>
      </c>
      <c r="G32" s="61">
        <f t="shared" si="8"/>
        <v>409.77262500000001</v>
      </c>
      <c r="H32" s="61">
        <f t="shared" si="8"/>
        <v>422.06580374999999</v>
      </c>
      <c r="I32" s="61">
        <f t="shared" si="8"/>
        <v>434.72777786249998</v>
      </c>
      <c r="J32" s="61">
        <f t="shared" si="8"/>
        <v>447.769611198375</v>
      </c>
      <c r="K32" s="61">
        <f t="shared" si="8"/>
        <v>461.20269953432626</v>
      </c>
      <c r="L32" s="61">
        <f t="shared" si="8"/>
        <v>475.03878052035611</v>
      </c>
      <c r="M32" s="61">
        <f t="shared" si="8"/>
        <v>489.28994393596673</v>
      </c>
      <c r="N32" s="61">
        <f t="shared" si="8"/>
        <v>503.96864225404585</v>
      </c>
      <c r="O32" s="61">
        <f t="shared" si="8"/>
        <v>519.08770152166721</v>
      </c>
      <c r="P32" s="61">
        <f t="shared" si="8"/>
        <v>534.66033256731725</v>
      </c>
      <c r="Q32" s="61">
        <f t="shared" si="8"/>
        <v>550.7001425443367</v>
      </c>
      <c r="R32" s="61">
        <f t="shared" si="8"/>
        <v>567.22114682066683</v>
      </c>
      <c r="S32" s="61">
        <f t="shared" si="8"/>
        <v>584.23778122528688</v>
      </c>
      <c r="T32" s="61">
        <f t="shared" si="8"/>
        <v>601.7649146620455</v>
      </c>
      <c r="U32" s="61">
        <f t="shared" si="8"/>
        <v>619.81786210190671</v>
      </c>
      <c r="V32" s="61">
        <f t="shared" si="8"/>
        <v>638.41239796496404</v>
      </c>
      <c r="W32" s="61">
        <f t="shared" si="8"/>
        <v>657.56476990391297</v>
      </c>
    </row>
    <row r="33" spans="1:23" x14ac:dyDescent="0.2">
      <c r="A33" s="2">
        <f t="shared" si="0"/>
        <v>33</v>
      </c>
      <c r="B33"/>
      <c r="C33" s="55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spans="1:23" x14ac:dyDescent="0.2">
      <c r="A34" s="2">
        <f t="shared" si="0"/>
        <v>34</v>
      </c>
      <c r="B34" s="57" t="s">
        <v>276</v>
      </c>
      <c r="C34" s="55"/>
      <c r="D34" s="164">
        <f>[3]Streaming!E68</f>
        <v>2245.9047187499996</v>
      </c>
      <c r="E34" s="164">
        <f>[3]Streaming!F68</f>
        <v>1225.0389374999997</v>
      </c>
      <c r="F34" s="164">
        <f>[3]Streaming!G68</f>
        <v>918.77920312499975</v>
      </c>
      <c r="G34" s="164">
        <f>[3]Streaming!H68</f>
        <v>3617.6931123046866</v>
      </c>
      <c r="H34" s="164">
        <f>[3]Streaming!I68</f>
        <v>3746.8964377441384</v>
      </c>
      <c r="I34" s="164">
        <f>[3]Streaming!J68</f>
        <v>4118.3559983825671</v>
      </c>
      <c r="J34" s="164">
        <f>[3]Streaming!K68</f>
        <v>1453.5374111938472</v>
      </c>
      <c r="K34" s="164">
        <f>[3]Streaming!L68</f>
        <v>2888.9056047477711</v>
      </c>
      <c r="L34" s="164">
        <f>[3]Streaming!M68</f>
        <v>1676.110327282905</v>
      </c>
      <c r="M34" s="164">
        <f>[3]Streaming!N68</f>
        <v>2759.4499290633185</v>
      </c>
      <c r="N34" s="164">
        <f>[3]Streaming!O68</f>
        <v>1529.1951690225892</v>
      </c>
      <c r="O34" s="164">
        <f>[3]Streaming!P68</f>
        <v>758.84873049241276</v>
      </c>
      <c r="P34" s="164">
        <f>[3]Streaming!Q68</f>
        <v>995.98895877129178</v>
      </c>
      <c r="Q34" s="164">
        <f>[3]Streaming!R68</f>
        <v>630.57742519611008</v>
      </c>
      <c r="R34" s="164">
        <f>[3]Streaming!S68</f>
        <v>829.45184391180624</v>
      </c>
      <c r="S34" s="164">
        <f>[3]Streaming!T68</f>
        <v>493.85126232906885</v>
      </c>
      <c r="T34" s="164">
        <f>[3]Streaming!U68</f>
        <v>278.30292131251394</v>
      </c>
      <c r="U34" s="164">
        <f>[3]Streaming!V68</f>
        <v>534.09604751886866</v>
      </c>
      <c r="V34" s="164">
        <f>[3]Streaming!W68</f>
        <v>214.09884663471891</v>
      </c>
      <c r="W34" s="164">
        <f>[3]Streaming!X68</f>
        <v>245.17771146879102</v>
      </c>
    </row>
    <row r="35" spans="1:23" x14ac:dyDescent="0.2">
      <c r="A35" s="2">
        <f t="shared" si="0"/>
        <v>35</v>
      </c>
      <c r="B35" s="57" t="s">
        <v>277</v>
      </c>
      <c r="C35" s="55"/>
      <c r="D35" s="67">
        <f>[3]Storage!F46</f>
        <v>0</v>
      </c>
      <c r="E35" s="67">
        <f>[3]Storage!G46</f>
        <v>24.37158203125</v>
      </c>
      <c r="F35" s="67">
        <f>[3]Storage!H46</f>
        <v>72.651147460937494</v>
      </c>
      <c r="G35" s="67">
        <f>[3]Storage!I46</f>
        <v>114.89606567382813</v>
      </c>
      <c r="H35" s="67">
        <f>[3]Storage!J46</f>
        <v>152.48302850341798</v>
      </c>
      <c r="I35" s="67">
        <f>[3]Storage!K46</f>
        <v>186.51149979553222</v>
      </c>
      <c r="J35" s="67">
        <f>[3]Storage!L46</f>
        <v>217.85590823837282</v>
      </c>
      <c r="K35" s="67">
        <f>[3]Storage!M46</f>
        <v>247.2084199732742</v>
      </c>
      <c r="L35" s="67">
        <f>[3]Storage!N46</f>
        <v>275.11394271327936</v>
      </c>
      <c r="M35" s="67">
        <f>[3]Storage!O46</f>
        <v>301.99872953344675</v>
      </c>
      <c r="N35" s="67">
        <f>[3]Storage!P46</f>
        <v>328.19371483870265</v>
      </c>
      <c r="O35" s="67">
        <f>[3]Storage!Q46</f>
        <v>353.95351927069169</v>
      </c>
      <c r="P35" s="67">
        <f>[3]Storage!R46</f>
        <v>379.47189781265075</v>
      </c>
      <c r="Q35" s="67">
        <f>[3]Storage!S46</f>
        <v>404.89427052249403</v>
      </c>
      <c r="R35" s="67">
        <f>[3]Storage!T46</f>
        <v>430.32786352328719</v>
      </c>
      <c r="S35" s="67">
        <f>[3]Storage!U46</f>
        <v>455.84989523239875</v>
      </c>
      <c r="T35" s="67">
        <f>[3]Storage!V46</f>
        <v>481.51416608544042</v>
      </c>
      <c r="U35" s="67">
        <f>[3]Storage!W46</f>
        <v>507.35634651640311</v>
      </c>
      <c r="V35" s="67">
        <f>[3]Storage!X46</f>
        <v>533.39820544834208</v>
      </c>
      <c r="W35" s="67">
        <f>[3]Storage!Y46</f>
        <v>559.65097816189279</v>
      </c>
    </row>
    <row r="36" spans="1:23" x14ac:dyDescent="0.2">
      <c r="A36" s="2">
        <f t="shared" si="0"/>
        <v>36</v>
      </c>
      <c r="B36" s="57"/>
      <c r="C36" s="55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</row>
    <row r="37" spans="1:23" ht="15.75" x14ac:dyDescent="0.25">
      <c r="A37" s="2">
        <f t="shared" si="0"/>
        <v>37</v>
      </c>
      <c r="B37" s="58" t="s">
        <v>146</v>
      </c>
      <c r="C37" s="72"/>
      <c r="D37" s="125"/>
      <c r="E37" s="126"/>
      <c r="F37" s="126"/>
    </row>
    <row r="38" spans="1:23" x14ac:dyDescent="0.2">
      <c r="A38" s="2">
        <f t="shared" si="0"/>
        <v>38</v>
      </c>
      <c r="B38" s="57" t="s">
        <v>45</v>
      </c>
      <c r="C38" s="80"/>
      <c r="D38" s="80">
        <v>50</v>
      </c>
      <c r="E38" s="125"/>
      <c r="F38" s="125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</row>
    <row r="39" spans="1:23" x14ac:dyDescent="0.2">
      <c r="A39" s="2">
        <f t="shared" si="0"/>
        <v>39</v>
      </c>
      <c r="B39" s="57" t="s">
        <v>126</v>
      </c>
      <c r="C39" s="80"/>
      <c r="D39" s="68">
        <f>[2]Summary!$R$17</f>
        <v>3695.4151774510683</v>
      </c>
      <c r="E39" s="55"/>
      <c r="F39" s="55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</row>
    <row r="40" spans="1:23" x14ac:dyDescent="0.2">
      <c r="A40" s="2">
        <f t="shared" si="0"/>
        <v>40</v>
      </c>
      <c r="B40" s="57" t="s">
        <v>128</v>
      </c>
      <c r="C40" s="55"/>
      <c r="D40" s="55">
        <f>D39</f>
        <v>3695.4151774510683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</row>
    <row r="41" spans="1:23" x14ac:dyDescent="0.2">
      <c r="A41" s="2">
        <f t="shared" si="0"/>
        <v>41</v>
      </c>
      <c r="B41" s="57" t="s">
        <v>127</v>
      </c>
      <c r="C41" s="72"/>
      <c r="D41" s="72">
        <v>5</v>
      </c>
      <c r="E41" s="72">
        <v>5</v>
      </c>
      <c r="F41" s="72">
        <v>5</v>
      </c>
      <c r="G41" s="72">
        <v>5</v>
      </c>
      <c r="H41" s="72">
        <v>5</v>
      </c>
      <c r="I41" s="72">
        <v>5</v>
      </c>
      <c r="J41" s="72">
        <v>5</v>
      </c>
      <c r="K41" s="72">
        <v>5</v>
      </c>
      <c r="L41" s="72">
        <v>5</v>
      </c>
      <c r="M41" s="72">
        <v>5</v>
      </c>
      <c r="N41" s="72">
        <v>5</v>
      </c>
      <c r="O41" s="72">
        <v>5</v>
      </c>
      <c r="P41" s="72">
        <v>5</v>
      </c>
      <c r="Q41" s="72">
        <v>5</v>
      </c>
      <c r="R41" s="72">
        <v>5</v>
      </c>
      <c r="S41" s="72">
        <v>5</v>
      </c>
      <c r="T41" s="72">
        <v>5</v>
      </c>
      <c r="U41" s="72">
        <v>5</v>
      </c>
      <c r="V41" s="72">
        <v>5</v>
      </c>
      <c r="W41" s="72">
        <v>5</v>
      </c>
    </row>
    <row r="42" spans="1:23" x14ac:dyDescent="0.2">
      <c r="A42" s="2">
        <f t="shared" si="0"/>
        <v>42</v>
      </c>
      <c r="B42" s="57" t="s">
        <v>129</v>
      </c>
      <c r="C42" s="72"/>
      <c r="D42" s="72">
        <v>0</v>
      </c>
      <c r="E42" s="72">
        <v>0</v>
      </c>
      <c r="F42" s="72">
        <v>0</v>
      </c>
      <c r="G42" s="72">
        <v>0</v>
      </c>
      <c r="H42" s="72">
        <v>0</v>
      </c>
      <c r="I42" s="72">
        <v>0</v>
      </c>
      <c r="J42" s="72">
        <v>0</v>
      </c>
      <c r="K42" s="72">
        <v>0</v>
      </c>
      <c r="L42" s="72">
        <v>0</v>
      </c>
      <c r="M42" s="72">
        <v>0</v>
      </c>
      <c r="N42" s="72">
        <v>0</v>
      </c>
      <c r="O42" s="72">
        <v>0</v>
      </c>
      <c r="P42" s="72">
        <v>0</v>
      </c>
      <c r="Q42" s="72">
        <v>0</v>
      </c>
      <c r="R42" s="72">
        <v>0</v>
      </c>
      <c r="S42" s="72">
        <v>0</v>
      </c>
      <c r="T42" s="72">
        <v>0</v>
      </c>
      <c r="U42" s="72">
        <v>0</v>
      </c>
      <c r="V42" s="72">
        <v>0</v>
      </c>
      <c r="W42" s="72">
        <v>0</v>
      </c>
    </row>
    <row r="43" spans="1:23" x14ac:dyDescent="0.2">
      <c r="A43" s="2">
        <f t="shared" si="0"/>
        <v>43</v>
      </c>
      <c r="B43" s="57" t="s">
        <v>1</v>
      </c>
      <c r="C43" s="61"/>
      <c r="D43" s="61">
        <f>SLN(D40,D42,D41)</f>
        <v>739.08303549021366</v>
      </c>
      <c r="E43" s="61">
        <f>SLN(E40,E42,E41)+D44</f>
        <v>739.08303549021366</v>
      </c>
      <c r="F43" s="61">
        <f>SLN(F40,F42,F41)+SUM($D$44:E44)</f>
        <v>739.08303549021366</v>
      </c>
      <c r="G43" s="61">
        <f>SLN(G40,G42,G41)+SUM($D$44:F44)</f>
        <v>739.08303549021366</v>
      </c>
      <c r="H43" s="61">
        <f>SLN(H40,H42,H41)+SUM($D$44:G44)</f>
        <v>739.08303549021366</v>
      </c>
      <c r="I43" s="61">
        <f>SLN(I40,I42,I41)+SUM(E44:H44)</f>
        <v>0</v>
      </c>
      <c r="J43" s="61">
        <f>SLN(J40,J42,J41)+SUM(E44:I44)</f>
        <v>0</v>
      </c>
      <c r="K43" s="61">
        <f t="shared" ref="K43:W43" si="9">SLN(K40,K42,K41)+SUM(F44:J44)</f>
        <v>0</v>
      </c>
      <c r="L43" s="61">
        <f t="shared" si="9"/>
        <v>0</v>
      </c>
      <c r="M43" s="61">
        <f t="shared" si="9"/>
        <v>0</v>
      </c>
      <c r="N43" s="61">
        <f t="shared" si="9"/>
        <v>0</v>
      </c>
      <c r="O43" s="61">
        <f t="shared" si="9"/>
        <v>0</v>
      </c>
      <c r="P43" s="61">
        <f t="shared" si="9"/>
        <v>0</v>
      </c>
      <c r="Q43" s="61">
        <f t="shared" si="9"/>
        <v>0</v>
      </c>
      <c r="R43" s="61">
        <f t="shared" si="9"/>
        <v>0</v>
      </c>
      <c r="S43" s="61">
        <f t="shared" si="9"/>
        <v>0</v>
      </c>
      <c r="T43" s="61">
        <f t="shared" si="9"/>
        <v>0</v>
      </c>
      <c r="U43" s="61">
        <f t="shared" si="9"/>
        <v>0</v>
      </c>
      <c r="V43" s="61">
        <f t="shared" si="9"/>
        <v>0</v>
      </c>
      <c r="W43" s="61">
        <f t="shared" si="9"/>
        <v>0</v>
      </c>
    </row>
    <row r="44" spans="1:23" x14ac:dyDescent="0.2">
      <c r="A44" s="2">
        <f t="shared" si="0"/>
        <v>44</v>
      </c>
      <c r="B44" s="57" t="s">
        <v>131</v>
      </c>
      <c r="C44" s="61"/>
      <c r="D44" s="61">
        <f>SLN(D40,D42,D41)</f>
        <v>739.08303549021366</v>
      </c>
      <c r="E44" s="61">
        <f t="shared" ref="E44:W44" si="10">SLN(E40,E42,E41)</f>
        <v>0</v>
      </c>
      <c r="F44" s="61">
        <f t="shared" si="10"/>
        <v>0</v>
      </c>
      <c r="G44" s="61">
        <f t="shared" si="10"/>
        <v>0</v>
      </c>
      <c r="H44" s="61">
        <f t="shared" si="10"/>
        <v>0</v>
      </c>
      <c r="I44" s="61">
        <f t="shared" si="10"/>
        <v>0</v>
      </c>
      <c r="J44" s="61">
        <f t="shared" si="10"/>
        <v>0</v>
      </c>
      <c r="K44" s="61">
        <f t="shared" si="10"/>
        <v>0</v>
      </c>
      <c r="L44" s="61">
        <f t="shared" si="10"/>
        <v>0</v>
      </c>
      <c r="M44" s="61">
        <f t="shared" si="10"/>
        <v>0</v>
      </c>
      <c r="N44" s="61">
        <f t="shared" si="10"/>
        <v>0</v>
      </c>
      <c r="O44" s="61">
        <f t="shared" si="10"/>
        <v>0</v>
      </c>
      <c r="P44" s="61">
        <f t="shared" si="10"/>
        <v>0</v>
      </c>
      <c r="Q44" s="61">
        <f t="shared" si="10"/>
        <v>0</v>
      </c>
      <c r="R44" s="61">
        <f t="shared" si="10"/>
        <v>0</v>
      </c>
      <c r="S44" s="61">
        <f t="shared" si="10"/>
        <v>0</v>
      </c>
      <c r="T44" s="61">
        <f t="shared" si="10"/>
        <v>0</v>
      </c>
      <c r="U44" s="61">
        <f t="shared" si="10"/>
        <v>0</v>
      </c>
      <c r="V44" s="61">
        <f t="shared" si="10"/>
        <v>0</v>
      </c>
      <c r="W44" s="61">
        <f t="shared" si="10"/>
        <v>0</v>
      </c>
    </row>
    <row r="45" spans="1:23" x14ac:dyDescent="0.2">
      <c r="A45" s="2">
        <f t="shared" si="0"/>
        <v>45</v>
      </c>
      <c r="B45" s="57" t="s">
        <v>130</v>
      </c>
      <c r="C45" s="55"/>
      <c r="D45" s="55">
        <f>D40-D43</f>
        <v>2956.3321419608546</v>
      </c>
      <c r="E45" s="55">
        <f>E40+D45-E43</f>
        <v>2217.249106470641</v>
      </c>
      <c r="F45" s="55">
        <f t="shared" ref="F45:W45" si="11">F40+E45-F43</f>
        <v>1478.1660709804273</v>
      </c>
      <c r="G45" s="55">
        <f t="shared" si="11"/>
        <v>739.08303549021366</v>
      </c>
      <c r="H45" s="55">
        <f t="shared" si="11"/>
        <v>0</v>
      </c>
      <c r="I45" s="55">
        <f t="shared" si="11"/>
        <v>0</v>
      </c>
      <c r="J45" s="55">
        <f t="shared" si="11"/>
        <v>0</v>
      </c>
      <c r="K45" s="55">
        <f t="shared" si="11"/>
        <v>0</v>
      </c>
      <c r="L45" s="55">
        <f t="shared" si="11"/>
        <v>0</v>
      </c>
      <c r="M45" s="55">
        <f t="shared" si="11"/>
        <v>0</v>
      </c>
      <c r="N45" s="55">
        <f t="shared" si="11"/>
        <v>0</v>
      </c>
      <c r="O45" s="55">
        <f t="shared" si="11"/>
        <v>0</v>
      </c>
      <c r="P45" s="55">
        <f t="shared" si="11"/>
        <v>0</v>
      </c>
      <c r="Q45" s="55">
        <f t="shared" si="11"/>
        <v>0</v>
      </c>
      <c r="R45" s="55">
        <f t="shared" si="11"/>
        <v>0</v>
      </c>
      <c r="S45" s="55">
        <f t="shared" si="11"/>
        <v>0</v>
      </c>
      <c r="T45" s="55">
        <f t="shared" si="11"/>
        <v>0</v>
      </c>
      <c r="U45" s="55">
        <f t="shared" si="11"/>
        <v>0</v>
      </c>
      <c r="V45" s="55">
        <f t="shared" si="11"/>
        <v>0</v>
      </c>
      <c r="W45" s="55">
        <f t="shared" si="11"/>
        <v>0</v>
      </c>
    </row>
    <row r="46" spans="1:23" x14ac:dyDescent="0.2">
      <c r="A46" s="2">
        <f t="shared" si="0"/>
        <v>46</v>
      </c>
      <c r="B46" s="57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</row>
    <row r="47" spans="1:23" ht="15.75" x14ac:dyDescent="0.25">
      <c r="A47" s="2">
        <f t="shared" si="0"/>
        <v>47</v>
      </c>
      <c r="B47" s="58" t="s">
        <v>159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</row>
    <row r="48" spans="1:23" x14ac:dyDescent="0.2">
      <c r="A48" s="2">
        <f t="shared" si="0"/>
        <v>48</v>
      </c>
      <c r="B48" s="57" t="s">
        <v>45</v>
      </c>
      <c r="C48" s="80">
        <v>100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</row>
    <row r="49" spans="1:23" x14ac:dyDescent="0.2">
      <c r="A49" s="2">
        <f t="shared" si="0"/>
        <v>49</v>
      </c>
      <c r="B49" s="57" t="s">
        <v>126</v>
      </c>
      <c r="C49" s="68">
        <f>[2]Summary!$N$17-C48</f>
        <v>13024.163671496855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1:23" x14ac:dyDescent="0.2">
      <c r="A50" s="2">
        <f t="shared" si="0"/>
        <v>50</v>
      </c>
      <c r="B50" s="57" t="s">
        <v>128</v>
      </c>
      <c r="C50" s="55">
        <f>C49</f>
        <v>13024.163671496855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</row>
    <row r="51" spans="1:23" x14ac:dyDescent="0.2">
      <c r="A51" s="2">
        <f t="shared" si="0"/>
        <v>51</v>
      </c>
      <c r="B51" s="57" t="s">
        <v>127</v>
      </c>
      <c r="C51" s="80">
        <v>5</v>
      </c>
      <c r="D51" s="80">
        <v>5</v>
      </c>
      <c r="E51" s="80">
        <v>5</v>
      </c>
      <c r="F51" s="80">
        <v>5</v>
      </c>
      <c r="G51" s="80">
        <v>5</v>
      </c>
      <c r="H51" s="80">
        <v>5</v>
      </c>
      <c r="I51" s="80">
        <v>5</v>
      </c>
      <c r="J51" s="80">
        <v>5</v>
      </c>
      <c r="K51" s="80">
        <v>5</v>
      </c>
      <c r="L51" s="80">
        <v>5</v>
      </c>
      <c r="M51" s="80">
        <v>5</v>
      </c>
      <c r="N51" s="80">
        <v>5</v>
      </c>
      <c r="O51" s="80">
        <v>5</v>
      </c>
      <c r="P51" s="80">
        <v>5</v>
      </c>
      <c r="Q51" s="80">
        <v>5</v>
      </c>
      <c r="R51" s="80">
        <v>5</v>
      </c>
      <c r="S51" s="80">
        <v>5</v>
      </c>
      <c r="T51" s="80">
        <v>5</v>
      </c>
      <c r="U51" s="80">
        <v>5</v>
      </c>
      <c r="V51" s="80">
        <v>5</v>
      </c>
      <c r="W51" s="80">
        <v>5</v>
      </c>
    </row>
    <row r="52" spans="1:23" x14ac:dyDescent="0.2">
      <c r="A52" s="2">
        <f t="shared" si="0"/>
        <v>52</v>
      </c>
      <c r="B52" s="57" t="s">
        <v>129</v>
      </c>
      <c r="C52" s="80">
        <v>0</v>
      </c>
      <c r="D52" s="80">
        <v>0</v>
      </c>
      <c r="E52" s="80">
        <v>0</v>
      </c>
      <c r="F52" s="80">
        <v>0</v>
      </c>
      <c r="G52" s="80">
        <v>0</v>
      </c>
      <c r="H52" s="80">
        <v>0</v>
      </c>
      <c r="I52" s="80">
        <v>0</v>
      </c>
      <c r="J52" s="80">
        <v>0</v>
      </c>
      <c r="K52" s="80">
        <v>0</v>
      </c>
      <c r="L52" s="80">
        <v>0</v>
      </c>
      <c r="M52" s="80">
        <v>0</v>
      </c>
      <c r="N52" s="80">
        <v>0</v>
      </c>
      <c r="O52" s="80">
        <v>0</v>
      </c>
      <c r="P52" s="80">
        <v>0</v>
      </c>
      <c r="Q52" s="80">
        <v>0</v>
      </c>
      <c r="R52" s="80">
        <v>0</v>
      </c>
      <c r="S52" s="80">
        <v>0</v>
      </c>
      <c r="T52" s="80">
        <v>0</v>
      </c>
      <c r="U52" s="80">
        <v>0</v>
      </c>
      <c r="V52" s="80">
        <v>0</v>
      </c>
      <c r="W52" s="80">
        <v>0</v>
      </c>
    </row>
    <row r="53" spans="1:23" x14ac:dyDescent="0.2">
      <c r="A53" s="2">
        <f t="shared" si="0"/>
        <v>53</v>
      </c>
      <c r="B53" s="57" t="s">
        <v>1</v>
      </c>
      <c r="C53" s="55">
        <v>0</v>
      </c>
      <c r="D53" s="55">
        <f>SLN(C50,C52,C51)+C53</f>
        <v>2604.8327342993712</v>
      </c>
      <c r="E53" s="61">
        <f>SLN(E50,E52,E51)+D54</f>
        <v>2604.8327342993712</v>
      </c>
      <c r="F53" s="61">
        <f>SLN(F50,F52,F51)+SUM($D$54:E54)</f>
        <v>2604.8327342993712</v>
      </c>
      <c r="G53" s="61">
        <f>SLN(G50,G52,G51)+SUM($D$54:F54)</f>
        <v>2604.8327342993712</v>
      </c>
      <c r="H53" s="61">
        <f>SLN(H50,H52,H51)+SUM($D$54:G54)</f>
        <v>2604.8327342993712</v>
      </c>
      <c r="I53" s="61">
        <f>SLN(I50,I52,I51)+SUM(E54:H54)</f>
        <v>0</v>
      </c>
      <c r="J53" s="61">
        <f>SLN(J50,J52,J51)+SUM(E54:I54)</f>
        <v>0</v>
      </c>
      <c r="K53" s="61">
        <f t="shared" ref="K53:W53" si="12">SLN(K50,K52,K51)+SUM(F54:J54)</f>
        <v>0</v>
      </c>
      <c r="L53" s="61">
        <f t="shared" si="12"/>
        <v>0</v>
      </c>
      <c r="M53" s="61">
        <f t="shared" si="12"/>
        <v>0</v>
      </c>
      <c r="N53" s="61">
        <f t="shared" si="12"/>
        <v>0</v>
      </c>
      <c r="O53" s="61">
        <f t="shared" si="12"/>
        <v>0</v>
      </c>
      <c r="P53" s="61">
        <f t="shared" si="12"/>
        <v>0</v>
      </c>
      <c r="Q53" s="61">
        <f t="shared" si="12"/>
        <v>0</v>
      </c>
      <c r="R53" s="61">
        <f t="shared" si="12"/>
        <v>0</v>
      </c>
      <c r="S53" s="61">
        <f t="shared" si="12"/>
        <v>0</v>
      </c>
      <c r="T53" s="61">
        <f t="shared" si="12"/>
        <v>0</v>
      </c>
      <c r="U53" s="61">
        <f t="shared" si="12"/>
        <v>0</v>
      </c>
      <c r="V53" s="61">
        <f t="shared" si="12"/>
        <v>0</v>
      </c>
      <c r="W53" s="61">
        <f t="shared" si="12"/>
        <v>0</v>
      </c>
    </row>
    <row r="54" spans="1:23" x14ac:dyDescent="0.2">
      <c r="A54" s="2">
        <f t="shared" si="0"/>
        <v>54</v>
      </c>
      <c r="B54" s="57" t="s">
        <v>131</v>
      </c>
      <c r="C54" s="55">
        <v>0</v>
      </c>
      <c r="D54" s="61">
        <f>SLN(C50,C52,C51)+SLN(D50,D52,875)</f>
        <v>2604.8327342993712</v>
      </c>
      <c r="E54" s="61">
        <f>SLN(E50,E52,875)</f>
        <v>0</v>
      </c>
      <c r="F54" s="61">
        <f t="shared" ref="F54:W54" si="13">SLN(F50,F52,875)</f>
        <v>0</v>
      </c>
      <c r="G54" s="61">
        <f t="shared" si="13"/>
        <v>0</v>
      </c>
      <c r="H54" s="61">
        <f t="shared" si="13"/>
        <v>0</v>
      </c>
      <c r="I54" s="61">
        <f t="shared" si="13"/>
        <v>0</v>
      </c>
      <c r="J54" s="61">
        <f t="shared" si="13"/>
        <v>0</v>
      </c>
      <c r="K54" s="61">
        <f t="shared" si="13"/>
        <v>0</v>
      </c>
      <c r="L54" s="61">
        <f t="shared" si="13"/>
        <v>0</v>
      </c>
      <c r="M54" s="61">
        <f t="shared" si="13"/>
        <v>0</v>
      </c>
      <c r="N54" s="61">
        <f t="shared" si="13"/>
        <v>0</v>
      </c>
      <c r="O54" s="61">
        <f t="shared" si="13"/>
        <v>0</v>
      </c>
      <c r="P54" s="61">
        <f t="shared" si="13"/>
        <v>0</v>
      </c>
      <c r="Q54" s="61">
        <f t="shared" si="13"/>
        <v>0</v>
      </c>
      <c r="R54" s="61">
        <f t="shared" si="13"/>
        <v>0</v>
      </c>
      <c r="S54" s="61">
        <f t="shared" si="13"/>
        <v>0</v>
      </c>
      <c r="T54" s="61">
        <f t="shared" si="13"/>
        <v>0</v>
      </c>
      <c r="U54" s="61">
        <f t="shared" si="13"/>
        <v>0</v>
      </c>
      <c r="V54" s="61">
        <f t="shared" si="13"/>
        <v>0</v>
      </c>
      <c r="W54" s="61">
        <f t="shared" si="13"/>
        <v>0</v>
      </c>
    </row>
    <row r="55" spans="1:23" x14ac:dyDescent="0.2">
      <c r="A55" s="2">
        <f t="shared" si="0"/>
        <v>55</v>
      </c>
      <c r="B55" s="57" t="s">
        <v>130</v>
      </c>
      <c r="C55" s="55">
        <v>0</v>
      </c>
      <c r="D55" s="55">
        <f>C50-D53</f>
        <v>10419.330937197485</v>
      </c>
      <c r="E55" s="55">
        <f>E50+D55-E53</f>
        <v>7814.498202898114</v>
      </c>
      <c r="F55" s="55">
        <f t="shared" ref="F55:W55" si="14">F50+E55-F53</f>
        <v>5209.6654685987432</v>
      </c>
      <c r="G55" s="55">
        <f t="shared" si="14"/>
        <v>2604.8327342993721</v>
      </c>
      <c r="H55" s="55">
        <f t="shared" si="14"/>
        <v>0</v>
      </c>
      <c r="I55" s="55">
        <f t="shared" si="14"/>
        <v>0</v>
      </c>
      <c r="J55" s="55">
        <f t="shared" si="14"/>
        <v>0</v>
      </c>
      <c r="K55" s="55">
        <f t="shared" si="14"/>
        <v>0</v>
      </c>
      <c r="L55" s="55">
        <f t="shared" si="14"/>
        <v>0</v>
      </c>
      <c r="M55" s="55">
        <f t="shared" si="14"/>
        <v>0</v>
      </c>
      <c r="N55" s="55">
        <f t="shared" si="14"/>
        <v>0</v>
      </c>
      <c r="O55" s="55">
        <f t="shared" si="14"/>
        <v>0</v>
      </c>
      <c r="P55" s="55">
        <f t="shared" si="14"/>
        <v>0</v>
      </c>
      <c r="Q55" s="55">
        <f t="shared" si="14"/>
        <v>0</v>
      </c>
      <c r="R55" s="55">
        <f t="shared" si="14"/>
        <v>0</v>
      </c>
      <c r="S55" s="55">
        <f t="shared" si="14"/>
        <v>0</v>
      </c>
      <c r="T55" s="55">
        <f t="shared" si="14"/>
        <v>0</v>
      </c>
      <c r="U55" s="55">
        <f t="shared" si="14"/>
        <v>0</v>
      </c>
      <c r="V55" s="55">
        <f t="shared" si="14"/>
        <v>0</v>
      </c>
      <c r="W55" s="55">
        <f t="shared" si="14"/>
        <v>0</v>
      </c>
    </row>
    <row r="56" spans="1:23" x14ac:dyDescent="0.2">
      <c r="A56" s="2">
        <f t="shared" si="0"/>
        <v>56</v>
      </c>
      <c r="B56" s="57"/>
      <c r="C56" s="94"/>
      <c r="D56"/>
    </row>
    <row r="57" spans="1:23" ht="15.75" x14ac:dyDescent="0.25">
      <c r="A57" s="2">
        <f t="shared" si="0"/>
        <v>57</v>
      </c>
      <c r="B57" s="58" t="s">
        <v>176</v>
      </c>
    </row>
    <row r="58" spans="1:23" x14ac:dyDescent="0.2">
      <c r="A58" s="2">
        <f t="shared" si="0"/>
        <v>58</v>
      </c>
      <c r="B58" s="57" t="s">
        <v>178</v>
      </c>
      <c r="C58" s="95"/>
      <c r="D58" s="69">
        <f>[1]Assumptions!D6</f>
        <v>394.93958685256149</v>
      </c>
      <c r="E58" s="69">
        <f>[1]Assumptions!E6</f>
        <v>1829.5910156181794</v>
      </c>
      <c r="F58" s="69">
        <f>[1]Assumptions!F6</f>
        <v>6640.3238557047271</v>
      </c>
      <c r="G58" s="69">
        <f>[1]Assumptions!G6</f>
        <v>21508.024175893512</v>
      </c>
      <c r="H58" s="69">
        <f>[1]Assumptions!H6</f>
        <v>42097.863604746686</v>
      </c>
      <c r="I58" s="69">
        <f>[1]Assumptions!I6</f>
        <v>66955.814516119543</v>
      </c>
      <c r="J58" s="69">
        <f>[1]Assumptions!J6</f>
        <v>97960.720708475259</v>
      </c>
      <c r="K58" s="69">
        <f>[1]Assumptions!K6</f>
        <v>130177.41533713361</v>
      </c>
      <c r="L58" s="69">
        <f>[1]Assumptions!L6</f>
        <v>163241.28393037885</v>
      </c>
      <c r="M58" s="69">
        <f>[1]Assumptions!M6</f>
        <v>197116.67926616807</v>
      </c>
      <c r="N58" s="69">
        <f>[1]Assumptions!N6</f>
        <v>218890.7560803036</v>
      </c>
      <c r="O58" s="69">
        <f>[1]Assumptions!O6</f>
        <v>244727.45751128448</v>
      </c>
      <c r="P58" s="69">
        <f>[1]Assumptions!P6</f>
        <v>269383.92688926111</v>
      </c>
      <c r="Q58" s="69">
        <f>[1]Assumptions!Q6</f>
        <v>295695.59121592023</v>
      </c>
      <c r="R58" s="69">
        <f>[1]Assumptions!R6</f>
        <v>319978.00108163455</v>
      </c>
      <c r="S58" s="69">
        <f>[1]Assumptions!S6</f>
        <v>341719.33897281147</v>
      </c>
      <c r="T58" s="69">
        <f>[1]Assumptions!T6</f>
        <v>364429.31146225624</v>
      </c>
      <c r="U58" s="69">
        <f>[1]Assumptions!U6</f>
        <v>396388.665018662</v>
      </c>
      <c r="V58" s="69">
        <f>[1]Assumptions!V6</f>
        <v>430070.06224351388</v>
      </c>
      <c r="W58" s="69">
        <f>[1]Assumptions!W6</f>
        <v>465557.88280212611</v>
      </c>
    </row>
    <row r="59" spans="1:23" x14ac:dyDescent="0.2">
      <c r="A59" s="2">
        <f t="shared" si="0"/>
        <v>59</v>
      </c>
      <c r="B59" s="57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</row>
    <row r="60" spans="1:23" ht="15.75" x14ac:dyDescent="0.25">
      <c r="A60" s="2">
        <f t="shared" si="0"/>
        <v>60</v>
      </c>
      <c r="B60" s="58" t="s">
        <v>184</v>
      </c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</row>
    <row r="61" spans="1:23" x14ac:dyDescent="0.2">
      <c r="A61" s="2">
        <f t="shared" si="0"/>
        <v>61</v>
      </c>
      <c r="B61" s="57" t="s">
        <v>21</v>
      </c>
      <c r="C61" s="95"/>
      <c r="D61" s="55">
        <f>D25+D26+D38+D58</f>
        <v>3101.0216323688192</v>
      </c>
      <c r="E61" s="55">
        <f t="shared" ref="E61:W61" si="15">E25+E26+E58</f>
        <v>9010.418432348637</v>
      </c>
      <c r="F61" s="55">
        <f t="shared" si="15"/>
        <v>25430.17692112421</v>
      </c>
      <c r="G61" s="55">
        <f t="shared" si="15"/>
        <v>23047.237901230586</v>
      </c>
      <c r="H61" s="55">
        <f t="shared" si="15"/>
        <v>45061.39505564615</v>
      </c>
      <c r="I61" s="55">
        <f t="shared" si="15"/>
        <v>71524.584702931068</v>
      </c>
      <c r="J61" s="55">
        <f t="shared" si="15"/>
        <v>104531.67830810844</v>
      </c>
      <c r="K61" s="55">
        <f t="shared" si="15"/>
        <v>138828.8133699045</v>
      </c>
      <c r="L61" s="55">
        <f t="shared" si="15"/>
        <v>174027.82990089472</v>
      </c>
      <c r="M61" s="55">
        <f t="shared" si="15"/>
        <v>210090.77870725037</v>
      </c>
      <c r="N61" s="55">
        <f t="shared" si="15"/>
        <v>233270.94855235991</v>
      </c>
      <c r="O61" s="55">
        <f t="shared" si="15"/>
        <v>260776.09297339554</v>
      </c>
      <c r="P61" s="55">
        <f t="shared" si="15"/>
        <v>287024.79012096883</v>
      </c>
      <c r="Q61" s="55">
        <f t="shared" si="15"/>
        <v>315035.56886514596</v>
      </c>
      <c r="R61" s="55">
        <f t="shared" si="15"/>
        <v>340886.05105736502</v>
      </c>
      <c r="S61" s="55">
        <f t="shared" si="15"/>
        <v>364031.36781542044</v>
      </c>
      <c r="T61" s="55">
        <f t="shared" si="15"/>
        <v>388207.87017538946</v>
      </c>
      <c r="U61" s="55">
        <f t="shared" si="15"/>
        <v>422231.04598674946</v>
      </c>
      <c r="V61" s="55">
        <f t="shared" si="15"/>
        <v>458087.46896886267</v>
      </c>
      <c r="W61" s="55">
        <f t="shared" si="15"/>
        <v>495866.9677280187</v>
      </c>
    </row>
    <row r="62" spans="1:23" customFormat="1" x14ac:dyDescent="0.2">
      <c r="A62" s="2">
        <f t="shared" si="0"/>
        <v>62</v>
      </c>
      <c r="B62" s="57" t="s">
        <v>280</v>
      </c>
      <c r="C62" s="95"/>
      <c r="D62" s="55">
        <f t="shared" ref="D62:W62" si="16">D39+D34+D35</f>
        <v>5941.3198962010683</v>
      </c>
      <c r="E62" s="55">
        <f t="shared" si="16"/>
        <v>1249.4105195312497</v>
      </c>
      <c r="F62" s="55">
        <f t="shared" si="16"/>
        <v>991.43035058593728</v>
      </c>
      <c r="G62" s="55">
        <f t="shared" si="16"/>
        <v>3732.5891779785147</v>
      </c>
      <c r="H62" s="55">
        <f t="shared" si="16"/>
        <v>3899.3794662475566</v>
      </c>
      <c r="I62" s="55">
        <f t="shared" si="16"/>
        <v>4304.8674981780996</v>
      </c>
      <c r="J62" s="55">
        <f t="shared" si="16"/>
        <v>1671.3933194322201</v>
      </c>
      <c r="K62" s="55">
        <f t="shared" si="16"/>
        <v>3136.1140247210451</v>
      </c>
      <c r="L62" s="55">
        <f t="shared" si="16"/>
        <v>1951.2242699961844</v>
      </c>
      <c r="M62" s="55">
        <f t="shared" si="16"/>
        <v>3061.4486585967652</v>
      </c>
      <c r="N62" s="55">
        <f t="shared" si="16"/>
        <v>1857.3888838612918</v>
      </c>
      <c r="O62" s="55">
        <f t="shared" si="16"/>
        <v>1112.8022497631046</v>
      </c>
      <c r="P62" s="55">
        <f t="shared" si="16"/>
        <v>1375.4608565839426</v>
      </c>
      <c r="Q62" s="55">
        <f t="shared" si="16"/>
        <v>1035.4716957186042</v>
      </c>
      <c r="R62" s="55">
        <f t="shared" si="16"/>
        <v>1259.7797074350933</v>
      </c>
      <c r="S62" s="55">
        <f t="shared" si="16"/>
        <v>949.70115756146765</v>
      </c>
      <c r="T62" s="55">
        <f t="shared" si="16"/>
        <v>759.81708739795431</v>
      </c>
      <c r="U62" s="55">
        <f t="shared" si="16"/>
        <v>1041.4523940352717</v>
      </c>
      <c r="V62" s="55">
        <f t="shared" si="16"/>
        <v>747.49705208306102</v>
      </c>
      <c r="W62" s="55">
        <f t="shared" si="16"/>
        <v>804.82868963068381</v>
      </c>
    </row>
    <row r="63" spans="1:23" customFormat="1" x14ac:dyDescent="0.2">
      <c r="A63" s="2">
        <f t="shared" si="0"/>
        <v>63</v>
      </c>
      <c r="B63" s="57" t="s">
        <v>281</v>
      </c>
      <c r="C63" s="95"/>
      <c r="D63" s="55">
        <f>D62+D26</f>
        <v>8283.853720179497</v>
      </c>
      <c r="E63" s="55">
        <f>E62+E26+D63</f>
        <v>16375.109870888935</v>
      </c>
      <c r="F63" s="55">
        <f>F62+F26+E63</f>
        <v>35541.058519388847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</row>
    <row r="64" spans="1:23" customFormat="1" ht="13.5" thickBot="1" x14ac:dyDescent="0.25">
      <c r="A64" s="2">
        <f t="shared" si="0"/>
        <v>64</v>
      </c>
      <c r="B64" s="102"/>
      <c r="C64" s="103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</row>
    <row r="65" spans="1:24" ht="18.75" x14ac:dyDescent="0.3">
      <c r="A65" s="2">
        <f t="shared" si="0"/>
        <v>65</v>
      </c>
      <c r="B65" s="79" t="s">
        <v>160</v>
      </c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</row>
    <row r="66" spans="1:24" ht="15.75" x14ac:dyDescent="0.25">
      <c r="A66" s="2">
        <f t="shared" si="0"/>
        <v>66</v>
      </c>
      <c r="B66" s="58" t="s">
        <v>220</v>
      </c>
      <c r="C66" s="117" t="s">
        <v>219</v>
      </c>
      <c r="D66" s="117" t="s">
        <v>270</v>
      </c>
      <c r="E66" s="117"/>
      <c r="F66" s="117"/>
      <c r="G66"/>
      <c r="K66" s="117"/>
      <c r="L66" s="117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</row>
    <row r="67" spans="1:24" ht="15.75" x14ac:dyDescent="0.25">
      <c r="A67" s="2">
        <f t="shared" si="0"/>
        <v>67</v>
      </c>
      <c r="B67" s="159" t="s">
        <v>267</v>
      </c>
      <c r="C67" s="117"/>
      <c r="D67" s="117"/>
      <c r="E67" s="122"/>
      <c r="F67"/>
      <c r="G67"/>
      <c r="K67" s="117"/>
      <c r="L67" s="117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</row>
    <row r="68" spans="1:24" x14ac:dyDescent="0.2">
      <c r="A68" s="2">
        <f t="shared" si="0"/>
        <v>68</v>
      </c>
      <c r="B68" s="57" t="s">
        <v>161</v>
      </c>
      <c r="C68" s="120">
        <f>D68*$C$70</f>
        <v>0.5</v>
      </c>
      <c r="D68" s="119">
        <v>0.5</v>
      </c>
      <c r="E68" s="157"/>
      <c r="F68"/>
      <c r="G68"/>
      <c r="H68" s="122"/>
      <c r="I68" s="117"/>
      <c r="J68" s="117"/>
      <c r="K68" s="117"/>
      <c r="L68" s="117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</row>
    <row r="69" spans="1:24" x14ac:dyDescent="0.2">
      <c r="A69" s="2">
        <f t="shared" si="0"/>
        <v>69</v>
      </c>
      <c r="B69" s="57" t="s">
        <v>162</v>
      </c>
      <c r="C69" s="124">
        <f>D69*$C$70</f>
        <v>0.5</v>
      </c>
      <c r="D69" s="121">
        <f>1-D68</f>
        <v>0.5</v>
      </c>
      <c r="E69" s="158"/>
      <c r="F69" s="162"/>
      <c r="G69"/>
      <c r="H69" s="122"/>
      <c r="I69" s="117"/>
      <c r="J69" s="117"/>
      <c r="K69" s="117"/>
      <c r="L69" s="117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</row>
    <row r="70" spans="1:24" x14ac:dyDescent="0.2">
      <c r="A70" s="2">
        <f t="shared" si="0"/>
        <v>70</v>
      </c>
      <c r="B70" s="57" t="s">
        <v>230</v>
      </c>
      <c r="C70" s="149">
        <v>1</v>
      </c>
      <c r="D70" s="118">
        <f>SUM(D68:D69)</f>
        <v>1</v>
      </c>
      <c r="E70" s="157"/>
      <c r="F70" s="160"/>
      <c r="G70"/>
      <c r="H70" s="122"/>
      <c r="I70" s="117"/>
      <c r="J70" s="117"/>
      <c r="K70" s="117"/>
      <c r="L70" s="117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</row>
    <row r="71" spans="1:24" x14ac:dyDescent="0.2">
      <c r="A71" s="2">
        <f t="shared" si="0"/>
        <v>71</v>
      </c>
      <c r="B71" s="57"/>
      <c r="C71" s="117"/>
      <c r="D71" s="118"/>
      <c r="E71" s="157"/>
      <c r="F71"/>
      <c r="G71"/>
      <c r="H71" s="122"/>
      <c r="I71" s="117"/>
      <c r="J71" s="117"/>
      <c r="K71" s="117"/>
      <c r="L71" s="117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</row>
    <row r="72" spans="1:24" ht="15.75" x14ac:dyDescent="0.25">
      <c r="A72" s="2">
        <f t="shared" si="0"/>
        <v>72</v>
      </c>
      <c r="B72" s="159" t="s">
        <v>268</v>
      </c>
      <c r="C72" s="117"/>
      <c r="D72" s="117"/>
      <c r="E72" s="158"/>
      <c r="F72"/>
      <c r="G72"/>
      <c r="H72" s="122"/>
      <c r="I72" s="117"/>
      <c r="J72" s="117"/>
      <c r="K72" s="117"/>
      <c r="L72" s="117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</row>
    <row r="73" spans="1:24" x14ac:dyDescent="0.2">
      <c r="A73" s="2">
        <f t="shared" si="0"/>
        <v>73</v>
      </c>
      <c r="B73" s="57" t="s">
        <v>161</v>
      </c>
      <c r="C73" s="131">
        <f>C49+C48-2000</f>
        <v>11124.163671496855</v>
      </c>
      <c r="D73" s="167">
        <f>C73/$C$75</f>
        <v>0.84760933724534282</v>
      </c>
      <c r="E73" s="118"/>
      <c r="F73" s="220"/>
      <c r="G73" s="204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</row>
    <row r="74" spans="1:24" ht="12" customHeight="1" x14ac:dyDescent="0.2">
      <c r="A74" s="2">
        <f t="shared" si="0"/>
        <v>74</v>
      </c>
      <c r="B74" s="57" t="s">
        <v>162</v>
      </c>
      <c r="C74" s="132">
        <v>2000</v>
      </c>
      <c r="D74" s="121">
        <f>C74/$C$75</f>
        <v>0.15239066275465712</v>
      </c>
      <c r="E74" s="158"/>
      <c r="F74" s="161"/>
      <c r="G74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</row>
    <row r="75" spans="1:24" ht="12" customHeight="1" x14ac:dyDescent="0.2">
      <c r="A75" s="2">
        <f t="shared" si="0"/>
        <v>75</v>
      </c>
      <c r="B75" s="57" t="s">
        <v>230</v>
      </c>
      <c r="C75" s="60">
        <f>SUM(C73:C74)</f>
        <v>13124.163671496855</v>
      </c>
      <c r="D75" s="118">
        <f>SUM(D73:D74)</f>
        <v>1</v>
      </c>
      <c r="E75" s="157"/>
      <c r="F75" s="160"/>
      <c r="G75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</row>
    <row r="76" spans="1:24" ht="12" customHeight="1" x14ac:dyDescent="0.2">
      <c r="A76" s="2">
        <f>A75+1</f>
        <v>76</v>
      </c>
      <c r="B76" s="57"/>
      <c r="C76" s="60"/>
      <c r="D76" s="118"/>
      <c r="F76" s="120"/>
      <c r="G76" s="118"/>
      <c r="H76" s="61"/>
      <c r="I76" s="120"/>
      <c r="J76" s="118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</row>
    <row r="77" spans="1:24" ht="12" customHeight="1" x14ac:dyDescent="0.2">
      <c r="A77" s="2">
        <f>A76+1</f>
        <v>77</v>
      </c>
      <c r="B77" s="57" t="s">
        <v>269</v>
      </c>
      <c r="C77" s="60">
        <f>C75+C70</f>
        <v>13125.163671496855</v>
      </c>
      <c r="D77" s="118"/>
      <c r="F77" s="160"/>
      <c r="G77" s="118"/>
      <c r="H77" s="61"/>
      <c r="I77" s="120"/>
      <c r="J77" s="118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</row>
    <row r="78" spans="1:24" ht="12" customHeight="1" x14ac:dyDescent="0.2">
      <c r="A78" s="2">
        <f>A77+1</f>
        <v>78</v>
      </c>
      <c r="B78" s="57"/>
      <c r="C78" s="60"/>
      <c r="D78" s="118"/>
      <c r="F78" s="120"/>
      <c r="G78" s="118"/>
      <c r="H78" s="61"/>
      <c r="I78" s="120"/>
      <c r="J78" s="118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</row>
    <row r="79" spans="1:24" ht="12" customHeight="1" x14ac:dyDescent="0.2">
      <c r="A79" s="2">
        <f>A78+1</f>
        <v>79</v>
      </c>
      <c r="B79" s="57" t="s">
        <v>266</v>
      </c>
      <c r="C79" s="147">
        <v>0.16500000000000001</v>
      </c>
      <c r="D79" s="152"/>
      <c r="E79" s="153"/>
      <c r="F79" s="120"/>
      <c r="G79" s="118"/>
      <c r="H79" s="61"/>
      <c r="I79" s="120"/>
      <c r="J79" s="118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</row>
    <row r="80" spans="1:24" ht="12" customHeight="1" x14ac:dyDescent="0.2">
      <c r="A80" s="2">
        <f>A79+1</f>
        <v>80</v>
      </c>
      <c r="B80" s="57"/>
      <c r="C80" s="123"/>
      <c r="D80" s="118"/>
      <c r="F80" s="120"/>
      <c r="G80" s="118"/>
      <c r="H80" s="61"/>
      <c r="I80" s="120"/>
      <c r="J80" s="118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</row>
    <row r="81" spans="1:24" ht="15.75" x14ac:dyDescent="0.25">
      <c r="A81" s="2">
        <f t="shared" ref="A81:A107" si="17">A80+1</f>
        <v>81</v>
      </c>
      <c r="B81" s="58" t="s">
        <v>234</v>
      </c>
      <c r="D81" s="118"/>
      <c r="F81" s="120"/>
      <c r="G81" s="118"/>
      <c r="H81" s="61"/>
      <c r="I81" s="120"/>
      <c r="J81" s="118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</row>
    <row r="82" spans="1:24" ht="12" customHeight="1" x14ac:dyDescent="0.2">
      <c r="A82" s="2">
        <f t="shared" si="17"/>
        <v>82</v>
      </c>
      <c r="B82" s="57" t="s">
        <v>232</v>
      </c>
      <c r="C82" s="60">
        <f>[2]Summary!$R$17-[2]Summary!$R$8</f>
        <v>3214.8206114133327</v>
      </c>
      <c r="D82" s="167">
        <f>C82/$C$84</f>
        <v>0.61897028256016751</v>
      </c>
      <c r="F82" s="160"/>
      <c r="G82" s="118"/>
      <c r="H82" s="61"/>
      <c r="I82" s="120"/>
      <c r="J82" s="118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</row>
    <row r="83" spans="1:24" ht="12" customHeight="1" x14ac:dyDescent="0.2">
      <c r="A83" s="2">
        <f t="shared" si="17"/>
        <v>83</v>
      </c>
      <c r="B83" s="57" t="s">
        <v>233</v>
      </c>
      <c r="C83" s="132">
        <v>1979</v>
      </c>
      <c r="D83" s="121">
        <f>C83/$C$84</f>
        <v>0.38102971743983244</v>
      </c>
      <c r="F83" s="161"/>
      <c r="G83" s="118"/>
      <c r="H83" s="61"/>
      <c r="I83" s="120"/>
      <c r="J83" s="118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</row>
    <row r="84" spans="1:24" ht="12" customHeight="1" x14ac:dyDescent="0.2">
      <c r="A84" s="2">
        <f t="shared" si="17"/>
        <v>84</v>
      </c>
      <c r="B84" s="57" t="s">
        <v>231</v>
      </c>
      <c r="C84" s="60">
        <f>SUM(C82:C83)</f>
        <v>5193.8206114133327</v>
      </c>
      <c r="D84" s="118">
        <f>SUM(D82:D83)</f>
        <v>1</v>
      </c>
      <c r="F84" s="160"/>
      <c r="G84" s="118"/>
      <c r="H84" s="61"/>
      <c r="I84" s="120"/>
      <c r="J84" s="118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</row>
    <row r="85" spans="1:24" ht="12" customHeight="1" x14ac:dyDescent="0.2">
      <c r="A85" s="2">
        <f t="shared" si="17"/>
        <v>85</v>
      </c>
      <c r="B85" s="57"/>
      <c r="C85" s="60"/>
      <c r="D85" s="118"/>
      <c r="F85" s="120"/>
      <c r="G85" s="118"/>
      <c r="H85" s="61"/>
      <c r="I85" s="120"/>
      <c r="J85" s="118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</row>
    <row r="86" spans="1:24" ht="15.75" x14ac:dyDescent="0.25">
      <c r="A86" s="2">
        <f t="shared" si="17"/>
        <v>86</v>
      </c>
      <c r="B86" s="58" t="s">
        <v>283</v>
      </c>
      <c r="C86" s="168" t="s">
        <v>219</v>
      </c>
      <c r="D86" s="168" t="s">
        <v>286</v>
      </c>
      <c r="E86" s="168" t="s">
        <v>285</v>
      </c>
      <c r="F86" s="120"/>
      <c r="G86" s="118"/>
      <c r="H86" s="61"/>
      <c r="I86" s="120"/>
      <c r="J86" s="118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</row>
    <row r="87" spans="1:24" ht="12" customHeight="1" x14ac:dyDescent="0.2">
      <c r="A87" s="2">
        <f t="shared" si="17"/>
        <v>87</v>
      </c>
      <c r="B87" s="57" t="s">
        <v>236</v>
      </c>
      <c r="C87" s="55">
        <f>C84+C77</f>
        <v>18318.984282910187</v>
      </c>
      <c r="D87" s="118">
        <f ca="1">'EBSCS IS'!C44/'EBSCS IS'!C42</f>
        <v>0.55095158207563322</v>
      </c>
      <c r="E87" s="55">
        <f ca="1">C87*D87</f>
        <v>10092.873372688027</v>
      </c>
      <c r="F87" s="120"/>
      <c r="G87" s="118"/>
      <c r="H87" s="61"/>
      <c r="I87" s="120"/>
      <c r="J87" s="118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</row>
    <row r="88" spans="1:24" x14ac:dyDescent="0.2">
      <c r="A88" s="2">
        <f t="shared" si="17"/>
        <v>88</v>
      </c>
      <c r="B88" s="57" t="s">
        <v>282</v>
      </c>
      <c r="C88" s="55">
        <f>C73+C82+C68</f>
        <v>14339.484282910187</v>
      </c>
      <c r="D88" s="118">
        <f ca="1">'EBSCS IS'!D44/'EBSCS IS'!D42</f>
        <v>0.54303333106706775</v>
      </c>
      <c r="E88" s="55">
        <f ca="1">C88*D88</f>
        <v>7786.8179159325819</v>
      </c>
    </row>
    <row r="89" spans="1:24" x14ac:dyDescent="0.2">
      <c r="A89" s="2">
        <f t="shared" si="17"/>
        <v>89</v>
      </c>
      <c r="B89" s="57" t="s">
        <v>284</v>
      </c>
      <c r="C89" s="55">
        <f>C87-C88</f>
        <v>3979.5</v>
      </c>
      <c r="D89" s="118">
        <v>1</v>
      </c>
      <c r="E89" s="55">
        <f>C89*D89</f>
        <v>3979.5</v>
      </c>
    </row>
    <row r="90" spans="1:24" x14ac:dyDescent="0.2">
      <c r="A90" s="2">
        <f t="shared" si="17"/>
        <v>90</v>
      </c>
      <c r="B90" s="57"/>
      <c r="C90" s="55"/>
    </row>
    <row r="91" spans="1:24" x14ac:dyDescent="0.2">
      <c r="A91" s="2">
        <f t="shared" si="17"/>
        <v>91</v>
      </c>
      <c r="B91" s="57"/>
      <c r="C91" s="55"/>
    </row>
    <row r="92" spans="1:24" ht="18.75" x14ac:dyDescent="0.3">
      <c r="A92" s="2">
        <f t="shared" si="17"/>
        <v>92</v>
      </c>
      <c r="B92" s="79" t="s">
        <v>109</v>
      </c>
    </row>
    <row r="93" spans="1:24" ht="15.75" x14ac:dyDescent="0.25">
      <c r="A93" s="2">
        <f t="shared" si="17"/>
        <v>93</v>
      </c>
      <c r="B93" s="58" t="s">
        <v>144</v>
      </c>
    </row>
    <row r="94" spans="1:24" x14ac:dyDescent="0.2">
      <c r="A94" s="2">
        <f t="shared" si="17"/>
        <v>94</v>
      </c>
      <c r="B94" s="57" t="s">
        <v>110</v>
      </c>
      <c r="C94" s="129">
        <v>0.39</v>
      </c>
    </row>
    <row r="95" spans="1:24" ht="12" customHeight="1" x14ac:dyDescent="0.25">
      <c r="A95" s="2">
        <f t="shared" si="17"/>
        <v>95</v>
      </c>
      <c r="B95" s="81"/>
      <c r="C95" s="82"/>
      <c r="D95" s="82"/>
    </row>
    <row r="96" spans="1:24" ht="15.75" x14ac:dyDescent="0.25">
      <c r="A96" s="2">
        <f t="shared" si="17"/>
        <v>96</v>
      </c>
      <c r="B96" s="58" t="s">
        <v>145</v>
      </c>
    </row>
    <row r="97" spans="1:23" x14ac:dyDescent="0.2">
      <c r="A97" s="2">
        <f t="shared" si="17"/>
        <v>97</v>
      </c>
      <c r="B97" s="57" t="s">
        <v>172</v>
      </c>
      <c r="C97" s="114">
        <v>0.28000000000000003</v>
      </c>
    </row>
    <row r="98" spans="1:23" x14ac:dyDescent="0.2">
      <c r="A98" s="2">
        <f t="shared" si="17"/>
        <v>98</v>
      </c>
      <c r="B98" s="57" t="s">
        <v>173</v>
      </c>
      <c r="C98" s="114">
        <v>0.28000000000000003</v>
      </c>
    </row>
    <row r="99" spans="1:23" x14ac:dyDescent="0.2">
      <c r="A99" s="2">
        <f t="shared" si="17"/>
        <v>99</v>
      </c>
    </row>
    <row r="100" spans="1:23" ht="15.75" x14ac:dyDescent="0.25">
      <c r="A100" s="2">
        <f t="shared" si="17"/>
        <v>100</v>
      </c>
      <c r="B100" s="58" t="s">
        <v>240</v>
      </c>
    </row>
    <row r="101" spans="1:23" x14ac:dyDescent="0.2">
      <c r="A101" s="2">
        <f>A100+1</f>
        <v>101</v>
      </c>
      <c r="B101" s="57" t="s">
        <v>237</v>
      </c>
      <c r="C101" s="131">
        <v>250</v>
      </c>
    </row>
    <row r="102" spans="1:23" x14ac:dyDescent="0.2">
      <c r="A102" s="2">
        <f>A101+1</f>
        <v>102</v>
      </c>
      <c r="B102" s="57" t="s">
        <v>238</v>
      </c>
      <c r="C102" s="132">
        <v>0</v>
      </c>
      <c r="D102" s="133" t="s">
        <v>242</v>
      </c>
    </row>
    <row r="103" spans="1:23" x14ac:dyDescent="0.2">
      <c r="A103" s="2">
        <f>A102+1</f>
        <v>103</v>
      </c>
      <c r="B103" s="57" t="s">
        <v>239</v>
      </c>
      <c r="C103" s="55">
        <f>SUM(C101:C102)</f>
        <v>250</v>
      </c>
    </row>
    <row r="104" spans="1:23" x14ac:dyDescent="0.2">
      <c r="A104" s="2">
        <f>A103+1</f>
        <v>104</v>
      </c>
    </row>
    <row r="105" spans="1:23" ht="15.75" x14ac:dyDescent="0.25">
      <c r="A105" s="2">
        <f>A104+1</f>
        <v>105</v>
      </c>
      <c r="B105" s="58" t="s">
        <v>132</v>
      </c>
    </row>
    <row r="106" spans="1:23" x14ac:dyDescent="0.2">
      <c r="A106" s="2">
        <f t="shared" si="17"/>
        <v>106</v>
      </c>
      <c r="B106" s="43" t="s">
        <v>108</v>
      </c>
      <c r="C106" s="55"/>
      <c r="D106" s="68">
        <f>[3]STB!E103</f>
        <v>289.81596152857094</v>
      </c>
      <c r="E106" s="68">
        <f>[3]STB!F103</f>
        <v>1342.5969364609878</v>
      </c>
      <c r="F106" s="68">
        <f>[3]STB!G103</f>
        <v>4872.8258882303817</v>
      </c>
      <c r="G106" s="68">
        <f>[3]STB!H103</f>
        <v>4583.0099267018104</v>
      </c>
      <c r="H106" s="68">
        <f>[3]STB!I103</f>
        <v>3530.2289517693935</v>
      </c>
      <c r="I106" s="68">
        <f>[3]STB!J103</f>
        <v>0</v>
      </c>
      <c r="J106" s="68">
        <f>[3]STB!K103</f>
        <v>0</v>
      </c>
      <c r="K106" s="68">
        <f>[3]STB!L103</f>
        <v>0</v>
      </c>
      <c r="L106" s="68">
        <f>[3]STB!M103</f>
        <v>0</v>
      </c>
      <c r="M106" s="68">
        <f>[3]STB!N103</f>
        <v>0</v>
      </c>
      <c r="N106" s="68">
        <f>[3]STB!O103</f>
        <v>0</v>
      </c>
      <c r="O106" s="68">
        <f>[3]STB!P103</f>
        <v>0</v>
      </c>
      <c r="P106" s="68">
        <f>[3]STB!Q103</f>
        <v>0</v>
      </c>
      <c r="Q106" s="68">
        <f>[3]STB!R103</f>
        <v>0</v>
      </c>
      <c r="R106" s="68">
        <f>[3]STB!S103</f>
        <v>0</v>
      </c>
      <c r="S106" s="68">
        <f>[3]STB!T103</f>
        <v>0</v>
      </c>
      <c r="T106" s="68">
        <f>[3]STB!U103</f>
        <v>0</v>
      </c>
      <c r="U106" s="68">
        <f>[3]STB!V103</f>
        <v>0</v>
      </c>
      <c r="V106" s="68">
        <f>[3]STB!W103</f>
        <v>0</v>
      </c>
      <c r="W106" s="68">
        <f>[3]STB!X103</f>
        <v>0</v>
      </c>
    </row>
    <row r="107" spans="1:23" x14ac:dyDescent="0.2">
      <c r="A107" s="2">
        <f t="shared" si="17"/>
        <v>107</v>
      </c>
      <c r="B107" s="57" t="s">
        <v>143</v>
      </c>
      <c r="C107" s="55"/>
      <c r="D107" s="68">
        <f>[3]STB!E104</f>
        <v>579.63192305714188</v>
      </c>
      <c r="E107" s="68">
        <f>[3]STB!F104</f>
        <v>2395.3779113934047</v>
      </c>
      <c r="F107" s="68">
        <f>[3]STB!G104</f>
        <v>8113.2388784712039</v>
      </c>
      <c r="G107" s="68">
        <f>[3]STB!H104</f>
        <v>3530.2289517693935</v>
      </c>
      <c r="H107" s="68">
        <f>[3]STB!I104</f>
        <v>0</v>
      </c>
      <c r="I107" s="68">
        <f>[3]STB!J104</f>
        <v>0</v>
      </c>
      <c r="J107" s="68">
        <f>[3]STB!K104</f>
        <v>0</v>
      </c>
      <c r="K107" s="68">
        <f>[3]STB!L104</f>
        <v>0</v>
      </c>
      <c r="L107" s="68">
        <f>[3]STB!M104</f>
        <v>0</v>
      </c>
      <c r="M107" s="68">
        <f>[3]STB!N104</f>
        <v>0</v>
      </c>
      <c r="N107" s="68">
        <f>[3]STB!O104</f>
        <v>0</v>
      </c>
      <c r="O107" s="68">
        <f>[3]STB!P104</f>
        <v>0</v>
      </c>
      <c r="P107" s="68">
        <f>[3]STB!Q104</f>
        <v>0</v>
      </c>
      <c r="Q107" s="68">
        <f>[3]STB!R104</f>
        <v>0</v>
      </c>
      <c r="R107" s="68">
        <f>[3]STB!S104</f>
        <v>0</v>
      </c>
      <c r="S107" s="68">
        <f>[3]STB!T104</f>
        <v>0</v>
      </c>
      <c r="T107" s="68">
        <f>[3]STB!U104</f>
        <v>0</v>
      </c>
      <c r="U107" s="68">
        <f>[3]STB!V104</f>
        <v>0</v>
      </c>
      <c r="V107" s="68">
        <f>[3]STB!W104</f>
        <v>0</v>
      </c>
      <c r="W107" s="68">
        <f>[3]STB!X104</f>
        <v>0</v>
      </c>
    </row>
    <row r="108" spans="1:23" x14ac:dyDescent="0.2">
      <c r="A108" s="2">
        <f t="shared" ref="A108:A118" si="18">A107+1</f>
        <v>108</v>
      </c>
      <c r="B108" s="57" t="s">
        <v>177</v>
      </c>
      <c r="C108" s="61"/>
      <c r="D108" s="61">
        <f>D107</f>
        <v>579.63192305714188</v>
      </c>
      <c r="E108" s="61">
        <f t="shared" ref="E108:W108" si="19">E107-D107</f>
        <v>1815.7459883362628</v>
      </c>
      <c r="F108" s="61">
        <f t="shared" si="19"/>
        <v>5717.8609670777987</v>
      </c>
      <c r="G108" s="61">
        <f t="shared" si="19"/>
        <v>-4583.0099267018104</v>
      </c>
      <c r="H108" s="61">
        <f t="shared" si="19"/>
        <v>-3530.2289517693935</v>
      </c>
      <c r="I108" s="61">
        <f t="shared" si="19"/>
        <v>0</v>
      </c>
      <c r="J108" s="61">
        <f t="shared" si="19"/>
        <v>0</v>
      </c>
      <c r="K108" s="61">
        <f t="shared" si="19"/>
        <v>0</v>
      </c>
      <c r="L108" s="61">
        <f t="shared" si="19"/>
        <v>0</v>
      </c>
      <c r="M108" s="61">
        <f t="shared" si="19"/>
        <v>0</v>
      </c>
      <c r="N108" s="61">
        <f t="shared" si="19"/>
        <v>0</v>
      </c>
      <c r="O108" s="61">
        <f t="shared" si="19"/>
        <v>0</v>
      </c>
      <c r="P108" s="61">
        <f t="shared" si="19"/>
        <v>0</v>
      </c>
      <c r="Q108" s="61">
        <f t="shared" si="19"/>
        <v>0</v>
      </c>
      <c r="R108" s="61">
        <f t="shared" si="19"/>
        <v>0</v>
      </c>
      <c r="S108" s="61">
        <f t="shared" si="19"/>
        <v>0</v>
      </c>
      <c r="T108" s="61">
        <f t="shared" si="19"/>
        <v>0</v>
      </c>
      <c r="U108" s="61">
        <f t="shared" si="19"/>
        <v>0</v>
      </c>
      <c r="V108" s="61">
        <f t="shared" si="19"/>
        <v>0</v>
      </c>
      <c r="W108" s="61">
        <f t="shared" si="19"/>
        <v>0</v>
      </c>
    </row>
    <row r="109" spans="1:23" x14ac:dyDescent="0.2">
      <c r="A109" s="2">
        <f t="shared" si="18"/>
        <v>109</v>
      </c>
    </row>
    <row r="110" spans="1:23" ht="15.75" x14ac:dyDescent="0.25">
      <c r="A110" s="2">
        <f t="shared" si="18"/>
        <v>110</v>
      </c>
      <c r="B110" s="58" t="s">
        <v>101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</row>
    <row r="111" spans="1:23" x14ac:dyDescent="0.2">
      <c r="A111" s="2">
        <f t="shared" si="18"/>
        <v>111</v>
      </c>
      <c r="B111" s="57" t="s">
        <v>179</v>
      </c>
      <c r="C111" s="55"/>
      <c r="D111" s="55">
        <f>D53</f>
        <v>2604.8327342993712</v>
      </c>
      <c r="E111" s="55">
        <f t="shared" ref="E111:W111" si="20">E53</f>
        <v>2604.8327342993712</v>
      </c>
      <c r="F111" s="55">
        <f t="shared" si="20"/>
        <v>2604.8327342993712</v>
      </c>
      <c r="G111" s="55">
        <f t="shared" si="20"/>
        <v>2604.8327342993712</v>
      </c>
      <c r="H111" s="55">
        <f t="shared" si="20"/>
        <v>2604.8327342993712</v>
      </c>
      <c r="I111" s="55">
        <f t="shared" si="20"/>
        <v>0</v>
      </c>
      <c r="J111" s="55">
        <f t="shared" si="20"/>
        <v>0</v>
      </c>
      <c r="K111" s="55">
        <f t="shared" si="20"/>
        <v>0</v>
      </c>
      <c r="L111" s="55">
        <f t="shared" si="20"/>
        <v>0</v>
      </c>
      <c r="M111" s="55">
        <f t="shared" si="20"/>
        <v>0</v>
      </c>
      <c r="N111" s="55">
        <f t="shared" si="20"/>
        <v>0</v>
      </c>
      <c r="O111" s="55">
        <f t="shared" si="20"/>
        <v>0</v>
      </c>
      <c r="P111" s="55">
        <f t="shared" si="20"/>
        <v>0</v>
      </c>
      <c r="Q111" s="55">
        <f t="shared" si="20"/>
        <v>0</v>
      </c>
      <c r="R111" s="55">
        <f t="shared" si="20"/>
        <v>0</v>
      </c>
      <c r="S111" s="55">
        <f t="shared" si="20"/>
        <v>0</v>
      </c>
      <c r="T111" s="55">
        <f t="shared" si="20"/>
        <v>0</v>
      </c>
      <c r="U111" s="55">
        <f t="shared" si="20"/>
        <v>0</v>
      </c>
      <c r="V111" s="55">
        <f t="shared" si="20"/>
        <v>0</v>
      </c>
      <c r="W111" s="55">
        <f t="shared" si="20"/>
        <v>0</v>
      </c>
    </row>
    <row r="112" spans="1:23" x14ac:dyDescent="0.2">
      <c r="A112" s="2">
        <f t="shared" si="18"/>
        <v>112</v>
      </c>
      <c r="B112" s="57" t="s">
        <v>180</v>
      </c>
      <c r="C112" s="55"/>
      <c r="D112" s="55">
        <f t="shared" ref="D112:W112" si="21">D43</f>
        <v>739.08303549021366</v>
      </c>
      <c r="E112" s="55">
        <f t="shared" si="21"/>
        <v>739.08303549021366</v>
      </c>
      <c r="F112" s="55">
        <f t="shared" si="21"/>
        <v>739.08303549021366</v>
      </c>
      <c r="G112" s="55">
        <f t="shared" si="21"/>
        <v>739.08303549021366</v>
      </c>
      <c r="H112" s="55">
        <f t="shared" si="21"/>
        <v>739.08303549021366</v>
      </c>
      <c r="I112" s="55">
        <f t="shared" si="21"/>
        <v>0</v>
      </c>
      <c r="J112" s="55">
        <f t="shared" si="21"/>
        <v>0</v>
      </c>
      <c r="K112" s="55">
        <f t="shared" si="21"/>
        <v>0</v>
      </c>
      <c r="L112" s="55">
        <f t="shared" si="21"/>
        <v>0</v>
      </c>
      <c r="M112" s="55">
        <f t="shared" si="21"/>
        <v>0</v>
      </c>
      <c r="N112" s="55">
        <f t="shared" si="21"/>
        <v>0</v>
      </c>
      <c r="O112" s="55">
        <f t="shared" si="21"/>
        <v>0</v>
      </c>
      <c r="P112" s="55">
        <f t="shared" si="21"/>
        <v>0</v>
      </c>
      <c r="Q112" s="55">
        <f t="shared" si="21"/>
        <v>0</v>
      </c>
      <c r="R112" s="55">
        <f t="shared" si="21"/>
        <v>0</v>
      </c>
      <c r="S112" s="55">
        <f t="shared" si="21"/>
        <v>0</v>
      </c>
      <c r="T112" s="55">
        <f t="shared" si="21"/>
        <v>0</v>
      </c>
      <c r="U112" s="55">
        <f t="shared" si="21"/>
        <v>0</v>
      </c>
      <c r="V112" s="55">
        <f t="shared" si="21"/>
        <v>0</v>
      </c>
      <c r="W112" s="55">
        <f t="shared" si="21"/>
        <v>0</v>
      </c>
    </row>
    <row r="113" spans="1:23" x14ac:dyDescent="0.2">
      <c r="A113" s="2">
        <f t="shared" si="18"/>
        <v>113</v>
      </c>
      <c r="B113" s="57" t="s">
        <v>278</v>
      </c>
      <c r="C113" s="55"/>
      <c r="D113" s="68">
        <f>[3]Depreciation!E21</f>
        <v>449.18094374999993</v>
      </c>
      <c r="E113" s="68">
        <f>[3]Depreciation!F21</f>
        <v>694.18873124999982</v>
      </c>
      <c r="F113" s="68">
        <f>[3]Depreciation!G21</f>
        <v>877.94457187499984</v>
      </c>
      <c r="G113" s="68">
        <f>[3]Depreciation!H21</f>
        <v>1601.4831943359372</v>
      </c>
      <c r="H113" s="68">
        <f>[3]Depreciation!I21</f>
        <v>2350.8624818847647</v>
      </c>
      <c r="I113" s="68">
        <f>[3]Depreciation!J21</f>
        <v>2725.3527378112785</v>
      </c>
      <c r="J113" s="68">
        <f>[3]Depreciation!K21</f>
        <v>2771.0524325500478</v>
      </c>
      <c r="K113" s="68">
        <f>[3]Depreciation!L21</f>
        <v>3165.0777128746022</v>
      </c>
      <c r="L113" s="68">
        <f>[3]Depreciation!M21</f>
        <v>2776.7611558702456</v>
      </c>
      <c r="M113" s="68">
        <f>[3]Depreciation!N21</f>
        <v>2579.2718541340819</v>
      </c>
      <c r="N113" s="68">
        <f>[3]Depreciation!O21</f>
        <v>2061.4396882620863</v>
      </c>
      <c r="O113" s="68">
        <f>[3]Depreciation!P21</f>
        <v>1922.5019521217994</v>
      </c>
      <c r="P113" s="68">
        <f>[3]Depreciation!Q21</f>
        <v>1543.9186229265033</v>
      </c>
      <c r="Q113" s="68">
        <f>[3]Depreciation!R21</f>
        <v>1334.8120425091445</v>
      </c>
      <c r="R113" s="68">
        <f>[3]Depreciation!S21</f>
        <v>948.81242547884199</v>
      </c>
      <c r="S113" s="68">
        <f>[3]Depreciation!T21</f>
        <v>741.74364414013792</v>
      </c>
      <c r="T113" s="68">
        <f>[3]Depreciation!U21</f>
        <v>645.63448230415815</v>
      </c>
      <c r="U113" s="68">
        <f>[3]Depreciation!V21</f>
        <v>553.2559000536736</v>
      </c>
      <c r="V113" s="68">
        <f>[3]Depreciation!W21</f>
        <v>469.96018434139529</v>
      </c>
      <c r="W113" s="68">
        <f>[3]Depreciation!X21</f>
        <v>353.10535785279234</v>
      </c>
    </row>
    <row r="114" spans="1:23" x14ac:dyDescent="0.2">
      <c r="A114" s="2">
        <f t="shared" si="18"/>
        <v>114</v>
      </c>
      <c r="B114" s="57" t="s">
        <v>279</v>
      </c>
      <c r="C114" s="55"/>
      <c r="D114" s="68">
        <f>[3]Depreciation!E30</f>
        <v>0</v>
      </c>
      <c r="E114" s="68">
        <f>[3]Depreciation!F30</f>
        <v>12.185791015625</v>
      </c>
      <c r="F114" s="68">
        <f>[3]Depreciation!G30</f>
        <v>48.511364746093747</v>
      </c>
      <c r="G114" s="68">
        <f>[3]Depreciation!H30</f>
        <v>93.773606567382814</v>
      </c>
      <c r="H114" s="68">
        <f>[3]Depreciation!I30</f>
        <v>133.68954708862304</v>
      </c>
      <c r="I114" s="68">
        <f>[3]Depreciation!J30</f>
        <v>169.49726414947509</v>
      </c>
      <c r="J114" s="68">
        <f>[3]Depreciation!K30</f>
        <v>202.18370401695253</v>
      </c>
      <c r="K114" s="68">
        <f>[3]Depreciation!L30</f>
        <v>232.53216410582351</v>
      </c>
      <c r="L114" s="68">
        <f>[3]Depreciation!M30</f>
        <v>261.16118134327678</v>
      </c>
      <c r="M114" s="68">
        <f>[3]Depreciation!N30</f>
        <v>288.55633612336305</v>
      </c>
      <c r="N114" s="68">
        <f>[3]Depreciation!O30</f>
        <v>315.09622218607467</v>
      </c>
      <c r="O114" s="68">
        <f>[3]Depreciation!P30</f>
        <v>341.07361705469719</v>
      </c>
      <c r="P114" s="68">
        <f>[3]Depreciation!Q30</f>
        <v>366.7127085416713</v>
      </c>
      <c r="Q114" s="68">
        <f>[3]Depreciation!R30</f>
        <v>392.18308416757236</v>
      </c>
      <c r="R114" s="68">
        <f>[3]Depreciation!S30</f>
        <v>417.61106702289061</v>
      </c>
      <c r="S114" s="68">
        <f>[3]Depreciation!T30</f>
        <v>443.088879377843</v>
      </c>
      <c r="T114" s="68">
        <f>[3]Depreciation!U30</f>
        <v>468.68203065891953</v>
      </c>
      <c r="U114" s="68">
        <f>[3]Depreciation!V30</f>
        <v>494.43525630092188</v>
      </c>
      <c r="V114" s="68">
        <f>[3]Depreciation!W30</f>
        <v>520.37727598237257</v>
      </c>
      <c r="W114" s="68">
        <f>[3]Depreciation!X30</f>
        <v>546.52459180511755</v>
      </c>
    </row>
    <row r="115" spans="1:23" x14ac:dyDescent="0.2">
      <c r="A115" s="2">
        <f t="shared" si="18"/>
        <v>115</v>
      </c>
      <c r="B115" s="57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</row>
    <row r="116" spans="1:23" x14ac:dyDescent="0.2">
      <c r="A116" s="2">
        <f t="shared" si="18"/>
        <v>116</v>
      </c>
      <c r="B116" s="57" t="s">
        <v>181</v>
      </c>
      <c r="C116" s="61"/>
      <c r="D116" s="61">
        <f>SUM(D111:D114)</f>
        <v>3793.0967135395849</v>
      </c>
      <c r="E116" s="61">
        <f t="shared" ref="E116:W116" si="22">SUM(E111:E114)</f>
        <v>4050.2902920552096</v>
      </c>
      <c r="F116" s="61">
        <f t="shared" si="22"/>
        <v>4270.3717064106786</v>
      </c>
      <c r="G116" s="61">
        <f t="shared" si="22"/>
        <v>5039.1725706929046</v>
      </c>
      <c r="H116" s="61">
        <f t="shared" si="22"/>
        <v>5828.467798762973</v>
      </c>
      <c r="I116" s="61">
        <f t="shared" si="22"/>
        <v>2894.8500019607536</v>
      </c>
      <c r="J116" s="61">
        <f t="shared" si="22"/>
        <v>2973.2361365670004</v>
      </c>
      <c r="K116" s="61">
        <f t="shared" si="22"/>
        <v>3397.6098769804257</v>
      </c>
      <c r="L116" s="61">
        <f t="shared" si="22"/>
        <v>3037.9223372135225</v>
      </c>
      <c r="M116" s="61">
        <f t="shared" si="22"/>
        <v>2867.8281902574449</v>
      </c>
      <c r="N116" s="61">
        <f t="shared" si="22"/>
        <v>2376.5359104481608</v>
      </c>
      <c r="O116" s="61">
        <f t="shared" si="22"/>
        <v>2263.5755691764966</v>
      </c>
      <c r="P116" s="61">
        <f t="shared" si="22"/>
        <v>1910.6313314681747</v>
      </c>
      <c r="Q116" s="61">
        <f t="shared" si="22"/>
        <v>1726.9951266767168</v>
      </c>
      <c r="R116" s="61">
        <f t="shared" si="22"/>
        <v>1366.4234925017327</v>
      </c>
      <c r="S116" s="61">
        <f t="shared" si="22"/>
        <v>1184.8325235179809</v>
      </c>
      <c r="T116" s="61">
        <f t="shared" si="22"/>
        <v>1114.3165129630777</v>
      </c>
      <c r="U116" s="61">
        <f t="shared" si="22"/>
        <v>1047.6911563545955</v>
      </c>
      <c r="V116" s="61">
        <f t="shared" si="22"/>
        <v>990.3374603237678</v>
      </c>
      <c r="W116" s="61">
        <f t="shared" si="22"/>
        <v>899.62994965790995</v>
      </c>
    </row>
    <row r="117" spans="1:23" x14ac:dyDescent="0.2">
      <c r="A117" s="2">
        <f t="shared" si="18"/>
        <v>117</v>
      </c>
      <c r="B117" s="57" t="s">
        <v>182</v>
      </c>
      <c r="C117" s="59"/>
      <c r="D117" s="59">
        <f>D116</f>
        <v>3793.0967135395849</v>
      </c>
      <c r="E117" s="59">
        <f>E116+D117</f>
        <v>7843.3870055947946</v>
      </c>
      <c r="F117" s="59">
        <f t="shared" ref="F117:W117" si="23">F116+E117</f>
        <v>12113.758712005474</v>
      </c>
      <c r="G117" s="59">
        <f t="shared" si="23"/>
        <v>17152.931282698381</v>
      </c>
      <c r="H117" s="59">
        <f t="shared" si="23"/>
        <v>22981.399081461353</v>
      </c>
      <c r="I117" s="59">
        <f t="shared" si="23"/>
        <v>25876.249083422106</v>
      </c>
      <c r="J117" s="59">
        <f t="shared" si="23"/>
        <v>28849.485219989107</v>
      </c>
      <c r="K117" s="59">
        <f t="shared" si="23"/>
        <v>32247.095096969533</v>
      </c>
      <c r="L117" s="59">
        <f t="shared" si="23"/>
        <v>35285.017434183057</v>
      </c>
      <c r="M117" s="59">
        <f t="shared" si="23"/>
        <v>38152.845624440502</v>
      </c>
      <c r="N117" s="59">
        <f t="shared" si="23"/>
        <v>40529.381534888664</v>
      </c>
      <c r="O117" s="59">
        <f t="shared" si="23"/>
        <v>42792.957104065157</v>
      </c>
      <c r="P117" s="59">
        <f t="shared" si="23"/>
        <v>44703.588435533333</v>
      </c>
      <c r="Q117" s="59">
        <f t="shared" si="23"/>
        <v>46430.583562210049</v>
      </c>
      <c r="R117" s="59">
        <f t="shared" si="23"/>
        <v>47797.007054711779</v>
      </c>
      <c r="S117" s="59">
        <f t="shared" si="23"/>
        <v>48981.839578229759</v>
      </c>
      <c r="T117" s="59">
        <f t="shared" si="23"/>
        <v>50096.156091192839</v>
      </c>
      <c r="U117" s="59">
        <f t="shared" si="23"/>
        <v>51143.847247547434</v>
      </c>
      <c r="V117" s="59">
        <f t="shared" si="23"/>
        <v>52134.184707871202</v>
      </c>
      <c r="W117" s="59">
        <f t="shared" si="23"/>
        <v>53033.81465752911</v>
      </c>
    </row>
    <row r="118" spans="1:23" x14ac:dyDescent="0.2">
      <c r="A118" s="2">
        <f t="shared" si="18"/>
        <v>118</v>
      </c>
      <c r="B118" s="57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</row>
    <row r="119" spans="1:23" customFormat="1" x14ac:dyDescent="0.2"/>
    <row r="120" spans="1:23" customFormat="1" x14ac:dyDescent="0.2"/>
    <row r="121" spans="1:23" customFormat="1" x14ac:dyDescent="0.2"/>
    <row r="122" spans="1:23" customFormat="1" x14ac:dyDescent="0.2"/>
    <row r="123" spans="1:23" customFormat="1" x14ac:dyDescent="0.2"/>
    <row r="124" spans="1:23" customFormat="1" x14ac:dyDescent="0.2"/>
    <row r="125" spans="1:23" customFormat="1" x14ac:dyDescent="0.2"/>
    <row r="126" spans="1:23" customFormat="1" x14ac:dyDescent="0.2"/>
    <row r="127" spans="1:23" customFormat="1" x14ac:dyDescent="0.2"/>
    <row r="128" spans="1:23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</sheetData>
  <pageMargins left="0.75" right="0.75" top="1" bottom="0.75" header="0.5" footer="0.5"/>
  <pageSetup paperSize="5" scale="54" fitToHeight="3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130"/>
  <sheetViews>
    <sheetView zoomScale="75" workbookViewId="0">
      <pane xSplit="2" ySplit="2" topLeftCell="C26" activePane="bottomRight" state="frozenSplit"/>
      <selection activeCell="C9" sqref="C9"/>
      <selection pane="topRight" activeCell="C9" sqref="C9"/>
      <selection pane="bottomLeft" activeCell="C9" sqref="C9"/>
      <selection pane="bottomRight" activeCell="B39" sqref="B39"/>
    </sheetView>
  </sheetViews>
  <sheetFormatPr defaultRowHeight="12.75" x14ac:dyDescent="0.2"/>
  <cols>
    <col min="1" max="1" width="4.7109375" style="10" bestFit="1" customWidth="1"/>
    <col min="2" max="2" width="33.28515625" style="1" customWidth="1"/>
    <col min="3" max="3" width="9.7109375" style="1" customWidth="1"/>
    <col min="4" max="23" width="11" style="7" customWidth="1"/>
    <col min="24" max="24" width="27" style="10" bestFit="1" customWidth="1"/>
    <col min="25" max="16384" width="9.140625" style="1"/>
  </cols>
  <sheetData>
    <row r="1" spans="1:24" x14ac:dyDescent="0.2">
      <c r="A1" s="2">
        <v>1</v>
      </c>
      <c r="B1" s="3" t="s">
        <v>202</v>
      </c>
      <c r="C1" s="3"/>
      <c r="X1" s="4" t="s">
        <v>9</v>
      </c>
    </row>
    <row r="2" spans="1:24" s="13" customFormat="1" x14ac:dyDescent="0.2">
      <c r="A2" s="14">
        <f t="shared" ref="A2:A71" si="0">A1+1</f>
        <v>2</v>
      </c>
      <c r="C2" s="92" t="s">
        <v>158</v>
      </c>
      <c r="D2" s="15">
        <v>2001</v>
      </c>
      <c r="E2" s="15">
        <f t="shared" ref="E2:W2" si="1">D2+1</f>
        <v>2002</v>
      </c>
      <c r="F2" s="15">
        <f t="shared" si="1"/>
        <v>2003</v>
      </c>
      <c r="G2" s="15">
        <f t="shared" si="1"/>
        <v>2004</v>
      </c>
      <c r="H2" s="15">
        <f t="shared" si="1"/>
        <v>2005</v>
      </c>
      <c r="I2" s="15">
        <f t="shared" si="1"/>
        <v>2006</v>
      </c>
      <c r="J2" s="15">
        <f t="shared" si="1"/>
        <v>2007</v>
      </c>
      <c r="K2" s="15">
        <f t="shared" si="1"/>
        <v>2008</v>
      </c>
      <c r="L2" s="15">
        <f t="shared" si="1"/>
        <v>2009</v>
      </c>
      <c r="M2" s="15">
        <f t="shared" si="1"/>
        <v>2010</v>
      </c>
      <c r="N2" s="15">
        <f t="shared" si="1"/>
        <v>2011</v>
      </c>
      <c r="O2" s="15">
        <f t="shared" si="1"/>
        <v>2012</v>
      </c>
      <c r="P2" s="15">
        <f t="shared" si="1"/>
        <v>2013</v>
      </c>
      <c r="Q2" s="15">
        <f t="shared" si="1"/>
        <v>2014</v>
      </c>
      <c r="R2" s="15">
        <f t="shared" si="1"/>
        <v>2015</v>
      </c>
      <c r="S2" s="15">
        <f t="shared" si="1"/>
        <v>2016</v>
      </c>
      <c r="T2" s="15">
        <f t="shared" si="1"/>
        <v>2017</v>
      </c>
      <c r="U2" s="15">
        <f t="shared" si="1"/>
        <v>2018</v>
      </c>
      <c r="V2" s="15">
        <f t="shared" si="1"/>
        <v>2019</v>
      </c>
      <c r="W2" s="15">
        <f t="shared" si="1"/>
        <v>2020</v>
      </c>
      <c r="X2" s="16"/>
    </row>
    <row r="3" spans="1:24" x14ac:dyDescent="0.2">
      <c r="A3" s="14">
        <f t="shared" si="0"/>
        <v>3</v>
      </c>
      <c r="B3" s="12" t="s">
        <v>246</v>
      </c>
      <c r="C3" s="12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6"/>
    </row>
    <row r="4" spans="1:24" s="25" customFormat="1" x14ac:dyDescent="0.2">
      <c r="A4" s="14">
        <f t="shared" si="0"/>
        <v>4</v>
      </c>
      <c r="B4" s="1" t="s">
        <v>39</v>
      </c>
      <c r="C4" s="1"/>
      <c r="D4" s="21">
        <v>0</v>
      </c>
      <c r="E4" s="21">
        <f ca="1">D8</f>
        <v>2342.5338239784287</v>
      </c>
      <c r="F4" s="21">
        <f t="shared" ref="F4:W4" ca="1" si="2">E8</f>
        <v>6447.6412026853413</v>
      </c>
      <c r="G4" s="21">
        <f t="shared" ca="1" si="2"/>
        <v>13717.448521850933</v>
      </c>
      <c r="H4" s="21">
        <f t="shared" ca="1" si="2"/>
        <v>0</v>
      </c>
      <c r="I4" s="21">
        <f t="shared" ca="1" si="2"/>
        <v>0</v>
      </c>
      <c r="J4" s="21">
        <f t="shared" ca="1" si="2"/>
        <v>0</v>
      </c>
      <c r="K4" s="21">
        <f t="shared" ca="1" si="2"/>
        <v>0</v>
      </c>
      <c r="L4" s="21">
        <f t="shared" ca="1" si="2"/>
        <v>0</v>
      </c>
      <c r="M4" s="21">
        <f t="shared" ca="1" si="2"/>
        <v>0</v>
      </c>
      <c r="N4" s="21">
        <f t="shared" ca="1" si="2"/>
        <v>0</v>
      </c>
      <c r="O4" s="21">
        <f t="shared" ca="1" si="2"/>
        <v>0</v>
      </c>
      <c r="P4" s="21">
        <f t="shared" ca="1" si="2"/>
        <v>0</v>
      </c>
      <c r="Q4" s="21">
        <f t="shared" ca="1" si="2"/>
        <v>0</v>
      </c>
      <c r="R4" s="21">
        <f t="shared" ca="1" si="2"/>
        <v>0</v>
      </c>
      <c r="S4" s="21">
        <f t="shared" ca="1" si="2"/>
        <v>0</v>
      </c>
      <c r="T4" s="21">
        <f t="shared" ca="1" si="2"/>
        <v>0</v>
      </c>
      <c r="U4" s="21">
        <f t="shared" ca="1" si="2"/>
        <v>0</v>
      </c>
      <c r="V4" s="21">
        <f t="shared" ca="1" si="2"/>
        <v>0</v>
      </c>
      <c r="W4" s="21">
        <f t="shared" ca="1" si="2"/>
        <v>0</v>
      </c>
      <c r="X4" s="22"/>
    </row>
    <row r="5" spans="1:24" s="25" customFormat="1" x14ac:dyDescent="0.2">
      <c r="A5" s="14">
        <f t="shared" si="0"/>
        <v>5</v>
      </c>
      <c r="B5" s="1" t="s">
        <v>40</v>
      </c>
      <c r="C5" s="1"/>
      <c r="D5" s="21">
        <f>Assumptions!D26</f>
        <v>2342.5338239784287</v>
      </c>
      <c r="E5" s="21">
        <f>Assumptions!E26*0.6</f>
        <v>4105.1073787069126</v>
      </c>
      <c r="F5" s="21">
        <f>Assumptions!F26*0.4</f>
        <v>7269.8073191655903</v>
      </c>
      <c r="G5" s="21">
        <f>Assumptions!G26*0.445</f>
        <v>0</v>
      </c>
      <c r="H5" s="21">
        <f>Assumptions!H26*0.445</f>
        <v>0</v>
      </c>
      <c r="I5" s="21">
        <f>Assumptions!I26*0.445</f>
        <v>0</v>
      </c>
      <c r="J5" s="21">
        <f>Assumptions!J26*0.445</f>
        <v>0</v>
      </c>
      <c r="K5" s="21">
        <f>Assumptions!K26*0.445</f>
        <v>0</v>
      </c>
      <c r="L5" s="21">
        <f>Assumptions!L26*0.445</f>
        <v>0</v>
      </c>
      <c r="M5" s="21">
        <f>Assumptions!M26*0.445</f>
        <v>0</v>
      </c>
      <c r="N5" s="21">
        <f>Assumptions!N26*0.445</f>
        <v>0</v>
      </c>
      <c r="O5" s="21">
        <f>Assumptions!O26*0.445</f>
        <v>0</v>
      </c>
      <c r="P5" s="21">
        <f>Assumptions!P26*0.445</f>
        <v>0</v>
      </c>
      <c r="Q5" s="21">
        <f>Assumptions!Q26*0.445</f>
        <v>0</v>
      </c>
      <c r="R5" s="21">
        <f>Assumptions!R26*0.445</f>
        <v>0</v>
      </c>
      <c r="S5" s="21">
        <f>Assumptions!S26*0.445</f>
        <v>0</v>
      </c>
      <c r="T5" s="21">
        <f>Assumptions!T26*0.445</f>
        <v>0</v>
      </c>
      <c r="U5" s="21">
        <f>Assumptions!U26*0.445</f>
        <v>0</v>
      </c>
      <c r="V5" s="21">
        <f>Assumptions!V26*0.445</f>
        <v>0</v>
      </c>
      <c r="W5" s="21">
        <f>Assumptions!W26*0.445</f>
        <v>0</v>
      </c>
      <c r="X5" s="22"/>
    </row>
    <row r="6" spans="1:24" s="25" customFormat="1" x14ac:dyDescent="0.2">
      <c r="A6" s="14">
        <f t="shared" si="0"/>
        <v>6</v>
      </c>
      <c r="B6" s="1" t="s">
        <v>149</v>
      </c>
      <c r="C6" s="1"/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2"/>
    </row>
    <row r="7" spans="1:24" s="25" customFormat="1" x14ac:dyDescent="0.2">
      <c r="A7" s="14">
        <f t="shared" si="0"/>
        <v>7</v>
      </c>
      <c r="B7" s="1" t="s">
        <v>41</v>
      </c>
      <c r="C7" s="1"/>
      <c r="D7" s="21">
        <f ca="1">-'EBSCS Waterfall'!D17</f>
        <v>0</v>
      </c>
      <c r="E7" s="21">
        <f ca="1">-'EBSCS Waterfall'!E17</f>
        <v>0</v>
      </c>
      <c r="F7" s="21">
        <f ca="1">-'EBSCS Waterfall'!F17</f>
        <v>0</v>
      </c>
      <c r="G7" s="21">
        <f ca="1">-'EBSCS Waterfall'!G17</f>
        <v>-13717.448521850933</v>
      </c>
      <c r="H7" s="21">
        <f ca="1">-'EBSCS Waterfall'!H17</f>
        <v>0</v>
      </c>
      <c r="I7" s="21">
        <f ca="1">-'EBSCS Waterfall'!I17</f>
        <v>0</v>
      </c>
      <c r="J7" s="21">
        <f ca="1">-'EBSCS Waterfall'!J17</f>
        <v>0</v>
      </c>
      <c r="K7" s="21">
        <f ca="1">-'EBSCS Waterfall'!K17</f>
        <v>0</v>
      </c>
      <c r="L7" s="21">
        <f ca="1">-'EBSCS Waterfall'!L17</f>
        <v>0</v>
      </c>
      <c r="M7" s="21">
        <f ca="1">-'EBSCS Waterfall'!M17</f>
        <v>0</v>
      </c>
      <c r="N7" s="21">
        <f ca="1">-'EBSCS Waterfall'!N17</f>
        <v>0</v>
      </c>
      <c r="O7" s="21">
        <f ca="1">-'EBSCS Waterfall'!O17</f>
        <v>0</v>
      </c>
      <c r="P7" s="21">
        <f ca="1">-'EBSCS Waterfall'!P17</f>
        <v>0</v>
      </c>
      <c r="Q7" s="21">
        <f ca="1">-'EBSCS Waterfall'!Q17</f>
        <v>0</v>
      </c>
      <c r="R7" s="21">
        <f ca="1">-'EBSCS Waterfall'!R17</f>
        <v>0</v>
      </c>
      <c r="S7" s="21">
        <f ca="1">-'EBSCS Waterfall'!S17</f>
        <v>0</v>
      </c>
      <c r="T7" s="21">
        <f ca="1">-'EBSCS Waterfall'!T17</f>
        <v>0</v>
      </c>
      <c r="U7" s="21">
        <f ca="1">-'EBSCS Waterfall'!U17</f>
        <v>0</v>
      </c>
      <c r="V7" s="21">
        <f ca="1">-'EBSCS Waterfall'!V17</f>
        <v>0</v>
      </c>
      <c r="W7" s="21">
        <f ca="1">-'EBSCS Waterfall'!W17</f>
        <v>0</v>
      </c>
      <c r="X7" s="22"/>
    </row>
    <row r="8" spans="1:24" s="25" customFormat="1" x14ac:dyDescent="0.2">
      <c r="A8" s="14">
        <f t="shared" si="0"/>
        <v>8</v>
      </c>
      <c r="B8" s="1" t="s">
        <v>42</v>
      </c>
      <c r="C8" s="1"/>
      <c r="D8" s="21">
        <f ca="1">SUM(D4:D7)</f>
        <v>2342.5338239784287</v>
      </c>
      <c r="E8" s="21">
        <f t="shared" ref="E8:W8" ca="1" si="3">SUM(E4:E7)</f>
        <v>6447.6412026853413</v>
      </c>
      <c r="F8" s="21">
        <f t="shared" ca="1" si="3"/>
        <v>13717.448521850933</v>
      </c>
      <c r="G8" s="21">
        <f t="shared" ca="1" si="3"/>
        <v>0</v>
      </c>
      <c r="H8" s="21">
        <f t="shared" ca="1" si="3"/>
        <v>0</v>
      </c>
      <c r="I8" s="21">
        <f t="shared" ca="1" si="3"/>
        <v>0</v>
      </c>
      <c r="J8" s="21">
        <f t="shared" ca="1" si="3"/>
        <v>0</v>
      </c>
      <c r="K8" s="21">
        <f t="shared" ca="1" si="3"/>
        <v>0</v>
      </c>
      <c r="L8" s="21">
        <f t="shared" ca="1" si="3"/>
        <v>0</v>
      </c>
      <c r="M8" s="21">
        <f t="shared" ca="1" si="3"/>
        <v>0</v>
      </c>
      <c r="N8" s="21">
        <f t="shared" ca="1" si="3"/>
        <v>0</v>
      </c>
      <c r="O8" s="21">
        <f t="shared" ca="1" si="3"/>
        <v>0</v>
      </c>
      <c r="P8" s="21">
        <f t="shared" ca="1" si="3"/>
        <v>0</v>
      </c>
      <c r="Q8" s="21">
        <f t="shared" ca="1" si="3"/>
        <v>0</v>
      </c>
      <c r="R8" s="21">
        <f t="shared" ca="1" si="3"/>
        <v>0</v>
      </c>
      <c r="S8" s="21">
        <f t="shared" ca="1" si="3"/>
        <v>0</v>
      </c>
      <c r="T8" s="21">
        <f t="shared" ca="1" si="3"/>
        <v>0</v>
      </c>
      <c r="U8" s="21">
        <f t="shared" ca="1" si="3"/>
        <v>0</v>
      </c>
      <c r="V8" s="21">
        <f t="shared" ca="1" si="3"/>
        <v>0</v>
      </c>
      <c r="W8" s="21">
        <f t="shared" ca="1" si="3"/>
        <v>0</v>
      </c>
      <c r="X8" s="22"/>
    </row>
    <row r="9" spans="1:24" s="25" customFormat="1" x14ac:dyDescent="0.2">
      <c r="A9" s="14">
        <f t="shared" si="0"/>
        <v>9</v>
      </c>
      <c r="B9" s="1"/>
      <c r="C9" s="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2"/>
    </row>
    <row r="10" spans="1:24" s="25" customFormat="1" x14ac:dyDescent="0.2">
      <c r="A10" s="14">
        <f t="shared" si="0"/>
        <v>10</v>
      </c>
      <c r="B10" s="1" t="s">
        <v>43</v>
      </c>
      <c r="C10" s="1"/>
      <c r="D10" s="18">
        <v>0.2</v>
      </c>
      <c r="E10" s="31">
        <f>D10</f>
        <v>0.2</v>
      </c>
      <c r="F10" s="31">
        <f t="shared" ref="F10:W10" si="4">E10</f>
        <v>0.2</v>
      </c>
      <c r="G10" s="31">
        <f t="shared" si="4"/>
        <v>0.2</v>
      </c>
      <c r="H10" s="31">
        <f t="shared" si="4"/>
        <v>0.2</v>
      </c>
      <c r="I10" s="31">
        <f t="shared" si="4"/>
        <v>0.2</v>
      </c>
      <c r="J10" s="31">
        <f t="shared" si="4"/>
        <v>0.2</v>
      </c>
      <c r="K10" s="31">
        <f t="shared" si="4"/>
        <v>0.2</v>
      </c>
      <c r="L10" s="31">
        <f t="shared" si="4"/>
        <v>0.2</v>
      </c>
      <c r="M10" s="31">
        <f t="shared" si="4"/>
        <v>0.2</v>
      </c>
      <c r="N10" s="31">
        <f t="shared" si="4"/>
        <v>0.2</v>
      </c>
      <c r="O10" s="31">
        <f t="shared" si="4"/>
        <v>0.2</v>
      </c>
      <c r="P10" s="31">
        <f t="shared" si="4"/>
        <v>0.2</v>
      </c>
      <c r="Q10" s="31">
        <f t="shared" si="4"/>
        <v>0.2</v>
      </c>
      <c r="R10" s="31">
        <f t="shared" si="4"/>
        <v>0.2</v>
      </c>
      <c r="S10" s="31">
        <f t="shared" si="4"/>
        <v>0.2</v>
      </c>
      <c r="T10" s="31">
        <f t="shared" si="4"/>
        <v>0.2</v>
      </c>
      <c r="U10" s="31">
        <f t="shared" si="4"/>
        <v>0.2</v>
      </c>
      <c r="V10" s="31">
        <f t="shared" si="4"/>
        <v>0.2</v>
      </c>
      <c r="W10" s="31">
        <f t="shared" si="4"/>
        <v>0.2</v>
      </c>
      <c r="X10" s="22"/>
    </row>
    <row r="11" spans="1:24" s="25" customFormat="1" x14ac:dyDescent="0.2">
      <c r="A11" s="14">
        <f t="shared" si="0"/>
        <v>11</v>
      </c>
      <c r="B11" s="1" t="s">
        <v>44</v>
      </c>
      <c r="C11" s="1"/>
      <c r="D11" s="21">
        <f ca="1">AVERAGE(D8,D4)*D10</f>
        <v>234.25338239784287</v>
      </c>
      <c r="E11" s="21">
        <f t="shared" ref="E11:W11" ca="1" si="5">AVERAGE(E8,E4)*E10</f>
        <v>879.01750266637703</v>
      </c>
      <c r="F11" s="21">
        <f t="shared" ca="1" si="5"/>
        <v>2016.5089724536274</v>
      </c>
      <c r="G11" s="21">
        <f t="shared" ca="1" si="5"/>
        <v>1371.7448521850934</v>
      </c>
      <c r="H11" s="21">
        <f t="shared" ca="1" si="5"/>
        <v>0</v>
      </c>
      <c r="I11" s="21">
        <f t="shared" ca="1" si="5"/>
        <v>0</v>
      </c>
      <c r="J11" s="21">
        <f t="shared" ca="1" si="5"/>
        <v>0</v>
      </c>
      <c r="K11" s="21">
        <f t="shared" ca="1" si="5"/>
        <v>0</v>
      </c>
      <c r="L11" s="21">
        <f t="shared" ca="1" si="5"/>
        <v>0</v>
      </c>
      <c r="M11" s="21">
        <f t="shared" ca="1" si="5"/>
        <v>0</v>
      </c>
      <c r="N11" s="21">
        <f t="shared" ca="1" si="5"/>
        <v>0</v>
      </c>
      <c r="O11" s="21">
        <f t="shared" ca="1" si="5"/>
        <v>0</v>
      </c>
      <c r="P11" s="21">
        <f t="shared" ca="1" si="5"/>
        <v>0</v>
      </c>
      <c r="Q11" s="21">
        <f t="shared" ca="1" si="5"/>
        <v>0</v>
      </c>
      <c r="R11" s="21">
        <f t="shared" ca="1" si="5"/>
        <v>0</v>
      </c>
      <c r="S11" s="21">
        <f t="shared" ca="1" si="5"/>
        <v>0</v>
      </c>
      <c r="T11" s="21">
        <f t="shared" ca="1" si="5"/>
        <v>0</v>
      </c>
      <c r="U11" s="21">
        <f t="shared" ca="1" si="5"/>
        <v>0</v>
      </c>
      <c r="V11" s="21">
        <f t="shared" ca="1" si="5"/>
        <v>0</v>
      </c>
      <c r="W11" s="21">
        <f t="shared" ca="1" si="5"/>
        <v>0</v>
      </c>
      <c r="X11" s="22"/>
    </row>
    <row r="12" spans="1:24" s="25" customFormat="1" x14ac:dyDescent="0.2">
      <c r="A12" s="14">
        <f t="shared" si="0"/>
        <v>12</v>
      </c>
      <c r="X12" s="22"/>
    </row>
    <row r="13" spans="1:24" s="25" customFormat="1" x14ac:dyDescent="0.2">
      <c r="A13" s="14">
        <f t="shared" si="0"/>
        <v>13</v>
      </c>
      <c r="B13" s="12" t="s">
        <v>241</v>
      </c>
      <c r="C13" s="12"/>
      <c r="D13" s="7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2"/>
    </row>
    <row r="14" spans="1:24" s="25" customFormat="1" x14ac:dyDescent="0.2">
      <c r="A14" s="14">
        <f t="shared" si="0"/>
        <v>14</v>
      </c>
      <c r="B14" s="1" t="s">
        <v>39</v>
      </c>
      <c r="C14" s="1"/>
      <c r="D14" s="27">
        <v>0</v>
      </c>
      <c r="E14" s="21">
        <f ca="1">D17</f>
        <v>1327.8960509281196</v>
      </c>
      <c r="F14" s="21">
        <f t="shared" ref="F14:W14" ca="1" si="6">E17</f>
        <v>4362.7960266548353</v>
      </c>
      <c r="G14" s="21">
        <f t="shared" ca="1" si="6"/>
        <v>8512.5402933948935</v>
      </c>
      <c r="H14" s="21">
        <f t="shared" ca="1" si="6"/>
        <v>84.505041873842856</v>
      </c>
      <c r="I14" s="21">
        <f t="shared" ca="1" si="6"/>
        <v>0</v>
      </c>
      <c r="J14" s="21">
        <f t="shared" ca="1" si="6"/>
        <v>0</v>
      </c>
      <c r="K14" s="21">
        <f t="shared" ca="1" si="6"/>
        <v>0</v>
      </c>
      <c r="L14" s="21">
        <f t="shared" ca="1" si="6"/>
        <v>0</v>
      </c>
      <c r="M14" s="21">
        <f t="shared" ca="1" si="6"/>
        <v>0</v>
      </c>
      <c r="N14" s="21">
        <f t="shared" ca="1" si="6"/>
        <v>0</v>
      </c>
      <c r="O14" s="21">
        <f t="shared" ca="1" si="6"/>
        <v>0</v>
      </c>
      <c r="P14" s="21">
        <f t="shared" ca="1" si="6"/>
        <v>0</v>
      </c>
      <c r="Q14" s="21">
        <f t="shared" ca="1" si="6"/>
        <v>0</v>
      </c>
      <c r="R14" s="21">
        <f t="shared" ca="1" si="6"/>
        <v>0</v>
      </c>
      <c r="S14" s="21">
        <f t="shared" ca="1" si="6"/>
        <v>0</v>
      </c>
      <c r="T14" s="21">
        <f t="shared" ca="1" si="6"/>
        <v>0</v>
      </c>
      <c r="U14" s="21">
        <f t="shared" ca="1" si="6"/>
        <v>0</v>
      </c>
      <c r="V14" s="21">
        <f t="shared" ca="1" si="6"/>
        <v>0</v>
      </c>
      <c r="W14" s="21">
        <f t="shared" ca="1" si="6"/>
        <v>0</v>
      </c>
      <c r="X14" s="22"/>
    </row>
    <row r="15" spans="1:24" s="25" customFormat="1" x14ac:dyDescent="0.2">
      <c r="A15" s="14">
        <f t="shared" si="0"/>
        <v>15</v>
      </c>
      <c r="B15" s="1" t="s">
        <v>40</v>
      </c>
      <c r="C15" s="1"/>
      <c r="D15" s="21">
        <f ca="1">'EBSCS Waterfall'!D13</f>
        <v>1327.8960509281196</v>
      </c>
      <c r="E15" s="21">
        <f ca="1">'EBSCS Waterfall'!E13</f>
        <v>3034.8999757267156</v>
      </c>
      <c r="F15" s="21">
        <f ca="1">'EBSCS Waterfall'!F13</f>
        <v>4149.7442667400583</v>
      </c>
      <c r="G15" s="21">
        <f ca="1">'EBSCS Waterfall'!G13</f>
        <v>0</v>
      </c>
      <c r="H15" s="21">
        <f ca="1">'EBSCS Waterfall'!H13</f>
        <v>0</v>
      </c>
      <c r="I15" s="21">
        <f ca="1">'EBSCS Waterfall'!I13</f>
        <v>0</v>
      </c>
      <c r="J15" s="21">
        <f ca="1">'EBSCS Waterfall'!J13</f>
        <v>0</v>
      </c>
      <c r="K15" s="21">
        <f ca="1">'EBSCS Waterfall'!K13</f>
        <v>0</v>
      </c>
      <c r="L15" s="21">
        <f ca="1">'EBSCS Waterfall'!L13</f>
        <v>0</v>
      </c>
      <c r="M15" s="21">
        <f ca="1">'EBSCS Waterfall'!M13</f>
        <v>0</v>
      </c>
      <c r="N15" s="21">
        <f ca="1">'EBSCS Waterfall'!N13</f>
        <v>0</v>
      </c>
      <c r="O15" s="21">
        <f ca="1">'EBSCS Waterfall'!O13</f>
        <v>0</v>
      </c>
      <c r="P15" s="21">
        <f ca="1">'EBSCS Waterfall'!P13</f>
        <v>0</v>
      </c>
      <c r="Q15" s="21">
        <f ca="1">'EBSCS Waterfall'!Q13</f>
        <v>0</v>
      </c>
      <c r="R15" s="21">
        <f ca="1">'EBSCS Waterfall'!R13</f>
        <v>0</v>
      </c>
      <c r="S15" s="21">
        <f ca="1">'EBSCS Waterfall'!S13</f>
        <v>0</v>
      </c>
      <c r="T15" s="21">
        <f ca="1">'EBSCS Waterfall'!T13</f>
        <v>0</v>
      </c>
      <c r="U15" s="21">
        <f ca="1">'EBSCS Waterfall'!U13</f>
        <v>0</v>
      </c>
      <c r="V15" s="21">
        <f ca="1">'EBSCS Waterfall'!V13</f>
        <v>0</v>
      </c>
      <c r="W15" s="21">
        <f ca="1">'EBSCS Waterfall'!W13</f>
        <v>0</v>
      </c>
      <c r="X15" s="22"/>
    </row>
    <row r="16" spans="1:24" s="25" customFormat="1" x14ac:dyDescent="0.2">
      <c r="A16" s="14">
        <f t="shared" si="0"/>
        <v>16</v>
      </c>
      <c r="B16" s="1" t="s">
        <v>41</v>
      </c>
      <c r="C16" s="1"/>
      <c r="D16" s="21">
        <f ca="1">-'EBSCS Waterfall'!D22</f>
        <v>0</v>
      </c>
      <c r="E16" s="21">
        <f ca="1">-'EBSCS Waterfall'!E22</f>
        <v>0</v>
      </c>
      <c r="F16" s="21">
        <f ca="1">-'EBSCS Waterfall'!F22</f>
        <v>0</v>
      </c>
      <c r="G16" s="21">
        <f ca="1">-'EBSCS Waterfall'!G22</f>
        <v>-8428.0352515210507</v>
      </c>
      <c r="H16" s="21">
        <f ca="1">-'EBSCS Waterfall'!H22</f>
        <v>-84.505041873842856</v>
      </c>
      <c r="I16" s="21">
        <f ca="1">-'EBSCS Waterfall'!I22</f>
        <v>0</v>
      </c>
      <c r="J16" s="21">
        <f ca="1">-'EBSCS Waterfall'!J22</f>
        <v>0</v>
      </c>
      <c r="K16" s="21">
        <f ca="1">-'EBSCS Waterfall'!K22</f>
        <v>0</v>
      </c>
      <c r="L16" s="21">
        <f ca="1">-'EBSCS Waterfall'!L22</f>
        <v>0</v>
      </c>
      <c r="M16" s="21">
        <f ca="1">-'EBSCS Waterfall'!M22</f>
        <v>0</v>
      </c>
      <c r="N16" s="21">
        <f ca="1">-'EBSCS Waterfall'!N22</f>
        <v>0</v>
      </c>
      <c r="O16" s="21">
        <f ca="1">-'EBSCS Waterfall'!O22</f>
        <v>0</v>
      </c>
      <c r="P16" s="21">
        <f ca="1">-'EBSCS Waterfall'!P22</f>
        <v>0</v>
      </c>
      <c r="Q16" s="21">
        <f ca="1">-'EBSCS Waterfall'!Q22</f>
        <v>0</v>
      </c>
      <c r="R16" s="21">
        <f ca="1">-'EBSCS Waterfall'!R22</f>
        <v>0</v>
      </c>
      <c r="S16" s="21">
        <f ca="1">-'EBSCS Waterfall'!S22</f>
        <v>0</v>
      </c>
      <c r="T16" s="21">
        <f ca="1">-'EBSCS Waterfall'!T22</f>
        <v>0</v>
      </c>
      <c r="U16" s="21">
        <f ca="1">-'EBSCS Waterfall'!U22</f>
        <v>0</v>
      </c>
      <c r="V16" s="21">
        <f ca="1">-'EBSCS Waterfall'!V22</f>
        <v>0</v>
      </c>
      <c r="W16" s="21">
        <f ca="1">-'EBSCS Waterfall'!W22</f>
        <v>0</v>
      </c>
      <c r="X16" s="22"/>
    </row>
    <row r="17" spans="1:24" s="25" customFormat="1" x14ac:dyDescent="0.2">
      <c r="A17" s="14">
        <f t="shared" si="0"/>
        <v>17</v>
      </c>
      <c r="B17" s="1" t="s">
        <v>42</v>
      </c>
      <c r="C17" s="1"/>
      <c r="D17" s="21">
        <f t="shared" ref="D17:W17" ca="1" si="7">SUM(D14:D16)</f>
        <v>1327.8960509281196</v>
      </c>
      <c r="E17" s="21">
        <f ca="1">SUM(E14:E16)</f>
        <v>4362.7960266548353</v>
      </c>
      <c r="F17" s="21">
        <f ca="1">SUM(F14:F16)</f>
        <v>8512.5402933948935</v>
      </c>
      <c r="G17" s="21">
        <f ca="1">SUM(G14:G16)</f>
        <v>84.505041873842856</v>
      </c>
      <c r="H17" s="21">
        <f ca="1">SUM(H14:H16)</f>
        <v>0</v>
      </c>
      <c r="I17" s="21">
        <f t="shared" ca="1" si="7"/>
        <v>0</v>
      </c>
      <c r="J17" s="21">
        <f t="shared" ca="1" si="7"/>
        <v>0</v>
      </c>
      <c r="K17" s="21">
        <f t="shared" ca="1" si="7"/>
        <v>0</v>
      </c>
      <c r="L17" s="21">
        <f t="shared" ca="1" si="7"/>
        <v>0</v>
      </c>
      <c r="M17" s="21">
        <f t="shared" ca="1" si="7"/>
        <v>0</v>
      </c>
      <c r="N17" s="21">
        <f t="shared" ca="1" si="7"/>
        <v>0</v>
      </c>
      <c r="O17" s="21">
        <f t="shared" ca="1" si="7"/>
        <v>0</v>
      </c>
      <c r="P17" s="21">
        <f t="shared" ca="1" si="7"/>
        <v>0</v>
      </c>
      <c r="Q17" s="21">
        <f t="shared" ca="1" si="7"/>
        <v>0</v>
      </c>
      <c r="R17" s="21">
        <f t="shared" ca="1" si="7"/>
        <v>0</v>
      </c>
      <c r="S17" s="21">
        <f t="shared" ca="1" si="7"/>
        <v>0</v>
      </c>
      <c r="T17" s="21">
        <f t="shared" ca="1" si="7"/>
        <v>0</v>
      </c>
      <c r="U17" s="21">
        <f t="shared" ca="1" si="7"/>
        <v>0</v>
      </c>
      <c r="V17" s="21">
        <f t="shared" ca="1" si="7"/>
        <v>0</v>
      </c>
      <c r="W17" s="21">
        <f t="shared" ca="1" si="7"/>
        <v>0</v>
      </c>
      <c r="X17" s="22"/>
    </row>
    <row r="18" spans="1:24" s="25" customFormat="1" x14ac:dyDescent="0.2">
      <c r="A18" s="14">
        <f t="shared" si="0"/>
        <v>18</v>
      </c>
      <c r="B18" s="1"/>
      <c r="C18" s="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2"/>
    </row>
    <row r="19" spans="1:24" s="25" customFormat="1" x14ac:dyDescent="0.2">
      <c r="A19" s="14">
        <f t="shared" si="0"/>
        <v>19</v>
      </c>
      <c r="B19" s="1" t="s">
        <v>43</v>
      </c>
      <c r="C19" s="1"/>
      <c r="D19" s="18">
        <v>0.16</v>
      </c>
      <c r="E19" s="31">
        <f t="shared" ref="E19:W19" si="8">D19</f>
        <v>0.16</v>
      </c>
      <c r="F19" s="31">
        <f t="shared" si="8"/>
        <v>0.16</v>
      </c>
      <c r="G19" s="31">
        <f t="shared" si="8"/>
        <v>0.16</v>
      </c>
      <c r="H19" s="31">
        <f t="shared" si="8"/>
        <v>0.16</v>
      </c>
      <c r="I19" s="31">
        <f t="shared" si="8"/>
        <v>0.16</v>
      </c>
      <c r="J19" s="31">
        <f t="shared" si="8"/>
        <v>0.16</v>
      </c>
      <c r="K19" s="31">
        <f t="shared" si="8"/>
        <v>0.16</v>
      </c>
      <c r="L19" s="31">
        <f t="shared" si="8"/>
        <v>0.16</v>
      </c>
      <c r="M19" s="31">
        <f t="shared" si="8"/>
        <v>0.16</v>
      </c>
      <c r="N19" s="31">
        <f t="shared" si="8"/>
        <v>0.16</v>
      </c>
      <c r="O19" s="31">
        <f t="shared" si="8"/>
        <v>0.16</v>
      </c>
      <c r="P19" s="31">
        <f t="shared" si="8"/>
        <v>0.16</v>
      </c>
      <c r="Q19" s="31">
        <f t="shared" si="8"/>
        <v>0.16</v>
      </c>
      <c r="R19" s="31">
        <f t="shared" si="8"/>
        <v>0.16</v>
      </c>
      <c r="S19" s="31">
        <f t="shared" si="8"/>
        <v>0.16</v>
      </c>
      <c r="T19" s="31">
        <f t="shared" si="8"/>
        <v>0.16</v>
      </c>
      <c r="U19" s="31">
        <f t="shared" si="8"/>
        <v>0.16</v>
      </c>
      <c r="V19" s="31">
        <f t="shared" si="8"/>
        <v>0.16</v>
      </c>
      <c r="W19" s="31">
        <f t="shared" si="8"/>
        <v>0.16</v>
      </c>
      <c r="X19" s="22"/>
    </row>
    <row r="20" spans="1:24" s="25" customFormat="1" x14ac:dyDescent="0.2">
      <c r="A20" s="14">
        <f t="shared" si="0"/>
        <v>20</v>
      </c>
      <c r="B20" s="1" t="s">
        <v>44</v>
      </c>
      <c r="C20" s="1"/>
      <c r="D20" s="21">
        <f ca="1">AVERAGE(D17,D14)*D19</f>
        <v>106.23168407424957</v>
      </c>
      <c r="E20" s="21">
        <f t="shared" ref="E20:W20" ca="1" si="9">AVERAGE(E17,E14)*E19</f>
        <v>455.25536620663638</v>
      </c>
      <c r="F20" s="21">
        <f t="shared" ca="1" si="9"/>
        <v>1030.0269056039783</v>
      </c>
      <c r="G20" s="21">
        <f t="shared" ca="1" si="9"/>
        <v>687.76362682149897</v>
      </c>
      <c r="H20" s="21">
        <f t="shared" ca="1" si="9"/>
        <v>6.7604033499074285</v>
      </c>
      <c r="I20" s="21">
        <f t="shared" ca="1" si="9"/>
        <v>0</v>
      </c>
      <c r="J20" s="21">
        <f t="shared" ca="1" si="9"/>
        <v>0</v>
      </c>
      <c r="K20" s="21">
        <f t="shared" ca="1" si="9"/>
        <v>0</v>
      </c>
      <c r="L20" s="21">
        <f t="shared" ca="1" si="9"/>
        <v>0</v>
      </c>
      <c r="M20" s="21">
        <f t="shared" ca="1" si="9"/>
        <v>0</v>
      </c>
      <c r="N20" s="21">
        <f t="shared" ca="1" si="9"/>
        <v>0</v>
      </c>
      <c r="O20" s="21">
        <f t="shared" ca="1" si="9"/>
        <v>0</v>
      </c>
      <c r="P20" s="21">
        <f t="shared" ca="1" si="9"/>
        <v>0</v>
      </c>
      <c r="Q20" s="21">
        <f t="shared" ca="1" si="9"/>
        <v>0</v>
      </c>
      <c r="R20" s="21">
        <f t="shared" ca="1" si="9"/>
        <v>0</v>
      </c>
      <c r="S20" s="21">
        <f t="shared" ca="1" si="9"/>
        <v>0</v>
      </c>
      <c r="T20" s="21">
        <f t="shared" ca="1" si="9"/>
        <v>0</v>
      </c>
      <c r="U20" s="21">
        <f t="shared" ca="1" si="9"/>
        <v>0</v>
      </c>
      <c r="V20" s="21">
        <f t="shared" ca="1" si="9"/>
        <v>0</v>
      </c>
      <c r="W20" s="21">
        <f t="shared" ca="1" si="9"/>
        <v>0</v>
      </c>
      <c r="X20" s="22"/>
    </row>
    <row r="21" spans="1:24" s="25" customFormat="1" x14ac:dyDescent="0.2">
      <c r="A21" s="14">
        <f t="shared" si="0"/>
        <v>21</v>
      </c>
      <c r="X21" s="22"/>
    </row>
    <row r="22" spans="1:24" s="25" customFormat="1" x14ac:dyDescent="0.2">
      <c r="A22" s="14">
        <f t="shared" si="0"/>
        <v>22</v>
      </c>
      <c r="B22" s="12" t="s">
        <v>92</v>
      </c>
      <c r="C22" s="12"/>
      <c r="D22" s="21">
        <f t="shared" ref="D22:W22" ca="1" si="10">D11+D20</f>
        <v>340.48506647209246</v>
      </c>
      <c r="E22" s="21">
        <f t="shared" ca="1" si="10"/>
        <v>1334.2728688730135</v>
      </c>
      <c r="F22" s="21">
        <f t="shared" ca="1" si="10"/>
        <v>3046.5358780576057</v>
      </c>
      <c r="G22" s="21">
        <f t="shared" ca="1" si="10"/>
        <v>2059.5084790065921</v>
      </c>
      <c r="H22" s="21">
        <f t="shared" ca="1" si="10"/>
        <v>6.7604033499074285</v>
      </c>
      <c r="I22" s="21">
        <f t="shared" ca="1" si="10"/>
        <v>0</v>
      </c>
      <c r="J22" s="21">
        <f t="shared" ca="1" si="10"/>
        <v>0</v>
      </c>
      <c r="K22" s="21">
        <f t="shared" ca="1" si="10"/>
        <v>0</v>
      </c>
      <c r="L22" s="21">
        <f t="shared" ca="1" si="10"/>
        <v>0</v>
      </c>
      <c r="M22" s="21">
        <f t="shared" ca="1" si="10"/>
        <v>0</v>
      </c>
      <c r="N22" s="21">
        <f t="shared" ca="1" si="10"/>
        <v>0</v>
      </c>
      <c r="O22" s="21">
        <f t="shared" ca="1" si="10"/>
        <v>0</v>
      </c>
      <c r="P22" s="21">
        <f t="shared" ca="1" si="10"/>
        <v>0</v>
      </c>
      <c r="Q22" s="21">
        <f t="shared" ca="1" si="10"/>
        <v>0</v>
      </c>
      <c r="R22" s="21">
        <f t="shared" ca="1" si="10"/>
        <v>0</v>
      </c>
      <c r="S22" s="21">
        <f t="shared" ca="1" si="10"/>
        <v>0</v>
      </c>
      <c r="T22" s="21">
        <f t="shared" ca="1" si="10"/>
        <v>0</v>
      </c>
      <c r="U22" s="21">
        <f t="shared" ca="1" si="10"/>
        <v>0</v>
      </c>
      <c r="V22" s="21">
        <f t="shared" ca="1" si="10"/>
        <v>0</v>
      </c>
      <c r="W22" s="21">
        <f t="shared" ca="1" si="10"/>
        <v>0</v>
      </c>
      <c r="X22" s="22"/>
    </row>
    <row r="23" spans="1:24" s="25" customFormat="1" x14ac:dyDescent="0.2">
      <c r="A23" s="14">
        <f t="shared" si="0"/>
        <v>23</v>
      </c>
      <c r="B23" s="1"/>
      <c r="C23" s="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2"/>
    </row>
    <row r="24" spans="1:24" s="25" customFormat="1" x14ac:dyDescent="0.2">
      <c r="A24" s="14">
        <f t="shared" si="0"/>
        <v>24</v>
      </c>
      <c r="B24" s="12" t="s">
        <v>275</v>
      </c>
      <c r="C24" s="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2"/>
    </row>
    <row r="25" spans="1:24" s="25" customFormat="1" x14ac:dyDescent="0.2">
      <c r="A25" s="14">
        <f t="shared" si="0"/>
        <v>25</v>
      </c>
      <c r="B25" s="1" t="s">
        <v>70</v>
      </c>
      <c r="C25" s="1"/>
      <c r="D25" s="21">
        <f>C28</f>
        <v>1</v>
      </c>
      <c r="E25" s="21">
        <f t="shared" ref="E25:W25" si="11">D28</f>
        <v>1</v>
      </c>
      <c r="F25" s="21">
        <f t="shared" si="11"/>
        <v>1</v>
      </c>
      <c r="G25" s="21">
        <f t="shared" si="11"/>
        <v>1</v>
      </c>
      <c r="H25" s="21">
        <f t="shared" si="11"/>
        <v>1</v>
      </c>
      <c r="I25" s="21">
        <f t="shared" si="11"/>
        <v>1</v>
      </c>
      <c r="J25" s="21">
        <f t="shared" si="11"/>
        <v>1</v>
      </c>
      <c r="K25" s="21">
        <f t="shared" si="11"/>
        <v>1</v>
      </c>
      <c r="L25" s="21">
        <f t="shared" si="11"/>
        <v>1</v>
      </c>
      <c r="M25" s="21">
        <f t="shared" si="11"/>
        <v>1</v>
      </c>
      <c r="N25" s="21">
        <f t="shared" si="11"/>
        <v>1</v>
      </c>
      <c r="O25" s="21">
        <f t="shared" si="11"/>
        <v>1</v>
      </c>
      <c r="P25" s="21">
        <f t="shared" si="11"/>
        <v>1</v>
      </c>
      <c r="Q25" s="21">
        <f t="shared" si="11"/>
        <v>1</v>
      </c>
      <c r="R25" s="21">
        <f t="shared" si="11"/>
        <v>1</v>
      </c>
      <c r="S25" s="21">
        <f t="shared" si="11"/>
        <v>1</v>
      </c>
      <c r="T25" s="21">
        <f t="shared" si="11"/>
        <v>1</v>
      </c>
      <c r="U25" s="21">
        <f t="shared" si="11"/>
        <v>1</v>
      </c>
      <c r="V25" s="21">
        <f t="shared" si="11"/>
        <v>1</v>
      </c>
      <c r="W25" s="21">
        <f t="shared" si="11"/>
        <v>1</v>
      </c>
      <c r="X25" s="22"/>
    </row>
    <row r="26" spans="1:24" s="25" customFormat="1" x14ac:dyDescent="0.2">
      <c r="A26" s="14">
        <f t="shared" si="0"/>
        <v>26</v>
      </c>
      <c r="B26" s="1" t="s">
        <v>248</v>
      </c>
      <c r="C26" s="1"/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2"/>
    </row>
    <row r="27" spans="1:24" s="25" customFormat="1" x14ac:dyDescent="0.2">
      <c r="A27" s="14">
        <f t="shared" si="0"/>
        <v>27</v>
      </c>
      <c r="B27" s="1" t="s">
        <v>53</v>
      </c>
      <c r="C27" s="1"/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2"/>
    </row>
    <row r="28" spans="1:24" s="25" customFormat="1" x14ac:dyDescent="0.2">
      <c r="A28" s="14">
        <f t="shared" si="0"/>
        <v>28</v>
      </c>
      <c r="B28" s="1" t="s">
        <v>42</v>
      </c>
      <c r="C28" s="1">
        <f>Assumptions!C70</f>
        <v>1</v>
      </c>
      <c r="D28" s="21">
        <f>D25+D26-D27</f>
        <v>1</v>
      </c>
      <c r="E28" s="21">
        <f t="shared" ref="E28:W28" si="12">E25+E26-E27</f>
        <v>1</v>
      </c>
      <c r="F28" s="21">
        <f t="shared" si="12"/>
        <v>1</v>
      </c>
      <c r="G28" s="21">
        <f t="shared" si="12"/>
        <v>1</v>
      </c>
      <c r="H28" s="21">
        <f t="shared" si="12"/>
        <v>1</v>
      </c>
      <c r="I28" s="21">
        <f t="shared" si="12"/>
        <v>1</v>
      </c>
      <c r="J28" s="21">
        <f t="shared" si="12"/>
        <v>1</v>
      </c>
      <c r="K28" s="21">
        <f t="shared" si="12"/>
        <v>1</v>
      </c>
      <c r="L28" s="21">
        <f t="shared" si="12"/>
        <v>1</v>
      </c>
      <c r="M28" s="21">
        <f t="shared" si="12"/>
        <v>1</v>
      </c>
      <c r="N28" s="21">
        <f t="shared" si="12"/>
        <v>1</v>
      </c>
      <c r="O28" s="21">
        <f t="shared" si="12"/>
        <v>1</v>
      </c>
      <c r="P28" s="21">
        <f t="shared" si="12"/>
        <v>1</v>
      </c>
      <c r="Q28" s="21">
        <f t="shared" si="12"/>
        <v>1</v>
      </c>
      <c r="R28" s="21">
        <f t="shared" si="12"/>
        <v>1</v>
      </c>
      <c r="S28" s="21">
        <f t="shared" si="12"/>
        <v>1</v>
      </c>
      <c r="T28" s="21">
        <f t="shared" si="12"/>
        <v>1</v>
      </c>
      <c r="U28" s="21">
        <f t="shared" si="12"/>
        <v>1</v>
      </c>
      <c r="V28" s="21">
        <f t="shared" si="12"/>
        <v>1</v>
      </c>
      <c r="W28" s="21">
        <f t="shared" si="12"/>
        <v>1</v>
      </c>
      <c r="X28" s="22"/>
    </row>
    <row r="29" spans="1:24" s="25" customFormat="1" x14ac:dyDescent="0.2">
      <c r="A29" s="14">
        <f t="shared" si="0"/>
        <v>29</v>
      </c>
      <c r="B29" s="1"/>
      <c r="C29" s="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2"/>
    </row>
    <row r="30" spans="1:24" x14ac:dyDescent="0.2">
      <c r="A30" s="14">
        <f t="shared" si="0"/>
        <v>30</v>
      </c>
      <c r="B30" s="12" t="s">
        <v>273</v>
      </c>
      <c r="C30" s="12"/>
      <c r="X30" s="6"/>
    </row>
    <row r="31" spans="1:24" x14ac:dyDescent="0.2">
      <c r="A31" s="14">
        <f t="shared" si="0"/>
        <v>31</v>
      </c>
      <c r="B31" s="1" t="s">
        <v>70</v>
      </c>
      <c r="C31" s="21">
        <v>0</v>
      </c>
      <c r="D31" s="21">
        <f>C36</f>
        <v>2000</v>
      </c>
      <c r="E31" s="21">
        <f ca="1">D36</f>
        <v>3979</v>
      </c>
      <c r="F31" s="21">
        <f t="shared" ref="F31:W31" ca="1" si="13">E36</f>
        <v>3979</v>
      </c>
      <c r="G31" s="21">
        <f t="shared" ca="1" si="13"/>
        <v>3979</v>
      </c>
      <c r="H31" s="21">
        <f t="shared" ca="1" si="13"/>
        <v>3979</v>
      </c>
      <c r="I31" s="21">
        <f t="shared" ca="1" si="13"/>
        <v>0</v>
      </c>
      <c r="J31" s="21">
        <f t="shared" ca="1" si="13"/>
        <v>0</v>
      </c>
      <c r="K31" s="21">
        <f t="shared" ca="1" si="13"/>
        <v>0</v>
      </c>
      <c r="L31" s="21">
        <f t="shared" ca="1" si="13"/>
        <v>0</v>
      </c>
      <c r="M31" s="21">
        <f t="shared" ca="1" si="13"/>
        <v>0</v>
      </c>
      <c r="N31" s="21">
        <f t="shared" ca="1" si="13"/>
        <v>0</v>
      </c>
      <c r="O31" s="21">
        <f t="shared" ca="1" si="13"/>
        <v>0</v>
      </c>
      <c r="P31" s="21">
        <f t="shared" ca="1" si="13"/>
        <v>0</v>
      </c>
      <c r="Q31" s="21">
        <f t="shared" ca="1" si="13"/>
        <v>0</v>
      </c>
      <c r="R31" s="21">
        <f t="shared" ca="1" si="13"/>
        <v>0</v>
      </c>
      <c r="S31" s="21">
        <f t="shared" ca="1" si="13"/>
        <v>0</v>
      </c>
      <c r="T31" s="21">
        <f t="shared" ca="1" si="13"/>
        <v>0</v>
      </c>
      <c r="U31" s="21">
        <f t="shared" ca="1" si="13"/>
        <v>0</v>
      </c>
      <c r="V31" s="21">
        <f t="shared" ca="1" si="13"/>
        <v>0</v>
      </c>
      <c r="W31" s="21">
        <f t="shared" ca="1" si="13"/>
        <v>0</v>
      </c>
      <c r="X31" s="6"/>
    </row>
    <row r="32" spans="1:24" x14ac:dyDescent="0.2">
      <c r="A32" s="14">
        <f t="shared" si="0"/>
        <v>32</v>
      </c>
      <c r="B32" s="1" t="s">
        <v>248</v>
      </c>
      <c r="C32" s="21">
        <f>Assumptions!C74</f>
        <v>2000</v>
      </c>
      <c r="D32" s="21">
        <f>Assumptions!C83</f>
        <v>1979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6"/>
    </row>
    <row r="33" spans="1:24" x14ac:dyDescent="0.2">
      <c r="A33" s="14">
        <f t="shared" si="0"/>
        <v>33</v>
      </c>
      <c r="B33" s="1" t="s">
        <v>53</v>
      </c>
      <c r="C33" s="21"/>
      <c r="D33" s="21">
        <f ca="1">-'EBSCS Waterfall'!D52</f>
        <v>0</v>
      </c>
      <c r="E33" s="21">
        <f ca="1">-'EBSCS Waterfall'!E52</f>
        <v>0</v>
      </c>
      <c r="F33" s="21">
        <f ca="1">-'EBSCS Waterfall'!F52</f>
        <v>0</v>
      </c>
      <c r="G33" s="21">
        <f ca="1">-'EBSCS Waterfall'!G52</f>
        <v>0</v>
      </c>
      <c r="H33" s="21">
        <f ca="1">-'EBSCS Waterfall'!H52</f>
        <v>-8217.7225218359217</v>
      </c>
      <c r="I33" s="21">
        <f ca="1">-'EBSCS Waterfall'!I52</f>
        <v>-472.28330980607922</v>
      </c>
      <c r="J33" s="21">
        <f ca="1">-'EBSCS Waterfall'!J52</f>
        <v>-734.16855870267557</v>
      </c>
      <c r="K33" s="21">
        <f ca="1">-'EBSCS Waterfall'!K52</f>
        <v>-965.61618537256675</v>
      </c>
      <c r="L33" s="21">
        <f ca="1">-'EBSCS Waterfall'!L52</f>
        <v>-1226.9295910485953</v>
      </c>
      <c r="M33" s="21">
        <f ca="1">-'EBSCS Waterfall'!M52</f>
        <v>-1472.1881500721695</v>
      </c>
      <c r="N33" s="21">
        <f ca="1">-'EBSCS Waterfall'!N52</f>
        <v>-1647.4863871795005</v>
      </c>
      <c r="O33" s="21">
        <f ca="1">-'EBSCS Waterfall'!O52</f>
        <v>-1850.4976444957088</v>
      </c>
      <c r="P33" s="21">
        <f ca="1">-'EBSCS Waterfall'!P52</f>
        <v>-2033.5398938286305</v>
      </c>
      <c r="Q33" s="21">
        <f ca="1">-'EBSCS Waterfall'!Q52</f>
        <v>-2235.8288482000416</v>
      </c>
      <c r="R33" s="21">
        <f ca="1">-'EBSCS Waterfall'!R52</f>
        <v>-2416.3799946285399</v>
      </c>
      <c r="S33" s="21">
        <f ca="1">-'EBSCS Waterfall'!S52</f>
        <v>-2583.6835078068821</v>
      </c>
      <c r="T33" s="21">
        <f ca="1">-'EBSCS Waterfall'!T52</f>
        <v>-2757.5670010567142</v>
      </c>
      <c r="U33" s="21">
        <f ca="1">-'EBSCS Waterfall'!U52</f>
        <v>-2996.9492092733872</v>
      </c>
      <c r="V33" s="21">
        <f ca="1">-'EBSCS Waterfall'!V52</f>
        <v>-3255.190331157567</v>
      </c>
      <c r="W33" s="21">
        <f ca="1">-'EBSCS Waterfall'!W52</f>
        <v>-3523.4956857817401</v>
      </c>
      <c r="X33" s="22"/>
    </row>
    <row r="34" spans="1:24" x14ac:dyDescent="0.2">
      <c r="A34" s="14">
        <f t="shared" si="0"/>
        <v>34</v>
      </c>
      <c r="B34" s="1" t="s">
        <v>125</v>
      </c>
      <c r="C34" s="21">
        <f>IF(C33=0,0,IF(C31+C33&gt;0,-C33,C31))</f>
        <v>0</v>
      </c>
      <c r="D34" s="21">
        <f t="shared" ref="D34:W34" ca="1" si="14">IF(D33=0,0,IF(D31+D33&gt;0,-D33,D31))</f>
        <v>0</v>
      </c>
      <c r="E34" s="21">
        <f t="shared" ca="1" si="14"/>
        <v>0</v>
      </c>
      <c r="F34" s="21">
        <f t="shared" ca="1" si="14"/>
        <v>0</v>
      </c>
      <c r="G34" s="21">
        <f t="shared" ca="1" si="14"/>
        <v>0</v>
      </c>
      <c r="H34" s="21">
        <f t="shared" ca="1" si="14"/>
        <v>3979</v>
      </c>
      <c r="I34" s="21">
        <f t="shared" ca="1" si="14"/>
        <v>0</v>
      </c>
      <c r="J34" s="21">
        <f t="shared" ca="1" si="14"/>
        <v>0</v>
      </c>
      <c r="K34" s="21">
        <f t="shared" ca="1" si="14"/>
        <v>0</v>
      </c>
      <c r="L34" s="21">
        <f t="shared" ca="1" si="14"/>
        <v>0</v>
      </c>
      <c r="M34" s="21">
        <f t="shared" ca="1" si="14"/>
        <v>0</v>
      </c>
      <c r="N34" s="21">
        <f t="shared" ca="1" si="14"/>
        <v>0</v>
      </c>
      <c r="O34" s="21">
        <f t="shared" ca="1" si="14"/>
        <v>0</v>
      </c>
      <c r="P34" s="21">
        <f t="shared" ca="1" si="14"/>
        <v>0</v>
      </c>
      <c r="Q34" s="21">
        <f t="shared" ca="1" si="14"/>
        <v>0</v>
      </c>
      <c r="R34" s="21">
        <f t="shared" ca="1" si="14"/>
        <v>0</v>
      </c>
      <c r="S34" s="21">
        <f t="shared" ca="1" si="14"/>
        <v>0</v>
      </c>
      <c r="T34" s="21">
        <f t="shared" ca="1" si="14"/>
        <v>0</v>
      </c>
      <c r="U34" s="21">
        <f t="shared" ca="1" si="14"/>
        <v>0</v>
      </c>
      <c r="V34" s="21">
        <f t="shared" ca="1" si="14"/>
        <v>0</v>
      </c>
      <c r="W34" s="21">
        <f t="shared" ca="1" si="14"/>
        <v>0</v>
      </c>
      <c r="X34" s="6"/>
    </row>
    <row r="35" spans="1:24" x14ac:dyDescent="0.2">
      <c r="A35" s="14">
        <f t="shared" si="0"/>
        <v>35</v>
      </c>
      <c r="B35" s="1" t="s">
        <v>124</v>
      </c>
      <c r="C35" s="21">
        <f>IF(C33=0,0,IF(C33+C34&lt;0,ABS(C33+C34),0))</f>
        <v>0</v>
      </c>
      <c r="D35" s="21">
        <f t="shared" ref="D35:W35" ca="1" si="15">IF(D33=0,0,IF(D33+D34&lt;0,ABS(D33+D34),0))</f>
        <v>0</v>
      </c>
      <c r="E35" s="21">
        <f t="shared" ca="1" si="15"/>
        <v>0</v>
      </c>
      <c r="F35" s="21">
        <f t="shared" ca="1" si="15"/>
        <v>0</v>
      </c>
      <c r="G35" s="21">
        <f t="shared" ca="1" si="15"/>
        <v>0</v>
      </c>
      <c r="H35" s="21">
        <f t="shared" ca="1" si="15"/>
        <v>4238.7225218359217</v>
      </c>
      <c r="I35" s="21">
        <f t="shared" ca="1" si="15"/>
        <v>472.28330980607922</v>
      </c>
      <c r="J35" s="21">
        <f t="shared" ca="1" si="15"/>
        <v>734.16855870267557</v>
      </c>
      <c r="K35" s="21">
        <f t="shared" ca="1" si="15"/>
        <v>965.61618537256675</v>
      </c>
      <c r="L35" s="21">
        <f t="shared" ca="1" si="15"/>
        <v>1226.9295910485953</v>
      </c>
      <c r="M35" s="21">
        <f t="shared" ca="1" si="15"/>
        <v>1472.1881500721695</v>
      </c>
      <c r="N35" s="21">
        <f t="shared" ca="1" si="15"/>
        <v>1647.4863871795005</v>
      </c>
      <c r="O35" s="21">
        <f t="shared" ca="1" si="15"/>
        <v>1850.4976444957088</v>
      </c>
      <c r="P35" s="21">
        <f t="shared" ca="1" si="15"/>
        <v>2033.5398938286305</v>
      </c>
      <c r="Q35" s="21">
        <f t="shared" ca="1" si="15"/>
        <v>2235.8288482000416</v>
      </c>
      <c r="R35" s="21">
        <f t="shared" ca="1" si="15"/>
        <v>2416.3799946285399</v>
      </c>
      <c r="S35" s="21">
        <f t="shared" ca="1" si="15"/>
        <v>2583.6835078068821</v>
      </c>
      <c r="T35" s="21">
        <f t="shared" ca="1" si="15"/>
        <v>2757.5670010567142</v>
      </c>
      <c r="U35" s="21">
        <f t="shared" ca="1" si="15"/>
        <v>2996.9492092733872</v>
      </c>
      <c r="V35" s="21">
        <f t="shared" ca="1" si="15"/>
        <v>3255.190331157567</v>
      </c>
      <c r="W35" s="21">
        <f t="shared" ca="1" si="15"/>
        <v>3523.4956857817401</v>
      </c>
      <c r="X35" s="6"/>
    </row>
    <row r="36" spans="1:24" x14ac:dyDescent="0.2">
      <c r="A36" s="14">
        <f t="shared" si="0"/>
        <v>36</v>
      </c>
      <c r="B36" s="1" t="s">
        <v>42</v>
      </c>
      <c r="C36" s="21">
        <f>C31+C32-C34</f>
        <v>2000</v>
      </c>
      <c r="D36" s="21">
        <f t="shared" ref="D36:W36" ca="1" si="16">D31+D32-D34</f>
        <v>3979</v>
      </c>
      <c r="E36" s="21">
        <f t="shared" ca="1" si="16"/>
        <v>3979</v>
      </c>
      <c r="F36" s="21">
        <f t="shared" ca="1" si="16"/>
        <v>3979</v>
      </c>
      <c r="G36" s="21">
        <f t="shared" ca="1" si="16"/>
        <v>3979</v>
      </c>
      <c r="H36" s="21">
        <f t="shared" ca="1" si="16"/>
        <v>0</v>
      </c>
      <c r="I36" s="21">
        <f t="shared" ca="1" si="16"/>
        <v>0</v>
      </c>
      <c r="J36" s="21">
        <f t="shared" ca="1" si="16"/>
        <v>0</v>
      </c>
      <c r="K36" s="21">
        <f t="shared" ca="1" si="16"/>
        <v>0</v>
      </c>
      <c r="L36" s="21">
        <f t="shared" ca="1" si="16"/>
        <v>0</v>
      </c>
      <c r="M36" s="21">
        <f t="shared" ca="1" si="16"/>
        <v>0</v>
      </c>
      <c r="N36" s="21">
        <f t="shared" ca="1" si="16"/>
        <v>0</v>
      </c>
      <c r="O36" s="21">
        <f t="shared" ca="1" si="16"/>
        <v>0</v>
      </c>
      <c r="P36" s="21">
        <f t="shared" ca="1" si="16"/>
        <v>0</v>
      </c>
      <c r="Q36" s="21">
        <f t="shared" ca="1" si="16"/>
        <v>0</v>
      </c>
      <c r="R36" s="21">
        <f t="shared" ca="1" si="16"/>
        <v>0</v>
      </c>
      <c r="S36" s="21">
        <f t="shared" ca="1" si="16"/>
        <v>0</v>
      </c>
      <c r="T36" s="21">
        <f t="shared" ca="1" si="16"/>
        <v>0</v>
      </c>
      <c r="U36" s="21">
        <f t="shared" ca="1" si="16"/>
        <v>0</v>
      </c>
      <c r="V36" s="21">
        <f t="shared" ca="1" si="16"/>
        <v>0</v>
      </c>
      <c r="W36" s="21">
        <f t="shared" ca="1" si="16"/>
        <v>0</v>
      </c>
      <c r="X36" s="6"/>
    </row>
    <row r="37" spans="1:24" x14ac:dyDescent="0.2">
      <c r="A37" s="14">
        <f t="shared" si="0"/>
        <v>37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6"/>
    </row>
    <row r="38" spans="1:24" x14ac:dyDescent="0.2">
      <c r="A38" s="14">
        <f t="shared" si="0"/>
        <v>38</v>
      </c>
      <c r="B38" s="1" t="s">
        <v>247</v>
      </c>
      <c r="C38" s="27">
        <f>-C36</f>
        <v>-2000</v>
      </c>
      <c r="D38" s="27">
        <f>-D32</f>
        <v>-1979</v>
      </c>
      <c r="E38" s="21">
        <f t="shared" ref="E38:W38" ca="1" si="17">-E33</f>
        <v>0</v>
      </c>
      <c r="F38" s="21">
        <f t="shared" ca="1" si="17"/>
        <v>0</v>
      </c>
      <c r="G38" s="21">
        <f t="shared" ca="1" si="17"/>
        <v>0</v>
      </c>
      <c r="H38" s="21">
        <f t="shared" ca="1" si="17"/>
        <v>8217.7225218359217</v>
      </c>
      <c r="I38" s="21">
        <f t="shared" ca="1" si="17"/>
        <v>472.28330980607922</v>
      </c>
      <c r="J38" s="21">
        <f t="shared" ca="1" si="17"/>
        <v>734.16855870267557</v>
      </c>
      <c r="K38" s="21">
        <f t="shared" ca="1" si="17"/>
        <v>965.61618537256675</v>
      </c>
      <c r="L38" s="21">
        <f t="shared" ca="1" si="17"/>
        <v>1226.9295910485953</v>
      </c>
      <c r="M38" s="21">
        <f t="shared" ca="1" si="17"/>
        <v>1472.1881500721695</v>
      </c>
      <c r="N38" s="21">
        <f t="shared" ca="1" si="17"/>
        <v>1647.4863871795005</v>
      </c>
      <c r="O38" s="21">
        <f t="shared" ca="1" si="17"/>
        <v>1850.4976444957088</v>
      </c>
      <c r="P38" s="21">
        <f t="shared" ca="1" si="17"/>
        <v>2033.5398938286305</v>
      </c>
      <c r="Q38" s="21">
        <f t="shared" ca="1" si="17"/>
        <v>2235.8288482000416</v>
      </c>
      <c r="R38" s="21">
        <f t="shared" ca="1" si="17"/>
        <v>2416.3799946285399</v>
      </c>
      <c r="S38" s="21">
        <f t="shared" ca="1" si="17"/>
        <v>2583.6835078068821</v>
      </c>
      <c r="T38" s="21">
        <f t="shared" ca="1" si="17"/>
        <v>2757.5670010567142</v>
      </c>
      <c r="U38" s="21">
        <f t="shared" ca="1" si="17"/>
        <v>2996.9492092733872</v>
      </c>
      <c r="V38" s="21">
        <f t="shared" ca="1" si="17"/>
        <v>3255.190331157567</v>
      </c>
      <c r="W38" s="21">
        <f t="shared" ca="1" si="17"/>
        <v>3523.4956857817401</v>
      </c>
      <c r="X38" s="6"/>
    </row>
    <row r="39" spans="1:24" x14ac:dyDescent="0.2">
      <c r="A39" s="14">
        <f t="shared" si="0"/>
        <v>39</v>
      </c>
      <c r="B39" s="154" t="s">
        <v>265</v>
      </c>
      <c r="C39" s="154"/>
      <c r="D39" s="155" t="str">
        <f ca="1">IF((-SUM($C$33:D33)-SUM($C$32:D32))/SUM($C$32:D32)&lt;0,"      n/a",IRR($C$38:D38))</f>
        <v xml:space="preserve">      n/a</v>
      </c>
      <c r="E39" s="155" t="str">
        <f ca="1">IF((-SUM($C$33:E33)-SUM($C$32:E32))/SUM($C$32:E32)&lt;0,"      n/a",IRR($C$38:E38))</f>
        <v xml:space="preserve">      n/a</v>
      </c>
      <c r="F39" s="155" t="str">
        <f ca="1">IF((-SUM($C$33:F33)-SUM($C$32:F32))/SUM($C$32:F32)&lt;0,"      n/a",IRR($C$38:F38))</f>
        <v xml:space="preserve">      n/a</v>
      </c>
      <c r="G39" s="156" t="str">
        <f ca="1">IF((-SUM($C$33:G33)-SUM($C$32:G32))/SUM($C$32:G32)&lt;0,"      n/a",IRR($C$38:G38))</f>
        <v xml:space="preserve">      n/a</v>
      </c>
      <c r="H39" s="156">
        <f ca="1">IF((-SUM($C$33:H33)-SUM($C$32:H32))/SUM($C$32:H32)&lt;0,"      n/a",IRR($C$38:H38))</f>
        <v>0.17393584606586512</v>
      </c>
      <c r="I39" s="156">
        <f ca="1">IF((-SUM($C$33:I33)-SUM($C$32:I32))/SUM($C$32:I32)&lt;0,"      n/a",IRR($C$38:I38))</f>
        <v>0.18622289350764895</v>
      </c>
      <c r="J39" s="156">
        <f ca="1">IF((-SUM($C$33:J33)-SUM($C$32:J32))/SUM($C$32:J32)&lt;0,"      n/a",IRR($C$38:J38))</f>
        <v>0.20114548487842887</v>
      </c>
      <c r="K39" s="156">
        <f ca="1">IF((-SUM($C$33:K33)-SUM($C$32:K32))/SUM($C$32:K32)&lt;0,"      n/a",IRR($C$38:K38))</f>
        <v>0.21587928876313084</v>
      </c>
      <c r="L39" s="156">
        <f ca="1">IF((-SUM($C$33:L33)-SUM($C$32:L32))/SUM($C$32:L32)&lt;0,"      n/a",IRR($C$38:L38))</f>
        <v>0.22955970495014541</v>
      </c>
      <c r="M39" s="156">
        <f ca="1">IF((-SUM($C$33:M33)-SUM($C$32:M32))/SUM($C$32:M32)&lt;0,"      n/a",IRR($C$38:M38))</f>
        <v>0.24137573761672063</v>
      </c>
      <c r="N39" s="156">
        <f ca="1">IF((-SUM($C$33:N33)-SUM($C$32:N32))/SUM($C$32:N32)&lt;0,"      n/a",IRR($C$38:N38))</f>
        <v>0.25087076559085597</v>
      </c>
      <c r="O39" s="156">
        <f ca="1">IF((-SUM($C$33:O33)-SUM($C$32:O32))/SUM($C$32:O32)&lt;0,"      n/a",IRR($C$38:O38))</f>
        <v>0.25855965602810732</v>
      </c>
      <c r="P39" s="156">
        <f ca="1">IF((-SUM($C$33:P33)-SUM($C$32:P32))/SUM($C$32:P32)&lt;0,"      n/a",IRR($C$38:P38))</f>
        <v>0.26468554381389808</v>
      </c>
      <c r="Q39" s="156">
        <f ca="1">IF((-SUM($C$33:Q33)-SUM($C$32:Q32))/SUM($C$32:Q32)&lt;0,"      n/a",IRR($C$38:Q38))</f>
        <v>0.26960100125458225</v>
      </c>
      <c r="R39" s="156">
        <f ca="1">IF((-SUM($C$33:R33)-SUM($C$32:R32))/SUM($C$32:R32)&lt;0,"      n/a",IRR($C$38:R38))</f>
        <v>0.27350403730524891</v>
      </c>
      <c r="S39" s="156">
        <f ca="1">IF((-SUM($C$33:S33)-SUM($C$32:S32))/SUM($C$32:S32)&lt;0,"      n/a",IRR($C$38:S38))</f>
        <v>0.27659126218402535</v>
      </c>
      <c r="T39" s="156">
        <f ca="1">IF((-SUM($C$33:T33)-SUM($C$32:T32))/SUM($C$32:T32)&lt;0,"      n/a",IRR($C$38:T38))</f>
        <v>0.27904423096207703</v>
      </c>
      <c r="U39" s="156">
        <f ca="1">IF((-SUM($C$33:U33)-SUM($C$32:U32))/SUM($C$32:U32)&lt;0,"      n/a",IRR($C$38:U38))</f>
        <v>0.28103910311486713</v>
      </c>
      <c r="V39" s="156">
        <f ca="1">IF((-SUM($C$33:V33)-SUM($C$32:V32))/SUM($C$32:V32)&lt;0,"      n/a",IRR($C$38:V38))</f>
        <v>0.28266719004526569</v>
      </c>
      <c r="W39" s="156">
        <f ca="1">IF((-SUM($C$33:W33)-SUM($C$32:W32))/SUM($C$32:W32)&lt;0,"      n/a",IRR($C$38:W38))</f>
        <v>0.28399629973780677</v>
      </c>
      <c r="X39" s="6"/>
    </row>
    <row r="40" spans="1:24" x14ac:dyDescent="0.2">
      <c r="A40" s="14">
        <f t="shared" si="0"/>
        <v>40</v>
      </c>
      <c r="X40" s="6"/>
    </row>
    <row r="41" spans="1:24" x14ac:dyDescent="0.2">
      <c r="A41" s="14">
        <f t="shared" si="0"/>
        <v>41</v>
      </c>
      <c r="B41" s="12" t="s">
        <v>274</v>
      </c>
      <c r="C41" s="12"/>
      <c r="X41" s="6"/>
    </row>
    <row r="42" spans="1:24" x14ac:dyDescent="0.2">
      <c r="A42" s="14">
        <f t="shared" si="0"/>
        <v>42</v>
      </c>
      <c r="B42" s="1" t="s">
        <v>70</v>
      </c>
      <c r="C42" s="21">
        <v>0</v>
      </c>
      <c r="D42" s="21">
        <f>C47</f>
        <v>11124.163671496855</v>
      </c>
      <c r="E42" s="21">
        <f ca="1">D47</f>
        <v>14338.984282910187</v>
      </c>
      <c r="F42" s="21">
        <f t="shared" ref="F42:W42" ca="1" si="18">E47</f>
        <v>14338.984282910187</v>
      </c>
      <c r="G42" s="21">
        <f t="shared" ca="1" si="18"/>
        <v>14338.984282910187</v>
      </c>
      <c r="H42" s="21">
        <f t="shared" ca="1" si="18"/>
        <v>14338.984282910187</v>
      </c>
      <c r="I42" s="21">
        <f t="shared" ca="1" si="18"/>
        <v>0</v>
      </c>
      <c r="J42" s="21">
        <f t="shared" ca="1" si="18"/>
        <v>0</v>
      </c>
      <c r="K42" s="21">
        <f t="shared" ca="1" si="18"/>
        <v>0</v>
      </c>
      <c r="L42" s="21">
        <f t="shared" ca="1" si="18"/>
        <v>0</v>
      </c>
      <c r="M42" s="21">
        <f t="shared" ca="1" si="18"/>
        <v>0</v>
      </c>
      <c r="N42" s="21">
        <f t="shared" ca="1" si="18"/>
        <v>0</v>
      </c>
      <c r="O42" s="21">
        <f t="shared" ca="1" si="18"/>
        <v>0</v>
      </c>
      <c r="P42" s="21">
        <f t="shared" ca="1" si="18"/>
        <v>0</v>
      </c>
      <c r="Q42" s="21">
        <f t="shared" ca="1" si="18"/>
        <v>0</v>
      </c>
      <c r="R42" s="21">
        <f t="shared" ca="1" si="18"/>
        <v>0</v>
      </c>
      <c r="S42" s="21">
        <f t="shared" ca="1" si="18"/>
        <v>0</v>
      </c>
      <c r="T42" s="21">
        <f t="shared" ca="1" si="18"/>
        <v>0</v>
      </c>
      <c r="U42" s="21">
        <f t="shared" ca="1" si="18"/>
        <v>0</v>
      </c>
      <c r="V42" s="21">
        <f t="shared" ca="1" si="18"/>
        <v>0</v>
      </c>
      <c r="W42" s="21">
        <f t="shared" ca="1" si="18"/>
        <v>0</v>
      </c>
      <c r="X42" s="6"/>
    </row>
    <row r="43" spans="1:24" x14ac:dyDescent="0.2">
      <c r="A43" s="14">
        <f t="shared" si="0"/>
        <v>43</v>
      </c>
      <c r="B43" s="1" t="s">
        <v>50</v>
      </c>
      <c r="C43" s="21">
        <f>Assumptions!C73</f>
        <v>11124.163671496855</v>
      </c>
      <c r="D43" s="21">
        <f>Assumptions!C82</f>
        <v>3214.8206114133327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27">
        <v>0</v>
      </c>
      <c r="S43" s="27">
        <v>0</v>
      </c>
      <c r="T43" s="27">
        <v>0</v>
      </c>
      <c r="U43" s="27">
        <v>0</v>
      </c>
      <c r="V43" s="27">
        <v>0</v>
      </c>
      <c r="W43" s="27">
        <v>0</v>
      </c>
      <c r="X43" s="6"/>
    </row>
    <row r="44" spans="1:24" x14ac:dyDescent="0.2">
      <c r="A44" s="14">
        <f t="shared" si="0"/>
        <v>44</v>
      </c>
      <c r="B44" s="1" t="s">
        <v>53</v>
      </c>
      <c r="C44" s="21">
        <f>-'EBSCS Waterfall'!C45</f>
        <v>0</v>
      </c>
      <c r="D44" s="21">
        <f ca="1">-'EBSCS Waterfall'!D55</f>
        <v>0</v>
      </c>
      <c r="E44" s="21">
        <f ca="1">-'EBSCS Waterfall'!E55</f>
        <v>0</v>
      </c>
      <c r="F44" s="21">
        <f ca="1">-'EBSCS Waterfall'!F55</f>
        <v>0</v>
      </c>
      <c r="G44" s="21">
        <f ca="1">-'EBSCS Waterfall'!G55</f>
        <v>0</v>
      </c>
      <c r="H44" s="21">
        <f ca="1">-'EBSCS Waterfall'!H55</f>
        <v>-27828.616026072956</v>
      </c>
      <c r="I44" s="21">
        <f ca="1">-'EBSCS Waterfall'!I55</f>
        <v>-46756.04767080184</v>
      </c>
      <c r="J44" s="21">
        <f ca="1">-'EBSCS Waterfall'!J55</f>
        <v>-72682.687311564878</v>
      </c>
      <c r="K44" s="21">
        <f ca="1">-'EBSCS Waterfall'!K55</f>
        <v>-95596.002351884104</v>
      </c>
      <c r="L44" s="21">
        <f ca="1">-'EBSCS Waterfall'!L55</f>
        <v>-121466.02951381092</v>
      </c>
      <c r="M44" s="21">
        <f ca="1">-'EBSCS Waterfall'!M55</f>
        <v>-145746.62685714476</v>
      </c>
      <c r="N44" s="21">
        <f ca="1">-'EBSCS Waterfall'!N55</f>
        <v>-163101.15233077056</v>
      </c>
      <c r="O44" s="21">
        <f ca="1">-'EBSCS Waterfall'!O55</f>
        <v>-183199.26680507517</v>
      </c>
      <c r="P44" s="21">
        <f ca="1">-'EBSCS Waterfall'!P55</f>
        <v>-201320.44948903442</v>
      </c>
      <c r="Q44" s="21">
        <f ca="1">-'EBSCS Waterfall'!Q55</f>
        <v>-221347.0559718041</v>
      </c>
      <c r="R44" s="21">
        <f ca="1">-'EBSCS Waterfall'!R55</f>
        <v>-239221.61946822543</v>
      </c>
      <c r="S44" s="21">
        <f ca="1">-'EBSCS Waterfall'!S55</f>
        <v>-255784.66727288131</v>
      </c>
      <c r="T44" s="21">
        <f ca="1">-'EBSCS Waterfall'!T55</f>
        <v>-272999.13310461468</v>
      </c>
      <c r="U44" s="21">
        <f ca="1">-'EBSCS Waterfall'!U55</f>
        <v>-296697.97171806532</v>
      </c>
      <c r="V44" s="21">
        <f ca="1">-'EBSCS Waterfall'!V55</f>
        <v>-322263.84278459911</v>
      </c>
      <c r="W44" s="21">
        <f ca="1">-'EBSCS Waterfall'!W55</f>
        <v>-348826.07289239223</v>
      </c>
      <c r="X44" s="6"/>
    </row>
    <row r="45" spans="1:24" x14ac:dyDescent="0.2">
      <c r="A45" s="14">
        <f t="shared" si="0"/>
        <v>45</v>
      </c>
      <c r="B45" s="1" t="s">
        <v>125</v>
      </c>
      <c r="C45" s="21">
        <f t="shared" ref="C45:W45" si="19">IF(C44=0,0,IF(C42+C44&gt;0,-C44,C42))</f>
        <v>0</v>
      </c>
      <c r="D45" s="21">
        <f t="shared" ca="1" si="19"/>
        <v>0</v>
      </c>
      <c r="E45" s="21">
        <f t="shared" ca="1" si="19"/>
        <v>0</v>
      </c>
      <c r="F45" s="21">
        <f t="shared" ca="1" si="19"/>
        <v>0</v>
      </c>
      <c r="G45" s="21">
        <f t="shared" ca="1" si="19"/>
        <v>0</v>
      </c>
      <c r="H45" s="21">
        <f t="shared" ca="1" si="19"/>
        <v>14338.984282910187</v>
      </c>
      <c r="I45" s="21">
        <f t="shared" ca="1" si="19"/>
        <v>0</v>
      </c>
      <c r="J45" s="21">
        <f t="shared" ca="1" si="19"/>
        <v>0</v>
      </c>
      <c r="K45" s="21">
        <f t="shared" ca="1" si="19"/>
        <v>0</v>
      </c>
      <c r="L45" s="21">
        <f t="shared" ca="1" si="19"/>
        <v>0</v>
      </c>
      <c r="M45" s="21">
        <f t="shared" ca="1" si="19"/>
        <v>0</v>
      </c>
      <c r="N45" s="21">
        <f t="shared" ca="1" si="19"/>
        <v>0</v>
      </c>
      <c r="O45" s="21">
        <f t="shared" ca="1" si="19"/>
        <v>0</v>
      </c>
      <c r="P45" s="21">
        <f t="shared" ca="1" si="19"/>
        <v>0</v>
      </c>
      <c r="Q45" s="21">
        <f t="shared" ca="1" si="19"/>
        <v>0</v>
      </c>
      <c r="R45" s="21">
        <f t="shared" ca="1" si="19"/>
        <v>0</v>
      </c>
      <c r="S45" s="21">
        <f t="shared" ca="1" si="19"/>
        <v>0</v>
      </c>
      <c r="T45" s="21">
        <f t="shared" ca="1" si="19"/>
        <v>0</v>
      </c>
      <c r="U45" s="21">
        <f t="shared" ca="1" si="19"/>
        <v>0</v>
      </c>
      <c r="V45" s="21">
        <f t="shared" ca="1" si="19"/>
        <v>0</v>
      </c>
      <c r="W45" s="21">
        <f t="shared" ca="1" si="19"/>
        <v>0</v>
      </c>
      <c r="X45" s="6"/>
    </row>
    <row r="46" spans="1:24" x14ac:dyDescent="0.2">
      <c r="A46" s="14">
        <f t="shared" si="0"/>
        <v>46</v>
      </c>
      <c r="B46" s="1" t="s">
        <v>124</v>
      </c>
      <c r="C46" s="21">
        <f t="shared" ref="C46:W46" si="20">IF(C44=0,0,IF(C44+C45&lt;0,ABS(C44+C45),0))</f>
        <v>0</v>
      </c>
      <c r="D46" s="21">
        <f t="shared" ca="1" si="20"/>
        <v>0</v>
      </c>
      <c r="E46" s="21">
        <f t="shared" ca="1" si="20"/>
        <v>0</v>
      </c>
      <c r="F46" s="21">
        <f t="shared" ca="1" si="20"/>
        <v>0</v>
      </c>
      <c r="G46" s="21">
        <f t="shared" ca="1" si="20"/>
        <v>0</v>
      </c>
      <c r="H46" s="21">
        <f t="shared" ca="1" si="20"/>
        <v>13489.631743162769</v>
      </c>
      <c r="I46" s="21">
        <f t="shared" ca="1" si="20"/>
        <v>46756.04767080184</v>
      </c>
      <c r="J46" s="21">
        <f t="shared" ca="1" si="20"/>
        <v>72682.687311564878</v>
      </c>
      <c r="K46" s="21">
        <f t="shared" ca="1" si="20"/>
        <v>95596.002351884104</v>
      </c>
      <c r="L46" s="21">
        <f t="shared" ca="1" si="20"/>
        <v>121466.02951381092</v>
      </c>
      <c r="M46" s="21">
        <f t="shared" ca="1" si="20"/>
        <v>145746.62685714476</v>
      </c>
      <c r="N46" s="21">
        <f t="shared" ca="1" si="20"/>
        <v>163101.15233077056</v>
      </c>
      <c r="O46" s="21">
        <f t="shared" ca="1" si="20"/>
        <v>183199.26680507517</v>
      </c>
      <c r="P46" s="21">
        <f t="shared" ca="1" si="20"/>
        <v>201320.44948903442</v>
      </c>
      <c r="Q46" s="21">
        <f t="shared" ca="1" si="20"/>
        <v>221347.0559718041</v>
      </c>
      <c r="R46" s="21">
        <f t="shared" ca="1" si="20"/>
        <v>239221.61946822543</v>
      </c>
      <c r="S46" s="21">
        <f t="shared" ca="1" si="20"/>
        <v>255784.66727288131</v>
      </c>
      <c r="T46" s="21">
        <f t="shared" ca="1" si="20"/>
        <v>272999.13310461468</v>
      </c>
      <c r="U46" s="21">
        <f t="shared" ca="1" si="20"/>
        <v>296697.97171806532</v>
      </c>
      <c r="V46" s="21">
        <f t="shared" ca="1" si="20"/>
        <v>322263.84278459911</v>
      </c>
      <c r="W46" s="21">
        <f t="shared" ca="1" si="20"/>
        <v>348826.07289239223</v>
      </c>
      <c r="X46" s="6"/>
    </row>
    <row r="47" spans="1:24" x14ac:dyDescent="0.2">
      <c r="A47" s="14">
        <f t="shared" si="0"/>
        <v>47</v>
      </c>
      <c r="B47" s="1" t="s">
        <v>42</v>
      </c>
      <c r="C47" s="21">
        <f t="shared" ref="C47:H47" si="21">C42+C43-C45</f>
        <v>11124.163671496855</v>
      </c>
      <c r="D47" s="21">
        <f t="shared" ca="1" si="21"/>
        <v>14338.984282910187</v>
      </c>
      <c r="E47" s="21">
        <f t="shared" ca="1" si="21"/>
        <v>14338.984282910187</v>
      </c>
      <c r="F47" s="21">
        <f t="shared" ca="1" si="21"/>
        <v>14338.984282910187</v>
      </c>
      <c r="G47" s="21">
        <f t="shared" ca="1" si="21"/>
        <v>14338.984282910187</v>
      </c>
      <c r="H47" s="21">
        <f t="shared" ca="1" si="21"/>
        <v>0</v>
      </c>
      <c r="I47" s="21">
        <f t="shared" ref="I47:W47" ca="1" si="22">I42+I43-I45</f>
        <v>0</v>
      </c>
      <c r="J47" s="21">
        <f t="shared" ca="1" si="22"/>
        <v>0</v>
      </c>
      <c r="K47" s="21">
        <f t="shared" ca="1" si="22"/>
        <v>0</v>
      </c>
      <c r="L47" s="21">
        <f t="shared" ca="1" si="22"/>
        <v>0</v>
      </c>
      <c r="M47" s="21">
        <f t="shared" ca="1" si="22"/>
        <v>0</v>
      </c>
      <c r="N47" s="21">
        <f t="shared" ca="1" si="22"/>
        <v>0</v>
      </c>
      <c r="O47" s="21">
        <f t="shared" ca="1" si="22"/>
        <v>0</v>
      </c>
      <c r="P47" s="21">
        <f t="shared" ca="1" si="22"/>
        <v>0</v>
      </c>
      <c r="Q47" s="21">
        <f t="shared" ca="1" si="22"/>
        <v>0</v>
      </c>
      <c r="R47" s="21">
        <f t="shared" ca="1" si="22"/>
        <v>0</v>
      </c>
      <c r="S47" s="21">
        <f t="shared" ca="1" si="22"/>
        <v>0</v>
      </c>
      <c r="T47" s="21">
        <f t="shared" ca="1" si="22"/>
        <v>0</v>
      </c>
      <c r="U47" s="21">
        <f t="shared" ca="1" si="22"/>
        <v>0</v>
      </c>
      <c r="V47" s="21">
        <f t="shared" ca="1" si="22"/>
        <v>0</v>
      </c>
      <c r="W47" s="21">
        <f t="shared" ca="1" si="22"/>
        <v>0</v>
      </c>
      <c r="X47" s="6"/>
    </row>
    <row r="48" spans="1:24" x14ac:dyDescent="0.2">
      <c r="A48" s="14">
        <f t="shared" si="0"/>
        <v>48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6"/>
    </row>
    <row r="49" spans="1:24" x14ac:dyDescent="0.2">
      <c r="A49" s="14">
        <f t="shared" si="0"/>
        <v>49</v>
      </c>
      <c r="B49" s="1" t="s">
        <v>247</v>
      </c>
      <c r="C49" s="27">
        <f ca="1">-D47</f>
        <v>-14338.984282910187</v>
      </c>
      <c r="D49" s="21">
        <f ca="1">-D44</f>
        <v>0</v>
      </c>
      <c r="E49" s="21">
        <f t="shared" ref="E49:W49" ca="1" si="23">-E44</f>
        <v>0</v>
      </c>
      <c r="F49" s="21">
        <f t="shared" ca="1" si="23"/>
        <v>0</v>
      </c>
      <c r="G49" s="21">
        <f t="shared" ca="1" si="23"/>
        <v>0</v>
      </c>
      <c r="H49" s="21">
        <f t="shared" ca="1" si="23"/>
        <v>27828.616026072956</v>
      </c>
      <c r="I49" s="21">
        <f t="shared" ca="1" si="23"/>
        <v>46756.04767080184</v>
      </c>
      <c r="J49" s="21">
        <f t="shared" ca="1" si="23"/>
        <v>72682.687311564878</v>
      </c>
      <c r="K49" s="21">
        <f t="shared" ca="1" si="23"/>
        <v>95596.002351884104</v>
      </c>
      <c r="L49" s="21">
        <f t="shared" ca="1" si="23"/>
        <v>121466.02951381092</v>
      </c>
      <c r="M49" s="21">
        <f t="shared" ca="1" si="23"/>
        <v>145746.62685714476</v>
      </c>
      <c r="N49" s="21">
        <f t="shared" ca="1" si="23"/>
        <v>163101.15233077056</v>
      </c>
      <c r="O49" s="21">
        <f t="shared" ca="1" si="23"/>
        <v>183199.26680507517</v>
      </c>
      <c r="P49" s="21">
        <f t="shared" ca="1" si="23"/>
        <v>201320.44948903442</v>
      </c>
      <c r="Q49" s="21">
        <f t="shared" ca="1" si="23"/>
        <v>221347.0559718041</v>
      </c>
      <c r="R49" s="21">
        <f t="shared" ca="1" si="23"/>
        <v>239221.61946822543</v>
      </c>
      <c r="S49" s="21">
        <f t="shared" ca="1" si="23"/>
        <v>255784.66727288131</v>
      </c>
      <c r="T49" s="21">
        <f t="shared" ca="1" si="23"/>
        <v>272999.13310461468</v>
      </c>
      <c r="U49" s="21">
        <f t="shared" ca="1" si="23"/>
        <v>296697.97171806532</v>
      </c>
      <c r="V49" s="21">
        <f t="shared" ca="1" si="23"/>
        <v>322263.84278459911</v>
      </c>
      <c r="W49" s="21">
        <f t="shared" ca="1" si="23"/>
        <v>348826.07289239223</v>
      </c>
      <c r="X49" s="6"/>
    </row>
    <row r="50" spans="1:24" x14ac:dyDescent="0.2">
      <c r="A50" s="14">
        <f t="shared" si="0"/>
        <v>50</v>
      </c>
      <c r="B50" s="154" t="s">
        <v>265</v>
      </c>
      <c r="C50" s="154"/>
      <c r="D50" s="156" t="str">
        <f ca="1">IF((-SUM($C$44:D44)-SUM($C$43:D43))/SUM($C$43:D43)&lt;0,"     n/a",IRR($C$49:D49))</f>
        <v xml:space="preserve">     n/a</v>
      </c>
      <c r="E50" s="156" t="str">
        <f ca="1">IF((-SUM($C$44:E44)-SUM($C$43:E43))/SUM($C$43:E43)&lt;0,"     n/a",IRR($C$49:E49))</f>
        <v xml:space="preserve">     n/a</v>
      </c>
      <c r="F50" s="156" t="str">
        <f ca="1">IF((-SUM($C$44:F44)-SUM($C$43:F43))/SUM($C$43:F43)&lt;0,"     n/a",IRR($C$49:F49))</f>
        <v xml:space="preserve">     n/a</v>
      </c>
      <c r="G50" s="156" t="str">
        <f ca="1">IF((-SUM($C$44:G44)-SUM($C$43:G43))/SUM($C$43:G43)&lt;0,"     n/a",IRR($C$49:G49))</f>
        <v xml:space="preserve">     n/a</v>
      </c>
      <c r="H50" s="156">
        <f ca="1">IF((-SUM($C$44:H44)-SUM($C$43:H43))/SUM($C$43:H43)&lt;0,"     n/a",IRR($C$49:H49))</f>
        <v>0.14181210779509418</v>
      </c>
      <c r="I50" s="156">
        <f ca="1">IF((-SUM($C$44:I44)-SUM($C$43:I43))/SUM($C$43:I43)&lt;0,"     n/a",IRR($C$49:I49))</f>
        <v>0.34298652993591205</v>
      </c>
      <c r="J50" s="156">
        <f ca="1">IF((-SUM($C$44:J44)-SUM($C$43:J43))/SUM($C$43:J43)&lt;0,"     n/a",IRR($C$49:J49))</f>
        <v>0.45702148832321776</v>
      </c>
      <c r="K50" s="156">
        <f ca="1">IF((-SUM($C$44:K44)-SUM($C$43:K43))/SUM($C$43:K43)&lt;0,"     n/a",IRR($C$49:K49))</f>
        <v>0.52185949291190192</v>
      </c>
      <c r="L50" s="156">
        <f ca="1">IF((-SUM($C$44:L44)-SUM($C$43:L43))/SUM($C$43:L43)&lt;0,"     n/a",IRR($C$49:L49))</f>
        <v>0.56150715365042736</v>
      </c>
      <c r="M50" s="156">
        <f ca="1">IF((-SUM($C$44:M44)-SUM($C$43:M43))/SUM($C$43:M43)&lt;0,"     n/a",IRR($C$49:M49))</f>
        <v>0.58599484950277381</v>
      </c>
      <c r="N50" s="156">
        <f ca="1">IF((-SUM($C$44:N44)-SUM($C$43:N43))/SUM($C$43:N43)&lt;0,"     n/a",IRR($C$49:N49))</f>
        <v>0.60083862882813222</v>
      </c>
      <c r="O50" s="156">
        <f ca="1">IF((-SUM($C$44:O44)-SUM($C$43:O43))/SUM($C$43:O43)&lt;0,"     n/a",IRR($C$49:O49))</f>
        <v>0.61021042524096114</v>
      </c>
      <c r="P50" s="156">
        <f ca="1">IF((-SUM($C$44:P44)-SUM($C$43:P43))/SUM($C$43:P43)&lt;0,"     n/a",IRR($C$49:P49))</f>
        <v>0.61614650956483008</v>
      </c>
      <c r="Q50" s="156">
        <f ca="1">IF((-SUM($C$44:Q44)-SUM($C$43:Q43))/SUM($C$43:Q43)&lt;0,"     n/a",IRR($C$49:Q49))</f>
        <v>0.61997695838279632</v>
      </c>
      <c r="R50" s="156">
        <f ca="1">IF((-SUM($C$44:R44)-SUM($C$43:R43))/SUM($C$43:R43)&lt;0,"     n/a",IRR($C$49:R49))</f>
        <v>0.62243831612581901</v>
      </c>
      <c r="S50" s="156">
        <f ca="1">IF((-SUM($C$44:S44)-SUM($C$43:S43))/SUM($C$43:S43)&lt;0,"     n/a",IRR($C$49:S49))</f>
        <v>0.62401819760429866</v>
      </c>
      <c r="T50" s="156">
        <f ca="1">IF((-SUM($C$44:T44)-SUM($C$43:T43))/SUM($C$43:T43)&lt;0,"     n/a",IRR($C$49:T49))</f>
        <v>0.62503749473126236</v>
      </c>
      <c r="U50" s="156">
        <f ca="1">IF((-SUM($C$44:U44)-SUM($C$43:U43))/SUM($C$43:U43)&lt;0,"     n/a",IRR($C$49:U49))</f>
        <v>0.62571037377435057</v>
      </c>
      <c r="V50" s="156">
        <f ca="1">IF((-SUM($C$44:V44)-SUM($C$43:V43))/SUM($C$43:V43)&lt;0,"     n/a",IRR($C$49:V49))</f>
        <v>0.6261557907931361</v>
      </c>
      <c r="W50" s="156">
        <f ca="1">IF((-SUM($C$44:W44)-SUM($C$43:W43))/SUM($C$43:W43)&lt;0,"     n/a",IRR($C$49:W49))</f>
        <v>0.62645033297853958</v>
      </c>
      <c r="X50" s="6"/>
    </row>
    <row r="51" spans="1:24" x14ac:dyDescent="0.2">
      <c r="A51" s="14">
        <f t="shared" si="0"/>
        <v>51</v>
      </c>
      <c r="X51" s="6"/>
    </row>
    <row r="52" spans="1:24" customFormat="1" hidden="1" x14ac:dyDescent="0.2">
      <c r="A52" s="14">
        <f t="shared" si="0"/>
        <v>52</v>
      </c>
      <c r="X52" s="106"/>
    </row>
    <row r="53" spans="1:24" customFormat="1" hidden="1" x14ac:dyDescent="0.2">
      <c r="A53" s="14">
        <f t="shared" si="0"/>
        <v>53</v>
      </c>
      <c r="X53" s="106"/>
    </row>
    <row r="54" spans="1:24" customFormat="1" hidden="1" x14ac:dyDescent="0.2">
      <c r="A54" s="14">
        <f t="shared" si="0"/>
        <v>54</v>
      </c>
      <c r="X54" s="106"/>
    </row>
    <row r="55" spans="1:24" customFormat="1" hidden="1" x14ac:dyDescent="0.2">
      <c r="A55" s="14">
        <f t="shared" si="0"/>
        <v>55</v>
      </c>
      <c r="X55" s="106"/>
    </row>
    <row r="56" spans="1:24" customFormat="1" hidden="1" x14ac:dyDescent="0.2">
      <c r="A56" s="14">
        <f t="shared" si="0"/>
        <v>56</v>
      </c>
      <c r="X56" s="106"/>
    </row>
    <row r="57" spans="1:24" customFormat="1" hidden="1" x14ac:dyDescent="0.2">
      <c r="A57" s="14">
        <f t="shared" si="0"/>
        <v>57</v>
      </c>
      <c r="X57" s="106"/>
    </row>
    <row r="58" spans="1:24" customFormat="1" hidden="1" x14ac:dyDescent="0.2">
      <c r="A58" s="14">
        <f t="shared" si="0"/>
        <v>58</v>
      </c>
      <c r="X58" s="106"/>
    </row>
    <row r="59" spans="1:24" customFormat="1" hidden="1" x14ac:dyDescent="0.2">
      <c r="A59" s="14">
        <f t="shared" si="0"/>
        <v>59</v>
      </c>
      <c r="X59" s="106"/>
    </row>
    <row r="60" spans="1:24" customFormat="1" hidden="1" x14ac:dyDescent="0.2">
      <c r="A60" s="14">
        <f t="shared" si="0"/>
        <v>60</v>
      </c>
      <c r="X60" s="106"/>
    </row>
    <row r="61" spans="1:24" customFormat="1" hidden="1" x14ac:dyDescent="0.2">
      <c r="A61" s="14">
        <f t="shared" si="0"/>
        <v>61</v>
      </c>
      <c r="X61" s="106"/>
    </row>
    <row r="62" spans="1:24" customFormat="1" hidden="1" x14ac:dyDescent="0.2">
      <c r="A62" s="14">
        <f t="shared" si="0"/>
        <v>62</v>
      </c>
      <c r="X62" s="106"/>
    </row>
    <row r="63" spans="1:24" customFormat="1" hidden="1" x14ac:dyDescent="0.2">
      <c r="A63" s="14">
        <f t="shared" si="0"/>
        <v>63</v>
      </c>
      <c r="X63" s="106"/>
    </row>
    <row r="64" spans="1:24" customFormat="1" hidden="1" x14ac:dyDescent="0.2">
      <c r="A64" s="14">
        <f t="shared" si="0"/>
        <v>64</v>
      </c>
      <c r="X64" s="106"/>
    </row>
    <row r="65" spans="1:24" customFormat="1" hidden="1" x14ac:dyDescent="0.2">
      <c r="A65" s="14">
        <f t="shared" si="0"/>
        <v>65</v>
      </c>
      <c r="X65" s="106"/>
    </row>
    <row r="66" spans="1:24" customFormat="1" hidden="1" x14ac:dyDescent="0.2">
      <c r="A66" s="14">
        <f t="shared" si="0"/>
        <v>66</v>
      </c>
      <c r="X66" s="106"/>
    </row>
    <row r="67" spans="1:24" customFormat="1" hidden="1" x14ac:dyDescent="0.2">
      <c r="A67" s="14">
        <f t="shared" si="0"/>
        <v>67</v>
      </c>
      <c r="X67" s="106"/>
    </row>
    <row r="68" spans="1:24" customFormat="1" hidden="1" x14ac:dyDescent="0.2">
      <c r="A68" s="14">
        <f t="shared" si="0"/>
        <v>68</v>
      </c>
      <c r="X68" s="106"/>
    </row>
    <row r="69" spans="1:24" customFormat="1" hidden="1" x14ac:dyDescent="0.2">
      <c r="A69" s="14">
        <f t="shared" si="0"/>
        <v>69</v>
      </c>
      <c r="X69" s="106"/>
    </row>
    <row r="70" spans="1:24" customFormat="1" hidden="1" x14ac:dyDescent="0.2">
      <c r="A70" s="14">
        <f t="shared" si="0"/>
        <v>70</v>
      </c>
      <c r="X70" s="106"/>
    </row>
    <row r="71" spans="1:24" customFormat="1" hidden="1" x14ac:dyDescent="0.2">
      <c r="A71" s="14">
        <f t="shared" si="0"/>
        <v>71</v>
      </c>
      <c r="X71" s="106"/>
    </row>
    <row r="72" spans="1:24" customFormat="1" hidden="1" x14ac:dyDescent="0.2">
      <c r="A72" s="14">
        <f t="shared" ref="A72:A83" si="24">A71+1</f>
        <v>72</v>
      </c>
      <c r="X72" s="106"/>
    </row>
    <row r="73" spans="1:24" customFormat="1" hidden="1" x14ac:dyDescent="0.2">
      <c r="A73" s="14">
        <f t="shared" si="24"/>
        <v>73</v>
      </c>
      <c r="X73" s="106"/>
    </row>
    <row r="74" spans="1:24" customFormat="1" hidden="1" x14ac:dyDescent="0.2">
      <c r="A74" s="14">
        <f t="shared" si="24"/>
        <v>74</v>
      </c>
      <c r="X74" s="106"/>
    </row>
    <row r="75" spans="1:24" customFormat="1" hidden="1" x14ac:dyDescent="0.2">
      <c r="A75" s="14">
        <f t="shared" si="24"/>
        <v>75</v>
      </c>
      <c r="X75" s="106"/>
    </row>
    <row r="76" spans="1:24" x14ac:dyDescent="0.2">
      <c r="A76" s="14">
        <f t="shared" si="24"/>
        <v>76</v>
      </c>
      <c r="B76" s="12" t="s">
        <v>57</v>
      </c>
      <c r="C76" s="12"/>
      <c r="X76" s="6"/>
    </row>
    <row r="77" spans="1:24" x14ac:dyDescent="0.2">
      <c r="A77" s="14">
        <f t="shared" si="24"/>
        <v>77</v>
      </c>
      <c r="B77" s="1" t="s">
        <v>70</v>
      </c>
      <c r="D77" s="21">
        <f t="shared" ref="D77:W77" si="25">D31+D42</f>
        <v>13124.163671496855</v>
      </c>
      <c r="E77" s="21">
        <f t="shared" ca="1" si="25"/>
        <v>18317.984282910187</v>
      </c>
      <c r="F77" s="21">
        <f t="shared" ca="1" si="25"/>
        <v>18317.984282910187</v>
      </c>
      <c r="G77" s="21">
        <f t="shared" ca="1" si="25"/>
        <v>18317.984282910187</v>
      </c>
      <c r="H77" s="21">
        <f t="shared" ca="1" si="25"/>
        <v>18317.984282910187</v>
      </c>
      <c r="I77" s="21">
        <f t="shared" ca="1" si="25"/>
        <v>0</v>
      </c>
      <c r="J77" s="21">
        <f t="shared" ca="1" si="25"/>
        <v>0</v>
      </c>
      <c r="K77" s="21">
        <f t="shared" ca="1" si="25"/>
        <v>0</v>
      </c>
      <c r="L77" s="21">
        <f t="shared" ca="1" si="25"/>
        <v>0</v>
      </c>
      <c r="M77" s="21">
        <f t="shared" ca="1" si="25"/>
        <v>0</v>
      </c>
      <c r="N77" s="21">
        <f t="shared" ca="1" si="25"/>
        <v>0</v>
      </c>
      <c r="O77" s="21">
        <f t="shared" ca="1" si="25"/>
        <v>0</v>
      </c>
      <c r="P77" s="21">
        <f t="shared" ca="1" si="25"/>
        <v>0</v>
      </c>
      <c r="Q77" s="21">
        <f t="shared" ca="1" si="25"/>
        <v>0</v>
      </c>
      <c r="R77" s="21">
        <f t="shared" ca="1" si="25"/>
        <v>0</v>
      </c>
      <c r="S77" s="21">
        <f t="shared" ca="1" si="25"/>
        <v>0</v>
      </c>
      <c r="T77" s="21">
        <f t="shared" ca="1" si="25"/>
        <v>0</v>
      </c>
      <c r="U77" s="21">
        <f t="shared" ca="1" si="25"/>
        <v>0</v>
      </c>
      <c r="V77" s="21">
        <f t="shared" ca="1" si="25"/>
        <v>0</v>
      </c>
      <c r="W77" s="21">
        <f t="shared" ca="1" si="25"/>
        <v>0</v>
      </c>
      <c r="X77" s="6"/>
    </row>
    <row r="78" spans="1:24" x14ac:dyDescent="0.2">
      <c r="A78" s="14">
        <f t="shared" si="24"/>
        <v>78</v>
      </c>
      <c r="B78" s="1" t="s">
        <v>50</v>
      </c>
      <c r="D78" s="21">
        <f t="shared" ref="D78:W78" si="26">D32+D43</f>
        <v>5193.8206114133327</v>
      </c>
      <c r="E78" s="21">
        <f t="shared" si="26"/>
        <v>0</v>
      </c>
      <c r="F78" s="21">
        <f t="shared" si="26"/>
        <v>0</v>
      </c>
      <c r="G78" s="21">
        <f t="shared" si="26"/>
        <v>0</v>
      </c>
      <c r="H78" s="21">
        <f t="shared" si="26"/>
        <v>0</v>
      </c>
      <c r="I78" s="21">
        <f t="shared" si="26"/>
        <v>0</v>
      </c>
      <c r="J78" s="21">
        <f t="shared" si="26"/>
        <v>0</v>
      </c>
      <c r="K78" s="21">
        <f t="shared" si="26"/>
        <v>0</v>
      </c>
      <c r="L78" s="21">
        <f t="shared" si="26"/>
        <v>0</v>
      </c>
      <c r="M78" s="21">
        <f t="shared" si="26"/>
        <v>0</v>
      </c>
      <c r="N78" s="21">
        <f t="shared" si="26"/>
        <v>0</v>
      </c>
      <c r="O78" s="21">
        <f t="shared" si="26"/>
        <v>0</v>
      </c>
      <c r="P78" s="21">
        <f t="shared" si="26"/>
        <v>0</v>
      </c>
      <c r="Q78" s="21">
        <f t="shared" si="26"/>
        <v>0</v>
      </c>
      <c r="R78" s="21">
        <f t="shared" si="26"/>
        <v>0</v>
      </c>
      <c r="S78" s="21">
        <f t="shared" si="26"/>
        <v>0</v>
      </c>
      <c r="T78" s="21">
        <f t="shared" si="26"/>
        <v>0</v>
      </c>
      <c r="U78" s="21">
        <f t="shared" si="26"/>
        <v>0</v>
      </c>
      <c r="V78" s="21">
        <f t="shared" si="26"/>
        <v>0</v>
      </c>
      <c r="W78" s="21">
        <f t="shared" si="26"/>
        <v>0</v>
      </c>
      <c r="X78" s="6"/>
    </row>
    <row r="79" spans="1:24" x14ac:dyDescent="0.2">
      <c r="A79" s="14">
        <f t="shared" si="24"/>
        <v>79</v>
      </c>
      <c r="B79" s="1" t="s">
        <v>53</v>
      </c>
      <c r="D79" s="21">
        <f t="shared" ref="D79:W79" ca="1" si="27">D33+D44</f>
        <v>0</v>
      </c>
      <c r="E79" s="21">
        <f t="shared" ca="1" si="27"/>
        <v>0</v>
      </c>
      <c r="F79" s="21">
        <f t="shared" ca="1" si="27"/>
        <v>0</v>
      </c>
      <c r="G79" s="21">
        <f t="shared" ca="1" si="27"/>
        <v>0</v>
      </c>
      <c r="H79" s="21">
        <f t="shared" ca="1" si="27"/>
        <v>-36046.338547908876</v>
      </c>
      <c r="I79" s="21">
        <f t="shared" ca="1" si="27"/>
        <v>-47228.33098060792</v>
      </c>
      <c r="J79" s="21">
        <f t="shared" ca="1" si="27"/>
        <v>-73416.855870267551</v>
      </c>
      <c r="K79" s="21">
        <f t="shared" ca="1" si="27"/>
        <v>-96561.618537256669</v>
      </c>
      <c r="L79" s="21">
        <f t="shared" ca="1" si="27"/>
        <v>-122692.95910485952</v>
      </c>
      <c r="M79" s="21">
        <f t="shared" ca="1" si="27"/>
        <v>-147218.81500721694</v>
      </c>
      <c r="N79" s="21">
        <f t="shared" ca="1" si="27"/>
        <v>-164748.63871795006</v>
      </c>
      <c r="O79" s="21">
        <f t="shared" ca="1" si="27"/>
        <v>-185049.76444957088</v>
      </c>
      <c r="P79" s="21">
        <f t="shared" ca="1" si="27"/>
        <v>-203353.98938286304</v>
      </c>
      <c r="Q79" s="21">
        <f t="shared" ca="1" si="27"/>
        <v>-223582.88482000414</v>
      </c>
      <c r="R79" s="21">
        <f t="shared" ca="1" si="27"/>
        <v>-241637.99946285397</v>
      </c>
      <c r="S79" s="21">
        <f t="shared" ca="1" si="27"/>
        <v>-258368.3507806882</v>
      </c>
      <c r="T79" s="21">
        <f t="shared" ca="1" si="27"/>
        <v>-275756.70010567142</v>
      </c>
      <c r="U79" s="21">
        <f t="shared" ca="1" si="27"/>
        <v>-299694.92092733871</v>
      </c>
      <c r="V79" s="21">
        <f t="shared" ca="1" si="27"/>
        <v>-325519.0331157567</v>
      </c>
      <c r="W79" s="21">
        <f t="shared" ca="1" si="27"/>
        <v>-352349.56857817399</v>
      </c>
      <c r="X79" s="163"/>
    </row>
    <row r="80" spans="1:24" x14ac:dyDescent="0.2">
      <c r="A80" s="14">
        <f t="shared" si="24"/>
        <v>80</v>
      </c>
      <c r="B80" s="1" t="s">
        <v>123</v>
      </c>
      <c r="D80" s="21">
        <f t="shared" ref="D80:W80" ca="1" si="28">D34+D45</f>
        <v>0</v>
      </c>
      <c r="E80" s="21">
        <f t="shared" ca="1" si="28"/>
        <v>0</v>
      </c>
      <c r="F80" s="21">
        <f t="shared" ca="1" si="28"/>
        <v>0</v>
      </c>
      <c r="G80" s="21">
        <f t="shared" ca="1" si="28"/>
        <v>0</v>
      </c>
      <c r="H80" s="21">
        <f t="shared" ca="1" si="28"/>
        <v>18317.984282910187</v>
      </c>
      <c r="I80" s="21">
        <f t="shared" ca="1" si="28"/>
        <v>0</v>
      </c>
      <c r="J80" s="21">
        <f t="shared" ca="1" si="28"/>
        <v>0</v>
      </c>
      <c r="K80" s="21">
        <f t="shared" ca="1" si="28"/>
        <v>0</v>
      </c>
      <c r="L80" s="21">
        <f t="shared" ca="1" si="28"/>
        <v>0</v>
      </c>
      <c r="M80" s="21">
        <f t="shared" ca="1" si="28"/>
        <v>0</v>
      </c>
      <c r="N80" s="21">
        <f t="shared" ca="1" si="28"/>
        <v>0</v>
      </c>
      <c r="O80" s="21">
        <f t="shared" ca="1" si="28"/>
        <v>0</v>
      </c>
      <c r="P80" s="21">
        <f t="shared" ca="1" si="28"/>
        <v>0</v>
      </c>
      <c r="Q80" s="21">
        <f t="shared" ca="1" si="28"/>
        <v>0</v>
      </c>
      <c r="R80" s="21">
        <f t="shared" ca="1" si="28"/>
        <v>0</v>
      </c>
      <c r="S80" s="21">
        <f t="shared" ca="1" si="28"/>
        <v>0</v>
      </c>
      <c r="T80" s="21">
        <f t="shared" ca="1" si="28"/>
        <v>0</v>
      </c>
      <c r="U80" s="21">
        <f t="shared" ca="1" si="28"/>
        <v>0</v>
      </c>
      <c r="V80" s="21">
        <f t="shared" ca="1" si="28"/>
        <v>0</v>
      </c>
      <c r="W80" s="21">
        <f t="shared" ca="1" si="28"/>
        <v>0</v>
      </c>
      <c r="X80" s="6"/>
    </row>
    <row r="81" spans="1:24" x14ac:dyDescent="0.2">
      <c r="A81" s="14">
        <f t="shared" si="24"/>
        <v>81</v>
      </c>
      <c r="B81" s="1" t="s">
        <v>124</v>
      </c>
      <c r="D81" s="21">
        <f t="shared" ref="D81:W81" ca="1" si="29">D35+D46</f>
        <v>0</v>
      </c>
      <c r="E81" s="21">
        <f t="shared" ca="1" si="29"/>
        <v>0</v>
      </c>
      <c r="F81" s="21">
        <f t="shared" ca="1" si="29"/>
        <v>0</v>
      </c>
      <c r="G81" s="21">
        <f t="shared" ca="1" si="29"/>
        <v>0</v>
      </c>
      <c r="H81" s="21">
        <f t="shared" ca="1" si="29"/>
        <v>17728.354264998692</v>
      </c>
      <c r="I81" s="21">
        <f t="shared" ca="1" si="29"/>
        <v>47228.33098060792</v>
      </c>
      <c r="J81" s="21">
        <f t="shared" ca="1" si="29"/>
        <v>73416.855870267551</v>
      </c>
      <c r="K81" s="21">
        <f t="shared" ca="1" si="29"/>
        <v>96561.618537256669</v>
      </c>
      <c r="L81" s="21">
        <f t="shared" ca="1" si="29"/>
        <v>122692.95910485952</v>
      </c>
      <c r="M81" s="21">
        <f t="shared" ca="1" si="29"/>
        <v>147218.81500721694</v>
      </c>
      <c r="N81" s="21">
        <f t="shared" ca="1" si="29"/>
        <v>164748.63871795006</v>
      </c>
      <c r="O81" s="21">
        <f t="shared" ca="1" si="29"/>
        <v>185049.76444957088</v>
      </c>
      <c r="P81" s="21">
        <f t="shared" ca="1" si="29"/>
        <v>203353.98938286304</v>
      </c>
      <c r="Q81" s="21">
        <f t="shared" ca="1" si="29"/>
        <v>223582.88482000414</v>
      </c>
      <c r="R81" s="21">
        <f t="shared" ca="1" si="29"/>
        <v>241637.99946285397</v>
      </c>
      <c r="S81" s="21">
        <f t="shared" ca="1" si="29"/>
        <v>258368.3507806882</v>
      </c>
      <c r="T81" s="21">
        <f t="shared" ca="1" si="29"/>
        <v>275756.70010567142</v>
      </c>
      <c r="U81" s="21">
        <f t="shared" ca="1" si="29"/>
        <v>299694.92092733871</v>
      </c>
      <c r="V81" s="21">
        <f t="shared" ca="1" si="29"/>
        <v>325519.0331157567</v>
      </c>
      <c r="W81" s="21">
        <f t="shared" ca="1" si="29"/>
        <v>352349.56857817399</v>
      </c>
      <c r="X81" s="6"/>
    </row>
    <row r="82" spans="1:24" x14ac:dyDescent="0.2">
      <c r="A82" s="14">
        <f t="shared" si="24"/>
        <v>82</v>
      </c>
      <c r="B82" s="1" t="s">
        <v>42</v>
      </c>
      <c r="C82" s="21">
        <f>C47+C36</f>
        <v>13124.163671496855</v>
      </c>
      <c r="D82" s="21">
        <f t="shared" ref="D82:W82" ca="1" si="30">D36+D47</f>
        <v>18317.984282910187</v>
      </c>
      <c r="E82" s="21">
        <f t="shared" ca="1" si="30"/>
        <v>18317.984282910187</v>
      </c>
      <c r="F82" s="21">
        <f t="shared" ca="1" si="30"/>
        <v>18317.984282910187</v>
      </c>
      <c r="G82" s="21">
        <f t="shared" ca="1" si="30"/>
        <v>18317.984282910187</v>
      </c>
      <c r="H82" s="21">
        <f t="shared" ca="1" si="30"/>
        <v>0</v>
      </c>
      <c r="I82" s="21">
        <f t="shared" ca="1" si="30"/>
        <v>0</v>
      </c>
      <c r="J82" s="21">
        <f t="shared" ca="1" si="30"/>
        <v>0</v>
      </c>
      <c r="K82" s="21">
        <f t="shared" ca="1" si="30"/>
        <v>0</v>
      </c>
      <c r="L82" s="21">
        <f t="shared" ca="1" si="30"/>
        <v>0</v>
      </c>
      <c r="M82" s="21">
        <f t="shared" ca="1" si="30"/>
        <v>0</v>
      </c>
      <c r="N82" s="21">
        <f t="shared" ca="1" si="30"/>
        <v>0</v>
      </c>
      <c r="O82" s="21">
        <f t="shared" ca="1" si="30"/>
        <v>0</v>
      </c>
      <c r="P82" s="21">
        <f t="shared" ca="1" si="30"/>
        <v>0</v>
      </c>
      <c r="Q82" s="21">
        <f t="shared" ca="1" si="30"/>
        <v>0</v>
      </c>
      <c r="R82" s="21">
        <f t="shared" ca="1" si="30"/>
        <v>0</v>
      </c>
      <c r="S82" s="21">
        <f t="shared" ca="1" si="30"/>
        <v>0</v>
      </c>
      <c r="T82" s="21">
        <f t="shared" ca="1" si="30"/>
        <v>0</v>
      </c>
      <c r="U82" s="21">
        <f t="shared" ca="1" si="30"/>
        <v>0</v>
      </c>
      <c r="V82" s="21">
        <f t="shared" ca="1" si="30"/>
        <v>0</v>
      </c>
      <c r="W82" s="21">
        <f t="shared" ca="1" si="30"/>
        <v>0</v>
      </c>
      <c r="X82" s="6"/>
    </row>
    <row r="83" spans="1:24" x14ac:dyDescent="0.2">
      <c r="A83" s="14">
        <f t="shared" si="24"/>
        <v>83</v>
      </c>
      <c r="X83" s="6"/>
    </row>
    <row r="84" spans="1:24" x14ac:dyDescent="0.2">
      <c r="A84" s="2">
        <f>A83+1</f>
        <v>84</v>
      </c>
      <c r="B84" s="3" t="s">
        <v>89</v>
      </c>
      <c r="C84" s="3"/>
      <c r="X84" s="6"/>
    </row>
    <row r="85" spans="1:24" x14ac:dyDescent="0.2">
      <c r="A85" s="2">
        <f t="shared" ref="A85:A101" si="31">A84+1</f>
        <v>85</v>
      </c>
      <c r="B85" s="1" t="s">
        <v>64</v>
      </c>
      <c r="D85" s="21">
        <f t="shared" ref="D85:W85" ca="1" si="32">D17</f>
        <v>1327.8960509281196</v>
      </c>
      <c r="E85" s="21">
        <f t="shared" ca="1" si="32"/>
        <v>4362.7960266548353</v>
      </c>
      <c r="F85" s="21">
        <f t="shared" ca="1" si="32"/>
        <v>8512.5402933948935</v>
      </c>
      <c r="G85" s="21">
        <f t="shared" ca="1" si="32"/>
        <v>84.505041873842856</v>
      </c>
      <c r="H85" s="21">
        <f t="shared" ca="1" si="32"/>
        <v>0</v>
      </c>
      <c r="I85" s="21">
        <f t="shared" ca="1" si="32"/>
        <v>0</v>
      </c>
      <c r="J85" s="21">
        <f t="shared" ca="1" si="32"/>
        <v>0</v>
      </c>
      <c r="K85" s="21">
        <f t="shared" ca="1" si="32"/>
        <v>0</v>
      </c>
      <c r="L85" s="21">
        <f t="shared" ca="1" si="32"/>
        <v>0</v>
      </c>
      <c r="M85" s="21">
        <f t="shared" ca="1" si="32"/>
        <v>0</v>
      </c>
      <c r="N85" s="21">
        <f t="shared" ca="1" si="32"/>
        <v>0</v>
      </c>
      <c r="O85" s="21">
        <f t="shared" ca="1" si="32"/>
        <v>0</v>
      </c>
      <c r="P85" s="21">
        <f t="shared" ca="1" si="32"/>
        <v>0</v>
      </c>
      <c r="Q85" s="21">
        <f t="shared" ca="1" si="32"/>
        <v>0</v>
      </c>
      <c r="R85" s="21">
        <f t="shared" ca="1" si="32"/>
        <v>0</v>
      </c>
      <c r="S85" s="21">
        <f t="shared" ca="1" si="32"/>
        <v>0</v>
      </c>
      <c r="T85" s="21">
        <f t="shared" ca="1" si="32"/>
        <v>0</v>
      </c>
      <c r="U85" s="21">
        <f t="shared" ca="1" si="32"/>
        <v>0</v>
      </c>
      <c r="V85" s="21">
        <f t="shared" ca="1" si="32"/>
        <v>0</v>
      </c>
      <c r="W85" s="21">
        <f t="shared" ca="1" si="32"/>
        <v>0</v>
      </c>
      <c r="X85" s="6"/>
    </row>
    <row r="86" spans="1:24" x14ac:dyDescent="0.2">
      <c r="A86" s="2">
        <f t="shared" si="31"/>
        <v>86</v>
      </c>
      <c r="B86" s="1" t="s">
        <v>56</v>
      </c>
      <c r="D86" s="21">
        <f t="shared" ref="D86:W86" ca="1" si="33">D8</f>
        <v>2342.5338239784287</v>
      </c>
      <c r="E86" s="21">
        <f t="shared" ca="1" si="33"/>
        <v>6447.6412026853413</v>
      </c>
      <c r="F86" s="21">
        <f t="shared" ca="1" si="33"/>
        <v>13717.448521850933</v>
      </c>
      <c r="G86" s="21">
        <f t="shared" ca="1" si="33"/>
        <v>0</v>
      </c>
      <c r="H86" s="21">
        <f t="shared" ca="1" si="33"/>
        <v>0</v>
      </c>
      <c r="I86" s="21">
        <f t="shared" ca="1" si="33"/>
        <v>0</v>
      </c>
      <c r="J86" s="21">
        <f t="shared" ca="1" si="33"/>
        <v>0</v>
      </c>
      <c r="K86" s="21">
        <f t="shared" ca="1" si="33"/>
        <v>0</v>
      </c>
      <c r="L86" s="21">
        <f t="shared" ca="1" si="33"/>
        <v>0</v>
      </c>
      <c r="M86" s="21">
        <f t="shared" ca="1" si="33"/>
        <v>0</v>
      </c>
      <c r="N86" s="21">
        <f t="shared" ca="1" si="33"/>
        <v>0</v>
      </c>
      <c r="O86" s="21">
        <f t="shared" ca="1" si="33"/>
        <v>0</v>
      </c>
      <c r="P86" s="21">
        <f t="shared" ca="1" si="33"/>
        <v>0</v>
      </c>
      <c r="Q86" s="21">
        <f t="shared" ca="1" si="33"/>
        <v>0</v>
      </c>
      <c r="R86" s="21">
        <f t="shared" ca="1" si="33"/>
        <v>0</v>
      </c>
      <c r="S86" s="21">
        <f t="shared" ca="1" si="33"/>
        <v>0</v>
      </c>
      <c r="T86" s="21">
        <f t="shared" ca="1" si="33"/>
        <v>0</v>
      </c>
      <c r="U86" s="21">
        <f t="shared" ca="1" si="33"/>
        <v>0</v>
      </c>
      <c r="V86" s="21">
        <f t="shared" ca="1" si="33"/>
        <v>0</v>
      </c>
      <c r="W86" s="21">
        <f t="shared" ca="1" si="33"/>
        <v>0</v>
      </c>
      <c r="X86" s="6"/>
    </row>
    <row r="87" spans="1:24" x14ac:dyDescent="0.2">
      <c r="A87" s="2">
        <f t="shared" si="31"/>
        <v>87</v>
      </c>
      <c r="B87" s="1" t="s">
        <v>88</v>
      </c>
      <c r="D87" s="26">
        <f ca="1">D82</f>
        <v>18317.984282910187</v>
      </c>
      <c r="E87" s="26">
        <f t="shared" ref="E87:W87" ca="1" si="34">E82</f>
        <v>18317.984282910187</v>
      </c>
      <c r="F87" s="26">
        <f t="shared" ca="1" si="34"/>
        <v>18317.984282910187</v>
      </c>
      <c r="G87" s="26">
        <f t="shared" ca="1" si="34"/>
        <v>18317.984282910187</v>
      </c>
      <c r="H87" s="26">
        <f t="shared" ca="1" si="34"/>
        <v>0</v>
      </c>
      <c r="I87" s="26">
        <f t="shared" ca="1" si="34"/>
        <v>0</v>
      </c>
      <c r="J87" s="26">
        <f t="shared" ca="1" si="34"/>
        <v>0</v>
      </c>
      <c r="K87" s="26">
        <f t="shared" ca="1" si="34"/>
        <v>0</v>
      </c>
      <c r="L87" s="26">
        <f t="shared" ca="1" si="34"/>
        <v>0</v>
      </c>
      <c r="M87" s="26">
        <f t="shared" ca="1" si="34"/>
        <v>0</v>
      </c>
      <c r="N87" s="26">
        <f t="shared" ca="1" si="34"/>
        <v>0</v>
      </c>
      <c r="O87" s="26">
        <f t="shared" ca="1" si="34"/>
        <v>0</v>
      </c>
      <c r="P87" s="26">
        <f t="shared" ca="1" si="34"/>
        <v>0</v>
      </c>
      <c r="Q87" s="26">
        <f t="shared" ca="1" si="34"/>
        <v>0</v>
      </c>
      <c r="R87" s="26">
        <f t="shared" ca="1" si="34"/>
        <v>0</v>
      </c>
      <c r="S87" s="26">
        <f t="shared" ca="1" si="34"/>
        <v>0</v>
      </c>
      <c r="T87" s="26">
        <f t="shared" ca="1" si="34"/>
        <v>0</v>
      </c>
      <c r="U87" s="26">
        <f t="shared" ca="1" si="34"/>
        <v>0</v>
      </c>
      <c r="V87" s="26">
        <f t="shared" ca="1" si="34"/>
        <v>0</v>
      </c>
      <c r="W87" s="26">
        <f t="shared" ca="1" si="34"/>
        <v>0</v>
      </c>
      <c r="X87" s="6"/>
    </row>
    <row r="88" spans="1:24" x14ac:dyDescent="0.2">
      <c r="A88" s="2">
        <f t="shared" si="31"/>
        <v>88</v>
      </c>
      <c r="B88" s="1" t="s">
        <v>90</v>
      </c>
      <c r="D88" s="21">
        <f t="shared" ref="D88:W88" ca="1" si="35">SUM(D85:D87)</f>
        <v>21988.414157816736</v>
      </c>
      <c r="E88" s="21">
        <f t="shared" ca="1" si="35"/>
        <v>29128.421512250363</v>
      </c>
      <c r="F88" s="21">
        <f t="shared" ca="1" si="35"/>
        <v>40547.973098156013</v>
      </c>
      <c r="G88" s="21">
        <f t="shared" ca="1" si="35"/>
        <v>18402.48932478403</v>
      </c>
      <c r="H88" s="21">
        <f t="shared" ca="1" si="35"/>
        <v>0</v>
      </c>
      <c r="I88" s="21">
        <f t="shared" ca="1" si="35"/>
        <v>0</v>
      </c>
      <c r="J88" s="21">
        <f t="shared" ca="1" si="35"/>
        <v>0</v>
      </c>
      <c r="K88" s="21">
        <f t="shared" ca="1" si="35"/>
        <v>0</v>
      </c>
      <c r="L88" s="21">
        <f t="shared" ca="1" si="35"/>
        <v>0</v>
      </c>
      <c r="M88" s="21">
        <f t="shared" ca="1" si="35"/>
        <v>0</v>
      </c>
      <c r="N88" s="21">
        <f t="shared" ca="1" si="35"/>
        <v>0</v>
      </c>
      <c r="O88" s="21">
        <f t="shared" ca="1" si="35"/>
        <v>0</v>
      </c>
      <c r="P88" s="21">
        <f t="shared" ca="1" si="35"/>
        <v>0</v>
      </c>
      <c r="Q88" s="21">
        <f t="shared" ca="1" si="35"/>
        <v>0</v>
      </c>
      <c r="R88" s="21">
        <f t="shared" ca="1" si="35"/>
        <v>0</v>
      </c>
      <c r="S88" s="21">
        <f t="shared" ca="1" si="35"/>
        <v>0</v>
      </c>
      <c r="T88" s="21">
        <f t="shared" ca="1" si="35"/>
        <v>0</v>
      </c>
      <c r="U88" s="21">
        <f t="shared" ca="1" si="35"/>
        <v>0</v>
      </c>
      <c r="V88" s="21">
        <f t="shared" ca="1" si="35"/>
        <v>0</v>
      </c>
      <c r="W88" s="21">
        <f t="shared" ca="1" si="35"/>
        <v>0</v>
      </c>
      <c r="X88" s="6"/>
    </row>
    <row r="89" spans="1:24" x14ac:dyDescent="0.2">
      <c r="A89" s="2">
        <f t="shared" si="31"/>
        <v>89</v>
      </c>
      <c r="B89"/>
      <c r="C89"/>
      <c r="X89" s="6"/>
    </row>
    <row r="90" spans="1:24" x14ac:dyDescent="0.2">
      <c r="A90" s="2">
        <f t="shared" si="31"/>
        <v>90</v>
      </c>
      <c r="B90" s="3" t="s">
        <v>91</v>
      </c>
      <c r="C90" s="3"/>
      <c r="X90" s="6"/>
    </row>
    <row r="91" spans="1:24" x14ac:dyDescent="0.2">
      <c r="A91" s="2">
        <f t="shared" si="31"/>
        <v>91</v>
      </c>
      <c r="B91" s="1" t="s">
        <v>64</v>
      </c>
      <c r="D91" s="31">
        <f t="shared" ref="D91:W91" ca="1" si="36">IF(D$88&gt;0,D85/D$88,0)</f>
        <v>6.039071491911395E-2</v>
      </c>
      <c r="E91" s="31">
        <f t="shared" ca="1" si="36"/>
        <v>0.14977797629095696</v>
      </c>
      <c r="F91" s="31">
        <f t="shared" ca="1" si="36"/>
        <v>0.20993750471295483</v>
      </c>
      <c r="G91" s="31">
        <f t="shared" ca="1" si="36"/>
        <v>4.5920440643882621E-3</v>
      </c>
      <c r="H91" s="31">
        <f t="shared" ca="1" si="36"/>
        <v>0</v>
      </c>
      <c r="I91" s="31">
        <f t="shared" ca="1" si="36"/>
        <v>0</v>
      </c>
      <c r="J91" s="31">
        <f t="shared" ca="1" si="36"/>
        <v>0</v>
      </c>
      <c r="K91" s="31">
        <f t="shared" ca="1" si="36"/>
        <v>0</v>
      </c>
      <c r="L91" s="31">
        <f t="shared" ca="1" si="36"/>
        <v>0</v>
      </c>
      <c r="M91" s="31">
        <f t="shared" ca="1" si="36"/>
        <v>0</v>
      </c>
      <c r="N91" s="31">
        <f t="shared" ca="1" si="36"/>
        <v>0</v>
      </c>
      <c r="O91" s="31">
        <f t="shared" ca="1" si="36"/>
        <v>0</v>
      </c>
      <c r="P91" s="31">
        <f t="shared" ca="1" si="36"/>
        <v>0</v>
      </c>
      <c r="Q91" s="31">
        <f t="shared" ca="1" si="36"/>
        <v>0</v>
      </c>
      <c r="R91" s="31">
        <f t="shared" ca="1" si="36"/>
        <v>0</v>
      </c>
      <c r="S91" s="31">
        <f t="shared" ca="1" si="36"/>
        <v>0</v>
      </c>
      <c r="T91" s="31">
        <f t="shared" ca="1" si="36"/>
        <v>0</v>
      </c>
      <c r="U91" s="31">
        <f t="shared" ca="1" si="36"/>
        <v>0</v>
      </c>
      <c r="V91" s="31">
        <f t="shared" ca="1" si="36"/>
        <v>0</v>
      </c>
      <c r="W91" s="31">
        <f t="shared" ca="1" si="36"/>
        <v>0</v>
      </c>
      <c r="X91" s="6"/>
    </row>
    <row r="92" spans="1:24" x14ac:dyDescent="0.2">
      <c r="A92" s="2">
        <f t="shared" si="31"/>
        <v>92</v>
      </c>
      <c r="B92" s="1" t="s">
        <v>56</v>
      </c>
      <c r="D92" s="31">
        <f t="shared" ref="D92:W92" ca="1" si="37">IF(D$88&gt;0,D86/D$88,0)</f>
        <v>0.10653491457662367</v>
      </c>
      <c r="E92" s="31">
        <f t="shared" ca="1" si="37"/>
        <v>0.2213522349631509</v>
      </c>
      <c r="F92" s="31">
        <f t="shared" ca="1" si="37"/>
        <v>0.33830170718138208</v>
      </c>
      <c r="G92" s="31">
        <f t="shared" ca="1" si="37"/>
        <v>0</v>
      </c>
      <c r="H92" s="31">
        <f t="shared" ca="1" si="37"/>
        <v>0</v>
      </c>
      <c r="I92" s="31">
        <f t="shared" ca="1" si="37"/>
        <v>0</v>
      </c>
      <c r="J92" s="31">
        <f t="shared" ca="1" si="37"/>
        <v>0</v>
      </c>
      <c r="K92" s="31">
        <f t="shared" ca="1" si="37"/>
        <v>0</v>
      </c>
      <c r="L92" s="31">
        <f t="shared" ca="1" si="37"/>
        <v>0</v>
      </c>
      <c r="M92" s="31">
        <f t="shared" ca="1" si="37"/>
        <v>0</v>
      </c>
      <c r="N92" s="31">
        <f t="shared" ca="1" si="37"/>
        <v>0</v>
      </c>
      <c r="O92" s="31">
        <f t="shared" ca="1" si="37"/>
        <v>0</v>
      </c>
      <c r="P92" s="31">
        <f t="shared" ca="1" si="37"/>
        <v>0</v>
      </c>
      <c r="Q92" s="31">
        <f t="shared" ca="1" si="37"/>
        <v>0</v>
      </c>
      <c r="R92" s="31">
        <f t="shared" ca="1" si="37"/>
        <v>0</v>
      </c>
      <c r="S92" s="31">
        <f t="shared" ca="1" si="37"/>
        <v>0</v>
      </c>
      <c r="T92" s="31">
        <f t="shared" ca="1" si="37"/>
        <v>0</v>
      </c>
      <c r="U92" s="31">
        <f t="shared" ca="1" si="37"/>
        <v>0</v>
      </c>
      <c r="V92" s="31">
        <f t="shared" ca="1" si="37"/>
        <v>0</v>
      </c>
      <c r="W92" s="31">
        <f t="shared" ca="1" si="37"/>
        <v>0</v>
      </c>
      <c r="X92" s="6"/>
    </row>
    <row r="93" spans="1:24" x14ac:dyDescent="0.2">
      <c r="A93" s="2">
        <f t="shared" si="31"/>
        <v>93</v>
      </c>
      <c r="B93" s="1" t="s">
        <v>88</v>
      </c>
      <c r="D93" s="38">
        <f t="shared" ref="D93:W93" ca="1" si="38">IF(D$88&gt;0,D87/D$88,0)</f>
        <v>0.83307437050426236</v>
      </c>
      <c r="E93" s="38">
        <f t="shared" ca="1" si="38"/>
        <v>0.62886978874589217</v>
      </c>
      <c r="F93" s="38">
        <f t="shared" ca="1" si="38"/>
        <v>0.45176078810566311</v>
      </c>
      <c r="G93" s="38">
        <f t="shared" ca="1" si="38"/>
        <v>0.99540795593561171</v>
      </c>
      <c r="H93" s="38">
        <f t="shared" ca="1" si="38"/>
        <v>0</v>
      </c>
      <c r="I93" s="38">
        <f t="shared" ca="1" si="38"/>
        <v>0</v>
      </c>
      <c r="J93" s="38">
        <f t="shared" ca="1" si="38"/>
        <v>0</v>
      </c>
      <c r="K93" s="38">
        <f t="shared" ca="1" si="38"/>
        <v>0</v>
      </c>
      <c r="L93" s="38">
        <f t="shared" ca="1" si="38"/>
        <v>0</v>
      </c>
      <c r="M93" s="38">
        <f t="shared" ca="1" si="38"/>
        <v>0</v>
      </c>
      <c r="N93" s="38">
        <f t="shared" ca="1" si="38"/>
        <v>0</v>
      </c>
      <c r="O93" s="38">
        <f t="shared" ca="1" si="38"/>
        <v>0</v>
      </c>
      <c r="P93" s="38">
        <f t="shared" ca="1" si="38"/>
        <v>0</v>
      </c>
      <c r="Q93" s="38">
        <f t="shared" ca="1" si="38"/>
        <v>0</v>
      </c>
      <c r="R93" s="38">
        <f t="shared" ca="1" si="38"/>
        <v>0</v>
      </c>
      <c r="S93" s="38">
        <f t="shared" ca="1" si="38"/>
        <v>0</v>
      </c>
      <c r="T93" s="38">
        <f t="shared" ca="1" si="38"/>
        <v>0</v>
      </c>
      <c r="U93" s="38">
        <f t="shared" ca="1" si="38"/>
        <v>0</v>
      </c>
      <c r="V93" s="38">
        <f t="shared" ca="1" si="38"/>
        <v>0</v>
      </c>
      <c r="W93" s="38">
        <f t="shared" ca="1" si="38"/>
        <v>0</v>
      </c>
      <c r="X93" s="6"/>
    </row>
    <row r="94" spans="1:24" x14ac:dyDescent="0.2">
      <c r="A94" s="2">
        <f t="shared" si="31"/>
        <v>94</v>
      </c>
      <c r="B94" s="1" t="s">
        <v>90</v>
      </c>
      <c r="D94" s="31">
        <f t="shared" ref="D94:W94" ca="1" si="39">SUM(D91:D93)</f>
        <v>1</v>
      </c>
      <c r="E94" s="31">
        <f t="shared" ca="1" si="39"/>
        <v>1</v>
      </c>
      <c r="F94" s="31">
        <f t="shared" ca="1" si="39"/>
        <v>1</v>
      </c>
      <c r="G94" s="31">
        <f t="shared" ca="1" si="39"/>
        <v>1</v>
      </c>
      <c r="H94" s="31">
        <f t="shared" ca="1" si="39"/>
        <v>0</v>
      </c>
      <c r="I94" s="31">
        <f t="shared" ca="1" si="39"/>
        <v>0</v>
      </c>
      <c r="J94" s="31">
        <f t="shared" ca="1" si="39"/>
        <v>0</v>
      </c>
      <c r="K94" s="31">
        <f t="shared" ca="1" si="39"/>
        <v>0</v>
      </c>
      <c r="L94" s="31">
        <f t="shared" ca="1" si="39"/>
        <v>0</v>
      </c>
      <c r="M94" s="31">
        <f t="shared" ca="1" si="39"/>
        <v>0</v>
      </c>
      <c r="N94" s="31">
        <f t="shared" ca="1" si="39"/>
        <v>0</v>
      </c>
      <c r="O94" s="31">
        <f t="shared" ca="1" si="39"/>
        <v>0</v>
      </c>
      <c r="P94" s="31">
        <f t="shared" ca="1" si="39"/>
        <v>0</v>
      </c>
      <c r="Q94" s="31">
        <f t="shared" ca="1" si="39"/>
        <v>0</v>
      </c>
      <c r="R94" s="31">
        <f t="shared" ca="1" si="39"/>
        <v>0</v>
      </c>
      <c r="S94" s="31">
        <f t="shared" ca="1" si="39"/>
        <v>0</v>
      </c>
      <c r="T94" s="31">
        <f t="shared" ca="1" si="39"/>
        <v>0</v>
      </c>
      <c r="U94" s="31">
        <f t="shared" ca="1" si="39"/>
        <v>0</v>
      </c>
      <c r="V94" s="31">
        <f t="shared" ca="1" si="39"/>
        <v>0</v>
      </c>
      <c r="W94" s="31">
        <f t="shared" ca="1" si="39"/>
        <v>0</v>
      </c>
      <c r="X94" s="6"/>
    </row>
    <row r="95" spans="1:24" x14ac:dyDescent="0.2">
      <c r="A95" s="2">
        <f t="shared" si="31"/>
        <v>95</v>
      </c>
      <c r="X95" s="37"/>
    </row>
    <row r="96" spans="1:24" customFormat="1" x14ac:dyDescent="0.2">
      <c r="A96" s="2">
        <f t="shared" si="31"/>
        <v>96</v>
      </c>
      <c r="B96" s="1"/>
      <c r="C96" s="1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106"/>
    </row>
    <row r="97" spans="1:24" customFormat="1" x14ac:dyDescent="0.2">
      <c r="A97" s="2">
        <f t="shared" si="31"/>
        <v>97</v>
      </c>
      <c r="B97" s="3" t="s">
        <v>209</v>
      </c>
      <c r="C97" s="1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106"/>
    </row>
    <row r="98" spans="1:24" customFormat="1" x14ac:dyDescent="0.2">
      <c r="A98" s="2">
        <f t="shared" si="31"/>
        <v>98</v>
      </c>
      <c r="B98" s="1" t="s">
        <v>205</v>
      </c>
      <c r="C98" s="25"/>
      <c r="D98" s="25">
        <f ca="1">-D33</f>
        <v>0</v>
      </c>
      <c r="E98" s="25">
        <f ca="1">-E33</f>
        <v>0</v>
      </c>
      <c r="F98" s="25">
        <f ca="1">-F33</f>
        <v>0</v>
      </c>
      <c r="G98" s="25">
        <f ca="1">-G33</f>
        <v>0</v>
      </c>
      <c r="H98" s="25">
        <f ca="1">-H33</f>
        <v>8217.7225218359217</v>
      </c>
      <c r="I98" s="25">
        <f t="shared" ref="I98:W98" ca="1" si="40">-I33</f>
        <v>472.28330980607922</v>
      </c>
      <c r="J98" s="25">
        <f t="shared" ca="1" si="40"/>
        <v>734.16855870267557</v>
      </c>
      <c r="K98" s="25">
        <f t="shared" ca="1" si="40"/>
        <v>965.61618537256675</v>
      </c>
      <c r="L98" s="25">
        <f t="shared" ca="1" si="40"/>
        <v>1226.9295910485953</v>
      </c>
      <c r="M98" s="25">
        <f t="shared" ca="1" si="40"/>
        <v>1472.1881500721695</v>
      </c>
      <c r="N98" s="25">
        <f t="shared" ca="1" si="40"/>
        <v>1647.4863871795005</v>
      </c>
      <c r="O98" s="25">
        <f t="shared" ca="1" si="40"/>
        <v>1850.4976444957088</v>
      </c>
      <c r="P98" s="25">
        <f t="shared" ca="1" si="40"/>
        <v>2033.5398938286305</v>
      </c>
      <c r="Q98" s="25">
        <f t="shared" ca="1" si="40"/>
        <v>2235.8288482000416</v>
      </c>
      <c r="R98" s="25">
        <f t="shared" ca="1" si="40"/>
        <v>2416.3799946285399</v>
      </c>
      <c r="S98" s="25">
        <f t="shared" ca="1" si="40"/>
        <v>2583.6835078068821</v>
      </c>
      <c r="T98" s="25">
        <f t="shared" ca="1" si="40"/>
        <v>2757.5670010567142</v>
      </c>
      <c r="U98" s="25">
        <f t="shared" ca="1" si="40"/>
        <v>2996.9492092733872</v>
      </c>
      <c r="V98" s="25">
        <f t="shared" ca="1" si="40"/>
        <v>3255.190331157567</v>
      </c>
      <c r="W98" s="25">
        <f t="shared" ca="1" si="40"/>
        <v>3523.4956857817401</v>
      </c>
      <c r="X98" s="106"/>
    </row>
    <row r="99" spans="1:24" customFormat="1" x14ac:dyDescent="0.2">
      <c r="A99" s="2">
        <f t="shared" si="31"/>
        <v>99</v>
      </c>
      <c r="B99" s="1" t="s">
        <v>208</v>
      </c>
      <c r="C99" s="25"/>
      <c r="D99" s="25">
        <f ca="1">-D44</f>
        <v>0</v>
      </c>
      <c r="E99" s="25">
        <f t="shared" ref="E99:W99" ca="1" si="41">-E44</f>
        <v>0</v>
      </c>
      <c r="F99" s="25">
        <f t="shared" ca="1" si="41"/>
        <v>0</v>
      </c>
      <c r="G99" s="25">
        <f t="shared" ca="1" si="41"/>
        <v>0</v>
      </c>
      <c r="H99" s="25">
        <f t="shared" ca="1" si="41"/>
        <v>27828.616026072956</v>
      </c>
      <c r="I99" s="25">
        <f t="shared" ca="1" si="41"/>
        <v>46756.04767080184</v>
      </c>
      <c r="J99" s="25">
        <f t="shared" ca="1" si="41"/>
        <v>72682.687311564878</v>
      </c>
      <c r="K99" s="25">
        <f t="shared" ca="1" si="41"/>
        <v>95596.002351884104</v>
      </c>
      <c r="L99" s="25">
        <f t="shared" ca="1" si="41"/>
        <v>121466.02951381092</v>
      </c>
      <c r="M99" s="25">
        <f t="shared" ca="1" si="41"/>
        <v>145746.62685714476</v>
      </c>
      <c r="N99" s="25">
        <f t="shared" ca="1" si="41"/>
        <v>163101.15233077056</v>
      </c>
      <c r="O99" s="25">
        <f t="shared" ca="1" si="41"/>
        <v>183199.26680507517</v>
      </c>
      <c r="P99" s="25">
        <f t="shared" ca="1" si="41"/>
        <v>201320.44948903442</v>
      </c>
      <c r="Q99" s="25">
        <f t="shared" ca="1" si="41"/>
        <v>221347.0559718041</v>
      </c>
      <c r="R99" s="25">
        <f t="shared" ca="1" si="41"/>
        <v>239221.61946822543</v>
      </c>
      <c r="S99" s="25">
        <f t="shared" ca="1" si="41"/>
        <v>255784.66727288131</v>
      </c>
      <c r="T99" s="25">
        <f t="shared" ca="1" si="41"/>
        <v>272999.13310461468</v>
      </c>
      <c r="U99" s="25">
        <f t="shared" ca="1" si="41"/>
        <v>296697.97171806532</v>
      </c>
      <c r="V99" s="25">
        <f t="shared" ca="1" si="41"/>
        <v>322263.84278459911</v>
      </c>
      <c r="W99" s="25">
        <f t="shared" ca="1" si="41"/>
        <v>348826.07289239223</v>
      </c>
      <c r="X99" s="106"/>
    </row>
    <row r="100" spans="1:24" customFormat="1" x14ac:dyDescent="0.2">
      <c r="A100" s="2">
        <f t="shared" si="31"/>
        <v>100</v>
      </c>
      <c r="B100" s="1" t="s">
        <v>204</v>
      </c>
      <c r="C100" s="25"/>
      <c r="D100" s="25">
        <f t="shared" ref="D100:W100" ca="1" si="42">SUM(D98:D99)</f>
        <v>0</v>
      </c>
      <c r="E100" s="25">
        <f t="shared" ca="1" si="42"/>
        <v>0</v>
      </c>
      <c r="F100" s="25">
        <f t="shared" ca="1" si="42"/>
        <v>0</v>
      </c>
      <c r="G100" s="25">
        <f t="shared" ca="1" si="42"/>
        <v>0</v>
      </c>
      <c r="H100" s="25">
        <f t="shared" ca="1" si="42"/>
        <v>36046.338547908876</v>
      </c>
      <c r="I100" s="25">
        <f t="shared" ca="1" si="42"/>
        <v>47228.33098060792</v>
      </c>
      <c r="J100" s="25">
        <f t="shared" ca="1" si="42"/>
        <v>73416.855870267551</v>
      </c>
      <c r="K100" s="25">
        <f t="shared" ca="1" si="42"/>
        <v>96561.618537256669</v>
      </c>
      <c r="L100" s="25">
        <f t="shared" ca="1" si="42"/>
        <v>122692.95910485952</v>
      </c>
      <c r="M100" s="25">
        <f t="shared" ca="1" si="42"/>
        <v>147218.81500721694</v>
      </c>
      <c r="N100" s="25">
        <f t="shared" ca="1" si="42"/>
        <v>164748.63871795006</v>
      </c>
      <c r="O100" s="25">
        <f t="shared" ca="1" si="42"/>
        <v>185049.76444957088</v>
      </c>
      <c r="P100" s="25">
        <f t="shared" ca="1" si="42"/>
        <v>203353.98938286304</v>
      </c>
      <c r="Q100" s="25">
        <f t="shared" ca="1" si="42"/>
        <v>223582.88482000414</v>
      </c>
      <c r="R100" s="25">
        <f t="shared" ca="1" si="42"/>
        <v>241637.99946285397</v>
      </c>
      <c r="S100" s="25">
        <f t="shared" ca="1" si="42"/>
        <v>258368.3507806882</v>
      </c>
      <c r="T100" s="25">
        <f t="shared" ca="1" si="42"/>
        <v>275756.70010567142</v>
      </c>
      <c r="U100" s="25">
        <f t="shared" ca="1" si="42"/>
        <v>299694.92092733871</v>
      </c>
      <c r="V100" s="25">
        <f t="shared" ca="1" si="42"/>
        <v>325519.0331157567</v>
      </c>
      <c r="W100" s="25">
        <f t="shared" ca="1" si="42"/>
        <v>352349.56857817399</v>
      </c>
      <c r="X100" s="106"/>
    </row>
    <row r="101" spans="1:24" customFormat="1" x14ac:dyDescent="0.2">
      <c r="A101" s="2">
        <f t="shared" si="31"/>
        <v>101</v>
      </c>
      <c r="B101" s="1"/>
      <c r="C101" s="1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4" customFormat="1" x14ac:dyDescent="0.2">
      <c r="G102" s="165"/>
    </row>
    <row r="103" spans="1:24" customFormat="1" x14ac:dyDescent="0.2">
      <c r="G103" s="166"/>
    </row>
    <row r="104" spans="1:24" customFormat="1" x14ac:dyDescent="0.2"/>
    <row r="105" spans="1:24" customFormat="1" x14ac:dyDescent="0.2"/>
    <row r="106" spans="1:24" customFormat="1" x14ac:dyDescent="0.2"/>
    <row r="107" spans="1:24" customFormat="1" x14ac:dyDescent="0.2"/>
    <row r="108" spans="1:24" customFormat="1" x14ac:dyDescent="0.2"/>
    <row r="109" spans="1:24" customFormat="1" x14ac:dyDescent="0.2"/>
    <row r="110" spans="1:24" customFormat="1" x14ac:dyDescent="0.2"/>
    <row r="111" spans="1:24" customFormat="1" x14ac:dyDescent="0.2"/>
    <row r="112" spans="1:24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</sheetData>
  <pageMargins left="0.75" right="0.75" top="1" bottom="1" header="0.5" footer="0.5"/>
  <pageSetup paperSize="5" scale="59" fitToHeight="2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214"/>
  <sheetViews>
    <sheetView zoomScale="75" workbookViewId="0">
      <pane xSplit="2" ySplit="2" topLeftCell="C27" activePane="bottomRight" state="frozenSplit"/>
      <selection activeCell="C9" sqref="C9"/>
      <selection pane="topRight" activeCell="C9" sqref="C9"/>
      <selection pane="bottomLeft" activeCell="C9" sqref="C9"/>
      <selection pane="bottomRight" activeCell="C68" sqref="C68"/>
    </sheetView>
  </sheetViews>
  <sheetFormatPr defaultRowHeight="12.75" x14ac:dyDescent="0.2"/>
  <cols>
    <col min="1" max="1" width="4.7109375" style="10" bestFit="1" customWidth="1"/>
    <col min="2" max="2" width="35.140625" style="1" customWidth="1"/>
    <col min="3" max="3" width="11" style="1" customWidth="1"/>
    <col min="4" max="4" width="9.7109375" style="7" bestFit="1" customWidth="1"/>
    <col min="5" max="6" width="8.140625" style="7" bestFit="1" customWidth="1"/>
    <col min="7" max="7" width="8.42578125" style="7" customWidth="1"/>
    <col min="8" max="8" width="8.140625" style="7" customWidth="1"/>
    <col min="9" max="23" width="10.85546875" style="7" customWidth="1"/>
    <col min="24" max="24" width="8.140625" style="10" customWidth="1"/>
    <col min="25" max="35" width="8.140625" style="1" customWidth="1"/>
    <col min="36" max="16384" width="9.140625" style="1"/>
  </cols>
  <sheetData>
    <row r="1" spans="1:24" x14ac:dyDescent="0.2">
      <c r="A1" s="2">
        <v>1</v>
      </c>
      <c r="B1" s="3" t="s">
        <v>203</v>
      </c>
      <c r="C1" s="142">
        <v>0</v>
      </c>
      <c r="D1" s="32">
        <f>C1+1</f>
        <v>1</v>
      </c>
      <c r="E1" s="32">
        <f t="shared" ref="E1:W1" si="0">D1+1</f>
        <v>2</v>
      </c>
      <c r="F1" s="32">
        <f t="shared" si="0"/>
        <v>3</v>
      </c>
      <c r="G1" s="32">
        <f t="shared" si="0"/>
        <v>4</v>
      </c>
      <c r="H1" s="32">
        <f t="shared" si="0"/>
        <v>5</v>
      </c>
      <c r="I1" s="32">
        <f t="shared" si="0"/>
        <v>6</v>
      </c>
      <c r="J1" s="32">
        <f t="shared" si="0"/>
        <v>7</v>
      </c>
      <c r="K1" s="32">
        <f t="shared" si="0"/>
        <v>8</v>
      </c>
      <c r="L1" s="32">
        <f t="shared" si="0"/>
        <v>9</v>
      </c>
      <c r="M1" s="32">
        <f t="shared" si="0"/>
        <v>10</v>
      </c>
      <c r="N1" s="32">
        <f t="shared" si="0"/>
        <v>11</v>
      </c>
      <c r="O1" s="32">
        <f t="shared" si="0"/>
        <v>12</v>
      </c>
      <c r="P1" s="32">
        <f t="shared" si="0"/>
        <v>13</v>
      </c>
      <c r="Q1" s="32">
        <f t="shared" si="0"/>
        <v>14</v>
      </c>
      <c r="R1" s="32">
        <f t="shared" si="0"/>
        <v>15</v>
      </c>
      <c r="S1" s="32">
        <f t="shared" si="0"/>
        <v>16</v>
      </c>
      <c r="T1" s="32">
        <f t="shared" si="0"/>
        <v>17</v>
      </c>
      <c r="U1" s="32">
        <f t="shared" si="0"/>
        <v>18</v>
      </c>
      <c r="V1" s="32">
        <f t="shared" si="0"/>
        <v>19</v>
      </c>
      <c r="W1" s="32">
        <f t="shared" si="0"/>
        <v>20</v>
      </c>
      <c r="X1" s="4" t="s">
        <v>9</v>
      </c>
    </row>
    <row r="2" spans="1:24" s="13" customFormat="1" x14ac:dyDescent="0.2">
      <c r="A2" s="14">
        <f t="shared" ref="A2:A56" si="1">A1+1</f>
        <v>2</v>
      </c>
      <c r="C2" s="92" t="s">
        <v>158</v>
      </c>
      <c r="D2" s="15">
        <v>2001</v>
      </c>
      <c r="E2" s="15">
        <f t="shared" ref="E2:W2" si="2">D2+1</f>
        <v>2002</v>
      </c>
      <c r="F2" s="15">
        <f t="shared" si="2"/>
        <v>2003</v>
      </c>
      <c r="G2" s="15">
        <f t="shared" si="2"/>
        <v>2004</v>
      </c>
      <c r="H2" s="15">
        <f t="shared" si="2"/>
        <v>2005</v>
      </c>
      <c r="I2" s="15">
        <f t="shared" si="2"/>
        <v>2006</v>
      </c>
      <c r="J2" s="15">
        <f t="shared" si="2"/>
        <v>2007</v>
      </c>
      <c r="K2" s="15">
        <f t="shared" si="2"/>
        <v>2008</v>
      </c>
      <c r="L2" s="15">
        <f t="shared" si="2"/>
        <v>2009</v>
      </c>
      <c r="M2" s="15">
        <f t="shared" si="2"/>
        <v>2010</v>
      </c>
      <c r="N2" s="15">
        <f t="shared" si="2"/>
        <v>2011</v>
      </c>
      <c r="O2" s="15">
        <f t="shared" si="2"/>
        <v>2012</v>
      </c>
      <c r="P2" s="15">
        <f t="shared" si="2"/>
        <v>2013</v>
      </c>
      <c r="Q2" s="15">
        <f t="shared" si="2"/>
        <v>2014</v>
      </c>
      <c r="R2" s="15">
        <f t="shared" si="2"/>
        <v>2015</v>
      </c>
      <c r="S2" s="15">
        <f t="shared" si="2"/>
        <v>2016</v>
      </c>
      <c r="T2" s="15">
        <f t="shared" si="2"/>
        <v>2017</v>
      </c>
      <c r="U2" s="15">
        <f t="shared" si="2"/>
        <v>2018</v>
      </c>
      <c r="V2" s="15">
        <f t="shared" si="2"/>
        <v>2019</v>
      </c>
      <c r="W2" s="15">
        <f t="shared" si="2"/>
        <v>2020</v>
      </c>
      <c r="X2" s="16"/>
    </row>
    <row r="3" spans="1:24" x14ac:dyDescent="0.2">
      <c r="A3" s="14">
        <f t="shared" si="1"/>
        <v>3</v>
      </c>
      <c r="B3" s="12" t="s">
        <v>80</v>
      </c>
      <c r="C3" s="12"/>
      <c r="X3" s="6"/>
    </row>
    <row r="4" spans="1:24" s="25" customFormat="1" x14ac:dyDescent="0.2">
      <c r="A4" s="14">
        <f t="shared" si="1"/>
        <v>4</v>
      </c>
      <c r="B4" s="1" t="s">
        <v>81</v>
      </c>
      <c r="C4" s="1"/>
      <c r="D4" s="27">
        <f>'EBSCS CF'!D30</f>
        <v>1</v>
      </c>
      <c r="E4" s="21">
        <f ca="1">'EBSCS CF'!D31</f>
        <v>100</v>
      </c>
      <c r="F4" s="21">
        <f ca="1">'EBSCS CF'!E31</f>
        <v>100</v>
      </c>
      <c r="G4" s="21">
        <f ca="1">'EBSCS CF'!F31</f>
        <v>100</v>
      </c>
      <c r="H4" s="21">
        <f ca="1">'EBSCS CF'!G31</f>
        <v>100</v>
      </c>
      <c r="I4" s="21">
        <f ca="1">'EBSCS CF'!H31</f>
        <v>100</v>
      </c>
      <c r="J4" s="21">
        <f ca="1">'EBSCS CF'!I31</f>
        <v>100</v>
      </c>
      <c r="K4" s="21">
        <f ca="1">'EBSCS CF'!J31</f>
        <v>100</v>
      </c>
      <c r="L4" s="21">
        <f ca="1">'EBSCS CF'!K31</f>
        <v>100</v>
      </c>
      <c r="M4" s="21">
        <f ca="1">'EBSCS CF'!L31</f>
        <v>100</v>
      </c>
      <c r="N4" s="21">
        <f ca="1">'EBSCS CF'!M31</f>
        <v>100</v>
      </c>
      <c r="O4" s="21">
        <f ca="1">'EBSCS CF'!N31</f>
        <v>100</v>
      </c>
      <c r="P4" s="21">
        <f ca="1">'EBSCS CF'!O31</f>
        <v>100</v>
      </c>
      <c r="Q4" s="21">
        <f ca="1">'EBSCS CF'!P31</f>
        <v>100</v>
      </c>
      <c r="R4" s="21">
        <f ca="1">'EBSCS CF'!Q31</f>
        <v>100</v>
      </c>
      <c r="S4" s="21">
        <f ca="1">'EBSCS CF'!R31</f>
        <v>100</v>
      </c>
      <c r="T4" s="21">
        <f ca="1">'EBSCS CF'!S31</f>
        <v>100</v>
      </c>
      <c r="U4" s="21">
        <f ca="1">'EBSCS CF'!T31</f>
        <v>100</v>
      </c>
      <c r="V4" s="21">
        <f ca="1">'EBSCS CF'!U31</f>
        <v>100</v>
      </c>
      <c r="W4" s="21">
        <f ca="1">'EBSCS CF'!V31</f>
        <v>100</v>
      </c>
      <c r="X4" s="22"/>
    </row>
    <row r="5" spans="1:24" s="25" customFormat="1" x14ac:dyDescent="0.2">
      <c r="A5" s="14">
        <f t="shared" si="1"/>
        <v>5</v>
      </c>
      <c r="B5" s="1" t="s">
        <v>82</v>
      </c>
      <c r="C5" s="1"/>
      <c r="D5" s="21">
        <f ca="1">'EBSCS CF'!D8</f>
        <v>-2823.9305901188118</v>
      </c>
      <c r="E5" s="21">
        <f ca="1">'EBSCS CF'!E8</f>
        <v>-5890.5968349023788</v>
      </c>
      <c r="F5" s="21">
        <f ca="1">'EBSCS CF'!F8</f>
        <v>-10428.121235319712</v>
      </c>
      <c r="G5" s="21">
        <f ca="1">'EBSCS CF'!G8</f>
        <v>25878.072951350499</v>
      </c>
      <c r="H5" s="21">
        <f ca="1">'EBSCS CF'!H8</f>
        <v>40030.223056030271</v>
      </c>
      <c r="I5" s="21">
        <f ca="1">'EBSCS CF'!I8</f>
        <v>51533.19847878602</v>
      </c>
      <c r="J5" s="21">
        <f ca="1">'EBSCS CF'!J8</f>
        <v>75088.249189699767</v>
      </c>
      <c r="K5" s="21">
        <f ca="1">'EBSCS CF'!K8</f>
        <v>99697.732561977711</v>
      </c>
      <c r="L5" s="21">
        <f ca="1">'EBSCS CF'!L8</f>
        <v>124644.1833748557</v>
      </c>
      <c r="M5" s="21">
        <f ca="1">'EBSCS CF'!M8</f>
        <v>150280.26366581369</v>
      </c>
      <c r="N5" s="21">
        <f ca="1">'EBSCS CF'!N8</f>
        <v>166606.02760181137</v>
      </c>
      <c r="O5" s="21">
        <f ca="1">'EBSCS CF'!O8</f>
        <v>186162.56669933398</v>
      </c>
      <c r="P5" s="21">
        <f ca="1">'EBSCS CF'!P8</f>
        <v>204729.45023944697</v>
      </c>
      <c r="Q5" s="21">
        <f ca="1">'EBSCS CF'!Q8</f>
        <v>224618.35651572276</v>
      </c>
      <c r="R5" s="21">
        <f ca="1">'EBSCS CF'!R8</f>
        <v>242897.77917028905</v>
      </c>
      <c r="S5" s="21">
        <f ca="1">'EBSCS CF'!S8</f>
        <v>259318.05193824967</v>
      </c>
      <c r="T5" s="21">
        <f ca="1">'EBSCS CF'!T8</f>
        <v>276516.51719306939</v>
      </c>
      <c r="U5" s="21">
        <f ca="1">'EBSCS CF'!U8</f>
        <v>300736.37332137401</v>
      </c>
      <c r="V5" s="21">
        <f ca="1">'EBSCS CF'!V8</f>
        <v>326266.53016783978</v>
      </c>
      <c r="W5" s="21">
        <f ca="1">'EBSCS CF'!W8</f>
        <v>353154.39726780466</v>
      </c>
      <c r="X5" s="106"/>
    </row>
    <row r="6" spans="1:24" s="25" customFormat="1" x14ac:dyDescent="0.2">
      <c r="A6" s="14">
        <f t="shared" si="1"/>
        <v>6</v>
      </c>
      <c r="B6" s="1" t="s">
        <v>83</v>
      </c>
      <c r="C6" s="1"/>
      <c r="D6" s="21">
        <f>'EBSCS CF'!D14</f>
        <v>-5941.3198962010683</v>
      </c>
      <c r="E6" s="21">
        <f>'EBSCS CF'!E14</f>
        <v>-1249.4105195312497</v>
      </c>
      <c r="F6" s="21">
        <f>'EBSCS CF'!F14</f>
        <v>-991.43035058593728</v>
      </c>
      <c r="G6" s="21">
        <f>'EBSCS CF'!G14</f>
        <v>-3732.5891779785147</v>
      </c>
      <c r="H6" s="21">
        <f>'EBSCS CF'!H14</f>
        <v>-3899.3794662475566</v>
      </c>
      <c r="I6" s="21">
        <f>'EBSCS CF'!I14</f>
        <v>-4304.8674981780996</v>
      </c>
      <c r="J6" s="21">
        <f>'EBSCS CF'!J14</f>
        <v>-1671.3933194322201</v>
      </c>
      <c r="K6" s="21">
        <f>'EBSCS CF'!K14</f>
        <v>-3136.1140247210451</v>
      </c>
      <c r="L6" s="21">
        <f>'EBSCS CF'!L14</f>
        <v>-1951.2242699961844</v>
      </c>
      <c r="M6" s="21">
        <f>'EBSCS CF'!M14</f>
        <v>-3061.4486585967652</v>
      </c>
      <c r="N6" s="21">
        <f>'EBSCS CF'!N14</f>
        <v>-1857.3888838612918</v>
      </c>
      <c r="O6" s="21">
        <f>'EBSCS CF'!O14</f>
        <v>-1112.8022497631046</v>
      </c>
      <c r="P6" s="21">
        <f>'EBSCS CF'!P14</f>
        <v>-1375.4608565839426</v>
      </c>
      <c r="Q6" s="21">
        <f>'EBSCS CF'!Q14</f>
        <v>-1035.4716957186042</v>
      </c>
      <c r="R6" s="21">
        <f>'EBSCS CF'!R14</f>
        <v>-1259.7797074350933</v>
      </c>
      <c r="S6" s="21">
        <f>'EBSCS CF'!S14</f>
        <v>-949.70115756146765</v>
      </c>
      <c r="T6" s="21">
        <f>'EBSCS CF'!T14</f>
        <v>-759.81708739795431</v>
      </c>
      <c r="U6" s="21">
        <f>'EBSCS CF'!U14</f>
        <v>-1041.4523940352717</v>
      </c>
      <c r="V6" s="21">
        <f>'EBSCS CF'!V14</f>
        <v>-747.49705208306102</v>
      </c>
      <c r="W6" s="21">
        <f>'EBSCS CF'!W14</f>
        <v>-804.82868963068381</v>
      </c>
      <c r="X6" s="106"/>
    </row>
    <row r="7" spans="1:24" s="25" customFormat="1" x14ac:dyDescent="0.2">
      <c r="A7" s="14">
        <f t="shared" si="1"/>
        <v>7</v>
      </c>
      <c r="B7" s="1" t="s">
        <v>42</v>
      </c>
      <c r="C7" s="1"/>
      <c r="D7" s="21">
        <f t="shared" ref="D7:W7" ca="1" si="3">SUM(D4:D6)</f>
        <v>-8764.250486319881</v>
      </c>
      <c r="E7" s="21">
        <f t="shared" ca="1" si="3"/>
        <v>-7040.0073544336283</v>
      </c>
      <c r="F7" s="21">
        <f t="shared" ca="1" si="3"/>
        <v>-11319.551585905649</v>
      </c>
      <c r="G7" s="21">
        <f t="shared" ca="1" si="3"/>
        <v>22245.483773371983</v>
      </c>
      <c r="H7" s="21">
        <f t="shared" ca="1" si="3"/>
        <v>36230.843589782715</v>
      </c>
      <c r="I7" s="21">
        <f t="shared" ca="1" si="3"/>
        <v>47328.33098060792</v>
      </c>
      <c r="J7" s="21">
        <f t="shared" ca="1" si="3"/>
        <v>73516.855870267551</v>
      </c>
      <c r="K7" s="21">
        <f t="shared" ca="1" si="3"/>
        <v>96661.618537256669</v>
      </c>
      <c r="L7" s="21">
        <f t="shared" ca="1" si="3"/>
        <v>122792.95910485952</v>
      </c>
      <c r="M7" s="21">
        <f t="shared" ca="1" si="3"/>
        <v>147318.81500721694</v>
      </c>
      <c r="N7" s="21">
        <f t="shared" ca="1" si="3"/>
        <v>164848.63871795006</v>
      </c>
      <c r="O7" s="21">
        <f t="shared" ca="1" si="3"/>
        <v>185149.76444957088</v>
      </c>
      <c r="P7" s="21">
        <f t="shared" ca="1" si="3"/>
        <v>203453.98938286304</v>
      </c>
      <c r="Q7" s="21">
        <f t="shared" ca="1" si="3"/>
        <v>223682.88482000414</v>
      </c>
      <c r="R7" s="21">
        <f t="shared" ca="1" si="3"/>
        <v>241737.99946285397</v>
      </c>
      <c r="S7" s="21">
        <f t="shared" ca="1" si="3"/>
        <v>258468.3507806882</v>
      </c>
      <c r="T7" s="21">
        <f t="shared" ca="1" si="3"/>
        <v>275856.70010567142</v>
      </c>
      <c r="U7" s="21">
        <f t="shared" ca="1" si="3"/>
        <v>299794.92092733871</v>
      </c>
      <c r="V7" s="21">
        <f t="shared" ca="1" si="3"/>
        <v>325619.0331157567</v>
      </c>
      <c r="W7" s="21">
        <f t="shared" ca="1" si="3"/>
        <v>352449.56857817399</v>
      </c>
      <c r="X7" s="106"/>
    </row>
    <row r="8" spans="1:24" s="25" customFormat="1" x14ac:dyDescent="0.2">
      <c r="A8" s="14">
        <f t="shared" si="1"/>
        <v>8</v>
      </c>
      <c r="B8" s="1" t="s">
        <v>84</v>
      </c>
      <c r="C8" s="1"/>
      <c r="D8" s="27">
        <v>100</v>
      </c>
      <c r="E8" s="21">
        <f>D8</f>
        <v>100</v>
      </c>
      <c r="F8" s="21">
        <f t="shared" ref="F8:W8" si="4">E8</f>
        <v>100</v>
      </c>
      <c r="G8" s="21">
        <f t="shared" si="4"/>
        <v>100</v>
      </c>
      <c r="H8" s="21">
        <f t="shared" si="4"/>
        <v>100</v>
      </c>
      <c r="I8" s="21">
        <f t="shared" si="4"/>
        <v>100</v>
      </c>
      <c r="J8" s="21">
        <f t="shared" si="4"/>
        <v>100</v>
      </c>
      <c r="K8" s="21">
        <f t="shared" si="4"/>
        <v>100</v>
      </c>
      <c r="L8" s="21">
        <f t="shared" si="4"/>
        <v>100</v>
      </c>
      <c r="M8" s="21">
        <f t="shared" si="4"/>
        <v>100</v>
      </c>
      <c r="N8" s="21">
        <f t="shared" si="4"/>
        <v>100</v>
      </c>
      <c r="O8" s="21">
        <f t="shared" si="4"/>
        <v>100</v>
      </c>
      <c r="P8" s="21">
        <f t="shared" si="4"/>
        <v>100</v>
      </c>
      <c r="Q8" s="21">
        <f t="shared" si="4"/>
        <v>100</v>
      </c>
      <c r="R8" s="21">
        <f t="shared" si="4"/>
        <v>100</v>
      </c>
      <c r="S8" s="21">
        <f t="shared" si="4"/>
        <v>100</v>
      </c>
      <c r="T8" s="21">
        <f t="shared" si="4"/>
        <v>100</v>
      </c>
      <c r="U8" s="21">
        <f t="shared" si="4"/>
        <v>100</v>
      </c>
      <c r="V8" s="21">
        <f t="shared" si="4"/>
        <v>100</v>
      </c>
      <c r="W8" s="21">
        <f t="shared" si="4"/>
        <v>100</v>
      </c>
      <c r="X8" s="106"/>
    </row>
    <row r="9" spans="1:24" s="25" customFormat="1" x14ac:dyDescent="0.2">
      <c r="A9" s="14">
        <f t="shared" si="1"/>
        <v>9</v>
      </c>
      <c r="B9" s="1" t="s">
        <v>86</v>
      </c>
      <c r="C9" s="1"/>
      <c r="D9" s="21">
        <f t="shared" ref="D9:W9" ca="1" si="5">IF(D7&lt;0,-D7+D8,IF(D8&gt;D7,D8-D7,0))</f>
        <v>8864.250486319881</v>
      </c>
      <c r="E9" s="21">
        <f t="shared" ca="1" si="5"/>
        <v>7140.0073544336283</v>
      </c>
      <c r="F9" s="21">
        <f t="shared" ca="1" si="5"/>
        <v>11419.551585905649</v>
      </c>
      <c r="G9" s="21">
        <f t="shared" ca="1" si="5"/>
        <v>0</v>
      </c>
      <c r="H9" s="21">
        <f t="shared" ca="1" si="5"/>
        <v>0</v>
      </c>
      <c r="I9" s="21">
        <f t="shared" ca="1" si="5"/>
        <v>0</v>
      </c>
      <c r="J9" s="21">
        <f t="shared" ca="1" si="5"/>
        <v>0</v>
      </c>
      <c r="K9" s="21">
        <f t="shared" ca="1" si="5"/>
        <v>0</v>
      </c>
      <c r="L9" s="21">
        <f t="shared" ca="1" si="5"/>
        <v>0</v>
      </c>
      <c r="M9" s="21">
        <f t="shared" ca="1" si="5"/>
        <v>0</v>
      </c>
      <c r="N9" s="21">
        <f t="shared" ca="1" si="5"/>
        <v>0</v>
      </c>
      <c r="O9" s="21">
        <f t="shared" ca="1" si="5"/>
        <v>0</v>
      </c>
      <c r="P9" s="21">
        <f t="shared" ca="1" si="5"/>
        <v>0</v>
      </c>
      <c r="Q9" s="21">
        <f t="shared" ca="1" si="5"/>
        <v>0</v>
      </c>
      <c r="R9" s="21">
        <f t="shared" ca="1" si="5"/>
        <v>0</v>
      </c>
      <c r="S9" s="21">
        <f t="shared" ca="1" si="5"/>
        <v>0</v>
      </c>
      <c r="T9" s="21">
        <f t="shared" ca="1" si="5"/>
        <v>0</v>
      </c>
      <c r="U9" s="21">
        <f t="shared" ca="1" si="5"/>
        <v>0</v>
      </c>
      <c r="V9" s="21">
        <f t="shared" ca="1" si="5"/>
        <v>0</v>
      </c>
      <c r="W9" s="21">
        <f t="shared" ca="1" si="5"/>
        <v>0</v>
      </c>
      <c r="X9" s="106"/>
    </row>
    <row r="10" spans="1:24" s="25" customFormat="1" x14ac:dyDescent="0.2">
      <c r="A10" s="14">
        <f t="shared" si="1"/>
        <v>10</v>
      </c>
      <c r="B10" s="1" t="s">
        <v>164</v>
      </c>
      <c r="C10" s="1"/>
      <c r="D10" s="21">
        <f>'EBSCS Cap'!D4+'EBSCS Cap'!D5+'EBSCS Cap'!D6</f>
        <v>2342.5338239784287</v>
      </c>
      <c r="E10" s="21">
        <f>'EBSCS Cap'!E5+'EBSCS Cap'!E6</f>
        <v>4105.1073787069126</v>
      </c>
      <c r="F10" s="21">
        <f>'EBSCS Cap'!F5+'EBSCS Cap'!F6</f>
        <v>7269.8073191655903</v>
      </c>
      <c r="G10" s="21">
        <f>'EBSCS Cap'!G5+'EBSCS Cap'!G6</f>
        <v>0</v>
      </c>
      <c r="H10" s="21">
        <f>'EBSCS Cap'!H5+'EBSCS Cap'!H6</f>
        <v>0</v>
      </c>
      <c r="I10" s="21">
        <f>'EBSCS Cap'!I5+'EBSCS Cap'!I6</f>
        <v>0</v>
      </c>
      <c r="J10" s="21">
        <f>'EBSCS Cap'!J5+'EBSCS Cap'!J6</f>
        <v>0</v>
      </c>
      <c r="K10" s="21">
        <f>'EBSCS Cap'!K5+'EBSCS Cap'!K6</f>
        <v>0</v>
      </c>
      <c r="L10" s="21">
        <f>'EBSCS Cap'!L5+'EBSCS Cap'!L6</f>
        <v>0</v>
      </c>
      <c r="M10" s="21">
        <f>'EBSCS Cap'!M5+'EBSCS Cap'!M6</f>
        <v>0</v>
      </c>
      <c r="N10" s="21">
        <f>'EBSCS Cap'!N5+'EBSCS Cap'!N6</f>
        <v>0</v>
      </c>
      <c r="O10" s="21">
        <f>'EBSCS Cap'!O5+'EBSCS Cap'!O6</f>
        <v>0</v>
      </c>
      <c r="P10" s="21">
        <f>'EBSCS Cap'!P5+'EBSCS Cap'!P6</f>
        <v>0</v>
      </c>
      <c r="Q10" s="21">
        <f>'EBSCS Cap'!Q5+'EBSCS Cap'!Q6</f>
        <v>0</v>
      </c>
      <c r="R10" s="21">
        <f>'EBSCS Cap'!R5+'EBSCS Cap'!R6</f>
        <v>0</v>
      </c>
      <c r="S10" s="21">
        <f>'EBSCS Cap'!S5+'EBSCS Cap'!S6</f>
        <v>0</v>
      </c>
      <c r="T10" s="21">
        <f>'EBSCS Cap'!T5+'EBSCS Cap'!T6</f>
        <v>0</v>
      </c>
      <c r="U10" s="21">
        <f>'EBSCS Cap'!U5+'EBSCS Cap'!U6</f>
        <v>0</v>
      </c>
      <c r="V10" s="21">
        <f>'EBSCS Cap'!V5+'EBSCS Cap'!V6</f>
        <v>0</v>
      </c>
      <c r="W10" s="21">
        <f>'EBSCS Cap'!W5+'EBSCS Cap'!W6</f>
        <v>0</v>
      </c>
      <c r="X10" s="106"/>
    </row>
    <row r="11" spans="1:24" s="25" customFormat="1" x14ac:dyDescent="0.2">
      <c r="A11" s="14">
        <f t="shared" si="1"/>
        <v>11</v>
      </c>
      <c r="B11" s="1" t="s">
        <v>169</v>
      </c>
      <c r="C11" s="1"/>
      <c r="D11" s="21">
        <f>'EBSCS BS'!C6</f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106"/>
    </row>
    <row r="12" spans="1:24" s="25" customFormat="1" x14ac:dyDescent="0.2">
      <c r="A12" s="14">
        <f t="shared" si="1"/>
        <v>12</v>
      </c>
      <c r="B12" s="1" t="s">
        <v>87</v>
      </c>
      <c r="C12" s="1"/>
      <c r="D12" s="21">
        <f>'EBSCS Cap'!D78</f>
        <v>5193.8206114133327</v>
      </c>
      <c r="E12" s="21">
        <f>'EBSCS Cap'!E78</f>
        <v>0</v>
      </c>
      <c r="F12" s="21">
        <f>'EBSCS Cap'!F78</f>
        <v>0</v>
      </c>
      <c r="G12" s="21">
        <f>'EBSCS Cap'!G78</f>
        <v>0</v>
      </c>
      <c r="H12" s="21">
        <f>'EBSCS Cap'!H78</f>
        <v>0</v>
      </c>
      <c r="I12" s="21">
        <f>'EBSCS Cap'!I78</f>
        <v>0</v>
      </c>
      <c r="J12" s="21">
        <f>'EBSCS Cap'!J78</f>
        <v>0</v>
      </c>
      <c r="K12" s="21">
        <f>'EBSCS Cap'!K78</f>
        <v>0</v>
      </c>
      <c r="L12" s="21">
        <f>'EBSCS Cap'!L78</f>
        <v>0</v>
      </c>
      <c r="M12" s="21">
        <f>'EBSCS Cap'!M78</f>
        <v>0</v>
      </c>
      <c r="N12" s="21">
        <f>'EBSCS Cap'!N78</f>
        <v>0</v>
      </c>
      <c r="O12" s="21">
        <f>'EBSCS Cap'!O78</f>
        <v>0</v>
      </c>
      <c r="P12" s="21">
        <f>'EBSCS Cap'!P78</f>
        <v>0</v>
      </c>
      <c r="Q12" s="21">
        <f>'EBSCS Cap'!Q78</f>
        <v>0</v>
      </c>
      <c r="R12" s="21">
        <f>'EBSCS Cap'!R78</f>
        <v>0</v>
      </c>
      <c r="S12" s="21">
        <f>'EBSCS Cap'!S78</f>
        <v>0</v>
      </c>
      <c r="T12" s="21">
        <f>'EBSCS Cap'!T78</f>
        <v>0</v>
      </c>
      <c r="U12" s="21">
        <f>'EBSCS Cap'!U78</f>
        <v>0</v>
      </c>
      <c r="V12" s="21">
        <f>'EBSCS Cap'!V78</f>
        <v>0</v>
      </c>
      <c r="W12" s="21">
        <f>'EBSCS Cap'!W78</f>
        <v>0</v>
      </c>
      <c r="X12" s="106"/>
    </row>
    <row r="13" spans="1:24" s="25" customFormat="1" x14ac:dyDescent="0.2">
      <c r="A13" s="14">
        <f t="shared" si="1"/>
        <v>13</v>
      </c>
      <c r="B13" s="1" t="s">
        <v>85</v>
      </c>
      <c r="C13" s="1"/>
      <c r="D13" s="21">
        <f ca="1">IF(D9-D10-D11-D12&lt;0,0,D9-D10-D11-D12)</f>
        <v>1327.8960509281196</v>
      </c>
      <c r="E13" s="21">
        <f t="shared" ref="E13:W13" ca="1" si="6">IF(E9-E10-E11-E12&lt;0,0,E9-E10-E11-E12)</f>
        <v>3034.8999757267156</v>
      </c>
      <c r="F13" s="21">
        <f t="shared" ca="1" si="6"/>
        <v>4149.7442667400583</v>
      </c>
      <c r="G13" s="21">
        <f t="shared" ca="1" si="6"/>
        <v>0</v>
      </c>
      <c r="H13" s="21">
        <f t="shared" ca="1" si="6"/>
        <v>0</v>
      </c>
      <c r="I13" s="21">
        <f t="shared" ca="1" si="6"/>
        <v>0</v>
      </c>
      <c r="J13" s="21">
        <f t="shared" ca="1" si="6"/>
        <v>0</v>
      </c>
      <c r="K13" s="21">
        <f t="shared" ca="1" si="6"/>
        <v>0</v>
      </c>
      <c r="L13" s="21">
        <f t="shared" ca="1" si="6"/>
        <v>0</v>
      </c>
      <c r="M13" s="21">
        <f t="shared" ca="1" si="6"/>
        <v>0</v>
      </c>
      <c r="N13" s="21">
        <f t="shared" ca="1" si="6"/>
        <v>0</v>
      </c>
      <c r="O13" s="21">
        <f t="shared" ca="1" si="6"/>
        <v>0</v>
      </c>
      <c r="P13" s="21">
        <f t="shared" ca="1" si="6"/>
        <v>0</v>
      </c>
      <c r="Q13" s="21">
        <f t="shared" ca="1" si="6"/>
        <v>0</v>
      </c>
      <c r="R13" s="21">
        <f t="shared" ca="1" si="6"/>
        <v>0</v>
      </c>
      <c r="S13" s="21">
        <f t="shared" ca="1" si="6"/>
        <v>0</v>
      </c>
      <c r="T13" s="21">
        <f t="shared" ca="1" si="6"/>
        <v>0</v>
      </c>
      <c r="U13" s="21">
        <f t="shared" ca="1" si="6"/>
        <v>0</v>
      </c>
      <c r="V13" s="21">
        <f t="shared" ca="1" si="6"/>
        <v>0</v>
      </c>
      <c r="W13" s="21">
        <f t="shared" ca="1" si="6"/>
        <v>0</v>
      </c>
      <c r="X13" s="106"/>
    </row>
    <row r="14" spans="1:24" s="25" customFormat="1" x14ac:dyDescent="0.2">
      <c r="A14" s="14">
        <f t="shared" si="1"/>
        <v>14</v>
      </c>
      <c r="B14" s="1"/>
      <c r="C14" s="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2"/>
    </row>
    <row r="15" spans="1:24" s="25" customFormat="1" x14ac:dyDescent="0.2">
      <c r="A15" s="14">
        <f t="shared" si="1"/>
        <v>15</v>
      </c>
      <c r="B15" s="101" t="s">
        <v>119</v>
      </c>
      <c r="C15" s="12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2"/>
    </row>
    <row r="16" spans="1:24" s="25" customFormat="1" x14ac:dyDescent="0.2">
      <c r="A16" s="14">
        <f t="shared" si="1"/>
        <v>16</v>
      </c>
      <c r="B16" s="1" t="s">
        <v>96</v>
      </c>
      <c r="C16" s="1"/>
      <c r="D16" s="21">
        <f ca="1">IF(D9&gt;0,0,D7-D8)</f>
        <v>0</v>
      </c>
      <c r="E16" s="21">
        <f t="shared" ref="E16:W16" ca="1" si="7">IF(E9&gt;0,0,E7-E8)</f>
        <v>0</v>
      </c>
      <c r="F16" s="21">
        <f t="shared" ca="1" si="7"/>
        <v>0</v>
      </c>
      <c r="G16" s="21">
        <f t="shared" ca="1" si="7"/>
        <v>22145.483773371983</v>
      </c>
      <c r="H16" s="21">
        <f t="shared" ca="1" si="7"/>
        <v>36130.843589782715</v>
      </c>
      <c r="I16" s="21">
        <f t="shared" ca="1" si="7"/>
        <v>47228.33098060792</v>
      </c>
      <c r="J16" s="21">
        <f t="shared" ca="1" si="7"/>
        <v>73416.855870267551</v>
      </c>
      <c r="K16" s="21">
        <f t="shared" ca="1" si="7"/>
        <v>96561.618537256669</v>
      </c>
      <c r="L16" s="21">
        <f t="shared" ca="1" si="7"/>
        <v>122692.95910485952</v>
      </c>
      <c r="M16" s="21">
        <f t="shared" ca="1" si="7"/>
        <v>147218.81500721694</v>
      </c>
      <c r="N16" s="21">
        <f t="shared" ca="1" si="7"/>
        <v>164748.63871795006</v>
      </c>
      <c r="O16" s="21">
        <f t="shared" ca="1" si="7"/>
        <v>185049.76444957088</v>
      </c>
      <c r="P16" s="21">
        <f t="shared" ca="1" si="7"/>
        <v>203353.98938286304</v>
      </c>
      <c r="Q16" s="21">
        <f t="shared" ca="1" si="7"/>
        <v>223582.88482000414</v>
      </c>
      <c r="R16" s="21">
        <f t="shared" ca="1" si="7"/>
        <v>241637.99946285397</v>
      </c>
      <c r="S16" s="21">
        <f t="shared" ca="1" si="7"/>
        <v>258368.3507806882</v>
      </c>
      <c r="T16" s="21">
        <f t="shared" ca="1" si="7"/>
        <v>275756.70010567142</v>
      </c>
      <c r="U16" s="21">
        <f t="shared" ca="1" si="7"/>
        <v>299694.92092733871</v>
      </c>
      <c r="V16" s="21">
        <f t="shared" ca="1" si="7"/>
        <v>325519.0331157567</v>
      </c>
      <c r="W16" s="21">
        <f t="shared" ca="1" si="7"/>
        <v>352349.56857817399</v>
      </c>
      <c r="X16" s="22"/>
    </row>
    <row r="17" spans="1:24" s="25" customFormat="1" x14ac:dyDescent="0.2">
      <c r="A17" s="14">
        <f t="shared" si="1"/>
        <v>17</v>
      </c>
      <c r="B17" s="1" t="s">
        <v>147</v>
      </c>
      <c r="D17" s="21">
        <f ca="1">IF('EBSCS Cap'!D4&gt;=0,IF(D16*D18&gt;'EBSCS Cap'!D4,'EBSCS Cap'!D4,D16*D18),0)</f>
        <v>0</v>
      </c>
      <c r="E17" s="21">
        <f ca="1">IF('EBSCS Cap'!E4&gt;=0,IF(E16*E18&gt;'EBSCS Cap'!E4,'EBSCS Cap'!E4,E16*E18),0)</f>
        <v>0</v>
      </c>
      <c r="F17" s="21">
        <f ca="1">IF('EBSCS Cap'!F4&gt;=0,IF(F16*F18&gt;'EBSCS Cap'!F4,'EBSCS Cap'!F4,F16*F18),0)</f>
        <v>0</v>
      </c>
      <c r="G17" s="21">
        <f ca="1">IF('EBSCS Cap'!G4&gt;=0,IF(G16*G18&gt;'EBSCS Cap'!G4,'EBSCS Cap'!G4,G16*G18),0)</f>
        <v>13717.448521850933</v>
      </c>
      <c r="H17" s="21">
        <f ca="1">IF('EBSCS Cap'!H4&gt;=0,IF(H16*H18&gt;'EBSCS Cap'!H4,'EBSCS Cap'!H4,H16*H18),0)</f>
        <v>0</v>
      </c>
      <c r="I17" s="21">
        <f ca="1">IF('EBSCS Cap'!I4&gt;=0,IF(I16*I18&gt;'EBSCS Cap'!I4,'EBSCS Cap'!I4,I16*I18),0)</f>
        <v>0</v>
      </c>
      <c r="J17" s="21">
        <f ca="1">IF('EBSCS Cap'!J4&gt;=0,IF(J16*J18&gt;'EBSCS Cap'!J4,'EBSCS Cap'!J4,J16*J18),0)</f>
        <v>0</v>
      </c>
      <c r="K17" s="21">
        <f ca="1">IF('EBSCS Cap'!K4&gt;=0,IF(K16*K18&gt;'EBSCS Cap'!K4,'EBSCS Cap'!K4,K16*K18),0)</f>
        <v>0</v>
      </c>
      <c r="L17" s="21">
        <f ca="1">IF('EBSCS Cap'!L4&gt;=0,IF(L16*L18&gt;'EBSCS Cap'!L4,'EBSCS Cap'!L4,L16*L18),0)</f>
        <v>0</v>
      </c>
      <c r="M17" s="21">
        <f ca="1">IF('EBSCS Cap'!M4&gt;=0,IF(M16*M18&gt;'EBSCS Cap'!M4,'EBSCS Cap'!M4,M16*M18),0)</f>
        <v>0</v>
      </c>
      <c r="N17" s="21">
        <f ca="1">IF('EBSCS Cap'!N4&gt;=0,IF(N16*N18&gt;'EBSCS Cap'!N4,'EBSCS Cap'!N4,N16*N18),0)</f>
        <v>0</v>
      </c>
      <c r="O17" s="21">
        <f ca="1">IF('EBSCS Cap'!O4&gt;=0,IF(O16*O18&gt;'EBSCS Cap'!O4,'EBSCS Cap'!O4,O16*O18),0)</f>
        <v>0</v>
      </c>
      <c r="P17" s="21">
        <f ca="1">IF('EBSCS Cap'!P4&gt;=0,IF(P16*P18&gt;'EBSCS Cap'!P4,'EBSCS Cap'!P4,P16*P18),0)</f>
        <v>0</v>
      </c>
      <c r="Q17" s="21">
        <f ca="1">IF('EBSCS Cap'!Q4&gt;=0,IF(Q16*Q18&gt;'EBSCS Cap'!Q4,'EBSCS Cap'!Q4,Q16*Q18),0)</f>
        <v>0</v>
      </c>
      <c r="R17" s="21">
        <f ca="1">IF('EBSCS Cap'!R4&gt;=0,IF(R16*R18&gt;'EBSCS Cap'!R4,'EBSCS Cap'!R4,R16*R18),0)</f>
        <v>0</v>
      </c>
      <c r="S17" s="21">
        <f ca="1">IF('EBSCS Cap'!S4&gt;=0,IF(S16*S18&gt;'EBSCS Cap'!S4,'EBSCS Cap'!S4,S16*S18),0)</f>
        <v>0</v>
      </c>
      <c r="T17" s="21">
        <f ca="1">IF('EBSCS Cap'!T4&gt;=0,IF(T16*T18&gt;'EBSCS Cap'!T4,'EBSCS Cap'!T4,T16*T18),0)</f>
        <v>0</v>
      </c>
      <c r="U17" s="21">
        <f ca="1">IF('EBSCS Cap'!U4&gt;=0,IF(U16*U18&gt;'EBSCS Cap'!U4,'EBSCS Cap'!U4,U16*U18),0)</f>
        <v>0</v>
      </c>
      <c r="V17" s="21">
        <f ca="1">IF('EBSCS Cap'!V4&gt;=0,IF(V16*V18&gt;'EBSCS Cap'!V4,'EBSCS Cap'!V4,V16*V18),0)</f>
        <v>0</v>
      </c>
      <c r="W17" s="21">
        <f ca="1">IF('EBSCS Cap'!W4&gt;=0,IF(W16*W18&gt;'EBSCS Cap'!W4,'EBSCS Cap'!W4,W16*W18),0)</f>
        <v>0</v>
      </c>
      <c r="X17" s="22"/>
    </row>
    <row r="18" spans="1:24" s="25" customFormat="1" x14ac:dyDescent="0.2">
      <c r="A18" s="14">
        <f t="shared" si="1"/>
        <v>18</v>
      </c>
      <c r="B18" s="1" t="s">
        <v>148</v>
      </c>
      <c r="C18" s="1"/>
      <c r="D18" s="51">
        <v>1</v>
      </c>
      <c r="E18" s="47">
        <f>D18</f>
        <v>1</v>
      </c>
      <c r="F18" s="47">
        <f t="shared" ref="F18:W18" si="8">E18</f>
        <v>1</v>
      </c>
      <c r="G18" s="47">
        <f t="shared" si="8"/>
        <v>1</v>
      </c>
      <c r="H18" s="47">
        <f t="shared" si="8"/>
        <v>1</v>
      </c>
      <c r="I18" s="47">
        <f t="shared" si="8"/>
        <v>1</v>
      </c>
      <c r="J18" s="47">
        <f t="shared" si="8"/>
        <v>1</v>
      </c>
      <c r="K18" s="47">
        <f t="shared" si="8"/>
        <v>1</v>
      </c>
      <c r="L18" s="47">
        <f t="shared" si="8"/>
        <v>1</v>
      </c>
      <c r="M18" s="47">
        <f t="shared" si="8"/>
        <v>1</v>
      </c>
      <c r="N18" s="47">
        <f t="shared" si="8"/>
        <v>1</v>
      </c>
      <c r="O18" s="47">
        <f t="shared" si="8"/>
        <v>1</v>
      </c>
      <c r="P18" s="47">
        <f t="shared" si="8"/>
        <v>1</v>
      </c>
      <c r="Q18" s="47">
        <f t="shared" si="8"/>
        <v>1</v>
      </c>
      <c r="R18" s="47">
        <f t="shared" si="8"/>
        <v>1</v>
      </c>
      <c r="S18" s="47">
        <f t="shared" si="8"/>
        <v>1</v>
      </c>
      <c r="T18" s="47">
        <f t="shared" si="8"/>
        <v>1</v>
      </c>
      <c r="U18" s="47">
        <f t="shared" si="8"/>
        <v>1</v>
      </c>
      <c r="V18" s="47">
        <f t="shared" si="8"/>
        <v>1</v>
      </c>
      <c r="W18" s="47">
        <f t="shared" si="8"/>
        <v>1</v>
      </c>
      <c r="X18" s="22"/>
    </row>
    <row r="19" spans="1:24" s="25" customFormat="1" x14ac:dyDescent="0.2">
      <c r="A19" s="14">
        <f t="shared" si="1"/>
        <v>19</v>
      </c>
      <c r="B19" s="1"/>
      <c r="C19" s="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22"/>
    </row>
    <row r="20" spans="1:24" s="49" customFormat="1" x14ac:dyDescent="0.2">
      <c r="A20" s="14">
        <f t="shared" si="1"/>
        <v>20</v>
      </c>
      <c r="B20" s="100" t="s">
        <v>18</v>
      </c>
      <c r="C20" s="76"/>
      <c r="D20" s="4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48"/>
    </row>
    <row r="21" spans="1:24" s="49" customFormat="1" x14ac:dyDescent="0.2">
      <c r="A21" s="14">
        <f t="shared" si="1"/>
        <v>21</v>
      </c>
      <c r="B21" s="34" t="s">
        <v>95</v>
      </c>
      <c r="C21" s="34"/>
      <c r="D21" s="50">
        <f ca="1">D16-D17</f>
        <v>0</v>
      </c>
      <c r="E21" s="50">
        <f t="shared" ref="E21:W21" ca="1" si="9">E16-E17</f>
        <v>0</v>
      </c>
      <c r="F21" s="50">
        <f t="shared" ca="1" si="9"/>
        <v>0</v>
      </c>
      <c r="G21" s="50">
        <f t="shared" ca="1" si="9"/>
        <v>8428.0352515210507</v>
      </c>
      <c r="H21" s="50">
        <f t="shared" ca="1" si="9"/>
        <v>36130.843589782715</v>
      </c>
      <c r="I21" s="50">
        <f t="shared" ca="1" si="9"/>
        <v>47228.33098060792</v>
      </c>
      <c r="J21" s="50">
        <f t="shared" ca="1" si="9"/>
        <v>73416.855870267551</v>
      </c>
      <c r="K21" s="50">
        <f t="shared" ca="1" si="9"/>
        <v>96561.618537256669</v>
      </c>
      <c r="L21" s="50">
        <f t="shared" ca="1" si="9"/>
        <v>122692.95910485952</v>
      </c>
      <c r="M21" s="50">
        <f t="shared" ca="1" si="9"/>
        <v>147218.81500721694</v>
      </c>
      <c r="N21" s="50">
        <f t="shared" ca="1" si="9"/>
        <v>164748.63871795006</v>
      </c>
      <c r="O21" s="50">
        <f t="shared" ca="1" si="9"/>
        <v>185049.76444957088</v>
      </c>
      <c r="P21" s="50">
        <f t="shared" ca="1" si="9"/>
        <v>203353.98938286304</v>
      </c>
      <c r="Q21" s="50">
        <f t="shared" ca="1" si="9"/>
        <v>223582.88482000414</v>
      </c>
      <c r="R21" s="50">
        <f t="shared" ca="1" si="9"/>
        <v>241637.99946285397</v>
      </c>
      <c r="S21" s="50">
        <f t="shared" ca="1" si="9"/>
        <v>258368.3507806882</v>
      </c>
      <c r="T21" s="50">
        <f t="shared" ca="1" si="9"/>
        <v>275756.70010567142</v>
      </c>
      <c r="U21" s="50">
        <f t="shared" ca="1" si="9"/>
        <v>299694.92092733871</v>
      </c>
      <c r="V21" s="50">
        <f t="shared" ca="1" si="9"/>
        <v>325519.0331157567</v>
      </c>
      <c r="W21" s="50">
        <f t="shared" ca="1" si="9"/>
        <v>352349.56857817399</v>
      </c>
      <c r="X21" s="48"/>
    </row>
    <row r="22" spans="1:24" s="25" customFormat="1" x14ac:dyDescent="0.2">
      <c r="A22" s="14">
        <f t="shared" si="1"/>
        <v>22</v>
      </c>
      <c r="B22" s="1" t="s">
        <v>94</v>
      </c>
      <c r="C22" s="1"/>
      <c r="D22" s="21">
        <f ca="1">IF('EBSCS Cap'!D14&gt;=0,IF(D21*D23&gt;'EBSCS Cap'!D14,'EBSCS Cap'!D14,D21*D23),0)</f>
        <v>0</v>
      </c>
      <c r="E22" s="21">
        <f ca="1">IF('EBSCS Cap'!E14&gt;=0,IF(E21*E23&gt;'EBSCS Cap'!E14,'EBSCS Cap'!E14,E21*E23),0)</f>
        <v>0</v>
      </c>
      <c r="F22" s="21">
        <f ca="1">IF('EBSCS Cap'!F14&gt;=0,IF(F21*F23&gt;'EBSCS Cap'!F14,'EBSCS Cap'!F14,F21*F23),0)</f>
        <v>0</v>
      </c>
      <c r="G22" s="21">
        <f ca="1">IF('EBSCS Cap'!G14&gt;=0,IF(G21*G23&gt;'EBSCS Cap'!G14,'EBSCS Cap'!G14,G21*G23),0)</f>
        <v>8428.0352515210507</v>
      </c>
      <c r="H22" s="21">
        <f ca="1">IF('EBSCS Cap'!H14&gt;=0,IF(H21*H23&gt;'EBSCS Cap'!H14,'EBSCS Cap'!H14,H21*H23),0)</f>
        <v>84.505041873842856</v>
      </c>
      <c r="I22" s="21">
        <f ca="1">IF('EBSCS Cap'!I14&gt;=0,IF(I21*I23&gt;'EBSCS Cap'!I14,'EBSCS Cap'!I14,I21*I23),0)</f>
        <v>0</v>
      </c>
      <c r="J22" s="21">
        <f ca="1">IF('EBSCS Cap'!J14&gt;=0,IF(J21*J23&gt;'EBSCS Cap'!J14,'EBSCS Cap'!J14,J21*J23),0)</f>
        <v>0</v>
      </c>
      <c r="K22" s="21">
        <f ca="1">IF('EBSCS Cap'!K14&gt;=0,IF(K21*K23&gt;'EBSCS Cap'!K14,'EBSCS Cap'!K14,K21*K23),0)</f>
        <v>0</v>
      </c>
      <c r="L22" s="21">
        <f ca="1">IF('EBSCS Cap'!L14&gt;=0,IF(L21*L23&gt;'EBSCS Cap'!L14,'EBSCS Cap'!L14,L21*L23),0)</f>
        <v>0</v>
      </c>
      <c r="M22" s="21">
        <f ca="1">IF('EBSCS Cap'!M14&gt;=0,IF(M21*M23&gt;'EBSCS Cap'!M14,'EBSCS Cap'!M14,M21*M23),0)</f>
        <v>0</v>
      </c>
      <c r="N22" s="21">
        <f ca="1">IF('EBSCS Cap'!N14&gt;=0,IF(N21*N23&gt;'EBSCS Cap'!N14,'EBSCS Cap'!N14,N21*N23),0)</f>
        <v>0</v>
      </c>
      <c r="O22" s="21">
        <f ca="1">IF('EBSCS Cap'!O14&gt;=0,IF(O21*O23&gt;'EBSCS Cap'!O14,'EBSCS Cap'!O14,O21*O23),0)</f>
        <v>0</v>
      </c>
      <c r="P22" s="21">
        <f ca="1">IF('EBSCS Cap'!P14&gt;=0,IF(P21*P23&gt;'EBSCS Cap'!P14,'EBSCS Cap'!P14,P21*P23),0)</f>
        <v>0</v>
      </c>
      <c r="Q22" s="21">
        <f ca="1">IF('EBSCS Cap'!Q14&gt;=0,IF(Q21*Q23&gt;'EBSCS Cap'!Q14,'EBSCS Cap'!Q14,Q21*Q23),0)</f>
        <v>0</v>
      </c>
      <c r="R22" s="21">
        <f ca="1">IF('EBSCS Cap'!R14&gt;=0,IF(R21*R23&gt;'EBSCS Cap'!R14,'EBSCS Cap'!R14,R21*R23),0)</f>
        <v>0</v>
      </c>
      <c r="S22" s="21">
        <f ca="1">IF('EBSCS Cap'!S14&gt;=0,IF(S21*S23&gt;'EBSCS Cap'!S14,'EBSCS Cap'!S14,S21*S23),0)</f>
        <v>0</v>
      </c>
      <c r="T22" s="21">
        <f ca="1">IF('EBSCS Cap'!T14&gt;=0,IF(T21*T23&gt;'EBSCS Cap'!T14,'EBSCS Cap'!T14,T21*T23),0)</f>
        <v>0</v>
      </c>
      <c r="U22" s="21">
        <f ca="1">IF('EBSCS Cap'!U14&gt;=0,IF(U21*U23&gt;'EBSCS Cap'!U14,'EBSCS Cap'!U14,U21*U23),0)</f>
        <v>0</v>
      </c>
      <c r="V22" s="21">
        <f ca="1">IF('EBSCS Cap'!V14&gt;=0,IF(V21*V23&gt;'EBSCS Cap'!V14,'EBSCS Cap'!V14,V21*V23),0)</f>
        <v>0</v>
      </c>
      <c r="W22" s="21">
        <f ca="1">IF('EBSCS Cap'!W14&gt;=0,IF(W21*W23&gt;'EBSCS Cap'!W14,'EBSCS Cap'!W14,W21*W23),0)</f>
        <v>0</v>
      </c>
      <c r="X22" s="22"/>
    </row>
    <row r="23" spans="1:24" s="25" customFormat="1" x14ac:dyDescent="0.2">
      <c r="A23" s="14">
        <f t="shared" si="1"/>
        <v>23</v>
      </c>
      <c r="B23" s="1" t="s">
        <v>93</v>
      </c>
      <c r="C23" s="1"/>
      <c r="D23" s="51">
        <v>1</v>
      </c>
      <c r="E23" s="47">
        <f>D23</f>
        <v>1</v>
      </c>
      <c r="F23" s="47">
        <f t="shared" ref="F23:W23" si="10">E23</f>
        <v>1</v>
      </c>
      <c r="G23" s="47">
        <f t="shared" si="10"/>
        <v>1</v>
      </c>
      <c r="H23" s="47">
        <f t="shared" si="10"/>
        <v>1</v>
      </c>
      <c r="I23" s="47">
        <f t="shared" si="10"/>
        <v>1</v>
      </c>
      <c r="J23" s="47">
        <f t="shared" si="10"/>
        <v>1</v>
      </c>
      <c r="K23" s="47">
        <f t="shared" si="10"/>
        <v>1</v>
      </c>
      <c r="L23" s="47">
        <f t="shared" si="10"/>
        <v>1</v>
      </c>
      <c r="M23" s="47">
        <f t="shared" si="10"/>
        <v>1</v>
      </c>
      <c r="N23" s="47">
        <f t="shared" si="10"/>
        <v>1</v>
      </c>
      <c r="O23" s="47">
        <f t="shared" si="10"/>
        <v>1</v>
      </c>
      <c r="P23" s="47">
        <f t="shared" si="10"/>
        <v>1</v>
      </c>
      <c r="Q23" s="47">
        <f t="shared" si="10"/>
        <v>1</v>
      </c>
      <c r="R23" s="47">
        <f t="shared" si="10"/>
        <v>1</v>
      </c>
      <c r="S23" s="47">
        <f t="shared" si="10"/>
        <v>1</v>
      </c>
      <c r="T23" s="47">
        <f t="shared" si="10"/>
        <v>1</v>
      </c>
      <c r="U23" s="47">
        <f t="shared" si="10"/>
        <v>1</v>
      </c>
      <c r="V23" s="47">
        <f t="shared" si="10"/>
        <v>1</v>
      </c>
      <c r="W23" s="47">
        <f t="shared" si="10"/>
        <v>1</v>
      </c>
      <c r="X23" s="22"/>
    </row>
    <row r="24" spans="1:24" s="25" customFormat="1" x14ac:dyDescent="0.2">
      <c r="A24" s="14">
        <f t="shared" si="1"/>
        <v>24</v>
      </c>
      <c r="B24" s="1"/>
      <c r="C24" s="1"/>
      <c r="D24" s="21"/>
      <c r="E24" s="21"/>
      <c r="F24" s="21"/>
      <c r="G24" s="21"/>
      <c r="H24" s="21"/>
      <c r="I24" s="21"/>
      <c r="J24" s="84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2"/>
    </row>
    <row r="25" spans="1:24" s="25" customFormat="1" x14ac:dyDescent="0.2">
      <c r="A25" s="14">
        <f t="shared" si="1"/>
        <v>25</v>
      </c>
      <c r="B25" s="12" t="s">
        <v>120</v>
      </c>
      <c r="C25" s="12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2"/>
    </row>
    <row r="26" spans="1:24" s="25" customFormat="1" x14ac:dyDescent="0.2">
      <c r="A26" s="14">
        <f t="shared" si="1"/>
        <v>26</v>
      </c>
      <c r="B26" s="5" t="s">
        <v>258</v>
      </c>
      <c r="C26" s="12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2"/>
    </row>
    <row r="27" spans="1:24" s="25" customFormat="1" x14ac:dyDescent="0.2">
      <c r="A27" s="14">
        <f t="shared" si="1"/>
        <v>27</v>
      </c>
      <c r="B27" s="1" t="s">
        <v>97</v>
      </c>
      <c r="C27" s="1"/>
      <c r="D27" s="21">
        <f ca="1">D21-D22</f>
        <v>0</v>
      </c>
      <c r="E27" s="21">
        <f t="shared" ref="E27:W27" ca="1" si="11">E21-E22</f>
        <v>0</v>
      </c>
      <c r="F27" s="21">
        <f t="shared" ca="1" si="11"/>
        <v>0</v>
      </c>
      <c r="G27" s="21">
        <f t="shared" ca="1" si="11"/>
        <v>0</v>
      </c>
      <c r="H27" s="21">
        <f t="shared" ca="1" si="11"/>
        <v>36046.338547908876</v>
      </c>
      <c r="I27" s="21">
        <f t="shared" ca="1" si="11"/>
        <v>47228.33098060792</v>
      </c>
      <c r="J27" s="21">
        <f t="shared" ca="1" si="11"/>
        <v>73416.855870267551</v>
      </c>
      <c r="K27" s="21">
        <f t="shared" ca="1" si="11"/>
        <v>96561.618537256669</v>
      </c>
      <c r="L27" s="21">
        <f t="shared" ca="1" si="11"/>
        <v>122692.95910485952</v>
      </c>
      <c r="M27" s="21">
        <f t="shared" ca="1" si="11"/>
        <v>147218.81500721694</v>
      </c>
      <c r="N27" s="21">
        <f t="shared" ca="1" si="11"/>
        <v>164748.63871795006</v>
      </c>
      <c r="O27" s="21">
        <f t="shared" ca="1" si="11"/>
        <v>185049.76444957088</v>
      </c>
      <c r="P27" s="21">
        <f t="shared" ca="1" si="11"/>
        <v>203353.98938286304</v>
      </c>
      <c r="Q27" s="21">
        <f t="shared" ca="1" si="11"/>
        <v>223582.88482000414</v>
      </c>
      <c r="R27" s="21">
        <f t="shared" ca="1" si="11"/>
        <v>241637.99946285397</v>
      </c>
      <c r="S27" s="21">
        <f t="shared" ca="1" si="11"/>
        <v>258368.3507806882</v>
      </c>
      <c r="T27" s="21">
        <f t="shared" ca="1" si="11"/>
        <v>275756.70010567142</v>
      </c>
      <c r="U27" s="21">
        <f t="shared" ca="1" si="11"/>
        <v>299694.92092733871</v>
      </c>
      <c r="V27" s="21">
        <f t="shared" ca="1" si="11"/>
        <v>325519.0331157567</v>
      </c>
      <c r="W27" s="21">
        <f t="shared" ca="1" si="11"/>
        <v>352349.56857817399</v>
      </c>
      <c r="X27" s="22"/>
    </row>
    <row r="28" spans="1:24" s="25" customFormat="1" x14ac:dyDescent="0.2">
      <c r="A28" s="14">
        <f t="shared" si="1"/>
        <v>28</v>
      </c>
      <c r="B28" s="1"/>
      <c r="C28" s="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2"/>
    </row>
    <row r="29" spans="1:24" s="25" customFormat="1" x14ac:dyDescent="0.2">
      <c r="A29" s="14">
        <f t="shared" si="1"/>
        <v>29</v>
      </c>
      <c r="B29" s="1" t="s">
        <v>256</v>
      </c>
      <c r="C29" s="1"/>
      <c r="D29" s="170">
        <v>0.99</v>
      </c>
      <c r="E29" s="171">
        <f>D29</f>
        <v>0.99</v>
      </c>
      <c r="F29" s="171">
        <f t="shared" ref="F29:W29" si="12">E29</f>
        <v>0.99</v>
      </c>
      <c r="G29" s="171">
        <f t="shared" si="12"/>
        <v>0.99</v>
      </c>
      <c r="H29" s="171">
        <f t="shared" si="12"/>
        <v>0.99</v>
      </c>
      <c r="I29" s="171">
        <f t="shared" si="12"/>
        <v>0.99</v>
      </c>
      <c r="J29" s="171">
        <f t="shared" si="12"/>
        <v>0.99</v>
      </c>
      <c r="K29" s="171">
        <f t="shared" si="12"/>
        <v>0.99</v>
      </c>
      <c r="L29" s="171">
        <f t="shared" si="12"/>
        <v>0.99</v>
      </c>
      <c r="M29" s="171">
        <f t="shared" si="12"/>
        <v>0.99</v>
      </c>
      <c r="N29" s="171">
        <f t="shared" si="12"/>
        <v>0.99</v>
      </c>
      <c r="O29" s="171">
        <f t="shared" si="12"/>
        <v>0.99</v>
      </c>
      <c r="P29" s="171">
        <f t="shared" si="12"/>
        <v>0.99</v>
      </c>
      <c r="Q29" s="171">
        <f t="shared" si="12"/>
        <v>0.99</v>
      </c>
      <c r="R29" s="171">
        <f t="shared" si="12"/>
        <v>0.99</v>
      </c>
      <c r="S29" s="171">
        <f t="shared" si="12"/>
        <v>0.99</v>
      </c>
      <c r="T29" s="171">
        <f t="shared" si="12"/>
        <v>0.99</v>
      </c>
      <c r="U29" s="171">
        <f t="shared" si="12"/>
        <v>0.99</v>
      </c>
      <c r="V29" s="171">
        <f t="shared" si="12"/>
        <v>0.99</v>
      </c>
      <c r="W29" s="171">
        <f t="shared" si="12"/>
        <v>0.99</v>
      </c>
      <c r="X29" s="22"/>
    </row>
    <row r="30" spans="1:24" s="25" customFormat="1" x14ac:dyDescent="0.2">
      <c r="A30" s="14">
        <f t="shared" si="1"/>
        <v>30</v>
      </c>
      <c r="B30" s="1" t="s">
        <v>328</v>
      </c>
      <c r="C30" s="32">
        <f>-'EBSCS Cap'!C32</f>
        <v>-2000</v>
      </c>
      <c r="D30" s="32">
        <f>-'EBSCS Cap'!D32</f>
        <v>-1979</v>
      </c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22"/>
    </row>
    <row r="31" spans="1:24" s="25" customFormat="1" x14ac:dyDescent="0.2">
      <c r="A31" s="14">
        <f t="shared" si="1"/>
        <v>31</v>
      </c>
      <c r="B31" s="1" t="s">
        <v>251</v>
      </c>
      <c r="D31" s="21">
        <f t="shared" ref="D31:W31" ca="1" si="13">D27*D29</f>
        <v>0</v>
      </c>
      <c r="E31" s="21">
        <f t="shared" ca="1" si="13"/>
        <v>0</v>
      </c>
      <c r="F31" s="21">
        <f t="shared" ca="1" si="13"/>
        <v>0</v>
      </c>
      <c r="G31" s="21">
        <f t="shared" ca="1" si="13"/>
        <v>0</v>
      </c>
      <c r="H31" s="21">
        <f t="shared" ca="1" si="13"/>
        <v>35685.875162429787</v>
      </c>
      <c r="I31" s="21">
        <f t="shared" ca="1" si="13"/>
        <v>46756.04767080184</v>
      </c>
      <c r="J31" s="21">
        <f t="shared" ca="1" si="13"/>
        <v>72682.687311564878</v>
      </c>
      <c r="K31" s="21">
        <f t="shared" ca="1" si="13"/>
        <v>95596.002351884104</v>
      </c>
      <c r="L31" s="21">
        <f t="shared" ca="1" si="13"/>
        <v>121466.02951381092</v>
      </c>
      <c r="M31" s="21">
        <f t="shared" ca="1" si="13"/>
        <v>145746.62685714476</v>
      </c>
      <c r="N31" s="21">
        <f t="shared" ca="1" si="13"/>
        <v>163101.15233077056</v>
      </c>
      <c r="O31" s="21">
        <f t="shared" ca="1" si="13"/>
        <v>183199.26680507517</v>
      </c>
      <c r="P31" s="21">
        <f t="shared" ca="1" si="13"/>
        <v>201320.44948903442</v>
      </c>
      <c r="Q31" s="21">
        <f t="shared" ca="1" si="13"/>
        <v>221347.0559718041</v>
      </c>
      <c r="R31" s="21">
        <f t="shared" ca="1" si="13"/>
        <v>239221.61946822543</v>
      </c>
      <c r="S31" s="21">
        <f t="shared" ca="1" si="13"/>
        <v>255784.66727288131</v>
      </c>
      <c r="T31" s="21">
        <f t="shared" ca="1" si="13"/>
        <v>272999.13310461468</v>
      </c>
      <c r="U31" s="21">
        <f t="shared" ca="1" si="13"/>
        <v>296697.97171806532</v>
      </c>
      <c r="V31" s="21">
        <f t="shared" ca="1" si="13"/>
        <v>322263.84278459911</v>
      </c>
      <c r="W31" s="21">
        <f t="shared" ca="1" si="13"/>
        <v>348826.07289239223</v>
      </c>
      <c r="X31" s="22"/>
    </row>
    <row r="32" spans="1:24" s="25" customFormat="1" x14ac:dyDescent="0.2">
      <c r="A32" s="14">
        <f t="shared" si="1"/>
        <v>32</v>
      </c>
      <c r="B32" s="1" t="s">
        <v>329</v>
      </c>
      <c r="C32" s="25">
        <f>C30+C31</f>
        <v>-2000</v>
      </c>
      <c r="D32" s="25">
        <f t="shared" ref="D32:W32" ca="1" si="14">D30+D31</f>
        <v>-1979</v>
      </c>
      <c r="E32" s="25">
        <f t="shared" ca="1" si="14"/>
        <v>0</v>
      </c>
      <c r="F32" s="25">
        <f t="shared" ca="1" si="14"/>
        <v>0</v>
      </c>
      <c r="G32" s="25">
        <f t="shared" ca="1" si="14"/>
        <v>0</v>
      </c>
      <c r="H32" s="25">
        <f t="shared" ca="1" si="14"/>
        <v>35685.875162429787</v>
      </c>
      <c r="I32" s="25">
        <f t="shared" ca="1" si="14"/>
        <v>46756.04767080184</v>
      </c>
      <c r="J32" s="25">
        <f t="shared" ca="1" si="14"/>
        <v>72682.687311564878</v>
      </c>
      <c r="K32" s="25">
        <f t="shared" ca="1" si="14"/>
        <v>95596.002351884104</v>
      </c>
      <c r="L32" s="25">
        <f t="shared" ca="1" si="14"/>
        <v>121466.02951381092</v>
      </c>
      <c r="M32" s="25">
        <f t="shared" ca="1" si="14"/>
        <v>145746.62685714476</v>
      </c>
      <c r="N32" s="25">
        <f t="shared" ca="1" si="14"/>
        <v>163101.15233077056</v>
      </c>
      <c r="O32" s="25">
        <f t="shared" ca="1" si="14"/>
        <v>183199.26680507517</v>
      </c>
      <c r="P32" s="25">
        <f t="shared" ca="1" si="14"/>
        <v>201320.44948903442</v>
      </c>
      <c r="Q32" s="25">
        <f t="shared" ca="1" si="14"/>
        <v>221347.0559718041</v>
      </c>
      <c r="R32" s="25">
        <f t="shared" ca="1" si="14"/>
        <v>239221.61946822543</v>
      </c>
      <c r="S32" s="25">
        <f t="shared" ca="1" si="14"/>
        <v>255784.66727288131</v>
      </c>
      <c r="T32" s="25">
        <f t="shared" ca="1" si="14"/>
        <v>272999.13310461468</v>
      </c>
      <c r="U32" s="25">
        <f t="shared" ca="1" si="14"/>
        <v>296697.97171806532</v>
      </c>
      <c r="V32" s="25">
        <f t="shared" ca="1" si="14"/>
        <v>322263.84278459911</v>
      </c>
      <c r="W32" s="25">
        <f t="shared" ca="1" si="14"/>
        <v>348826.07289239223</v>
      </c>
      <c r="X32" s="22"/>
    </row>
    <row r="33" spans="1:24" s="25" customFormat="1" x14ac:dyDescent="0.2">
      <c r="A33" s="14">
        <f t="shared" si="1"/>
        <v>33</v>
      </c>
      <c r="B33" s="1"/>
      <c r="C33" s="32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2"/>
    </row>
    <row r="34" spans="1:24" s="25" customFormat="1" x14ac:dyDescent="0.2">
      <c r="A34" s="14">
        <f t="shared" si="1"/>
        <v>34</v>
      </c>
      <c r="B34" s="5" t="s">
        <v>259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144"/>
    </row>
    <row r="35" spans="1:24" s="25" customFormat="1" x14ac:dyDescent="0.2">
      <c r="A35" s="14">
        <f t="shared" si="1"/>
        <v>35</v>
      </c>
      <c r="B35" s="1" t="s">
        <v>249</v>
      </c>
      <c r="C35" s="150">
        <f>Assumptions!$C$79</f>
        <v>0.16500000000000001</v>
      </c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144"/>
    </row>
    <row r="36" spans="1:24" s="25" customFormat="1" x14ac:dyDescent="0.2">
      <c r="A36" s="143">
        <f t="shared" si="1"/>
        <v>36</v>
      </c>
      <c r="B36" s="1" t="s">
        <v>260</v>
      </c>
      <c r="D36" s="31">
        <f ca="1">IF(SUM($C$32:D32)&lt;0,0,IRR($C$32:D32))</f>
        <v>0</v>
      </c>
      <c r="E36" s="31">
        <f ca="1">IF(SUM($C$32:E32)&lt;0,0,IRR($C$32:E32))</f>
        <v>0</v>
      </c>
      <c r="F36" s="31">
        <f ca="1">IF(SUM($C$32:F32)&lt;0,0,IRR($C$32:F32))</f>
        <v>0</v>
      </c>
      <c r="G36" s="31">
        <f ca="1">IF(SUM($C$32:G32)&lt;0,0,IRR($C$32:G32))</f>
        <v>0</v>
      </c>
      <c r="H36" s="31">
        <f ca="1">IF(SUM($C$32:H32)&lt;0,0,IRR($C$32:H32))</f>
        <v>0.61745821971331472</v>
      </c>
      <c r="I36" s="31">
        <f ca="1">IF(SUM($C$32:I32)&lt;0,0,IRR($C$32:I32))</f>
        <v>0.81839112190869179</v>
      </c>
      <c r="J36" s="31">
        <f ca="1">IF(SUM($C$32:J32)&lt;0,0,IRR($C$32:J32))</f>
        <v>0.92299981869502412</v>
      </c>
      <c r="K36" s="31">
        <f ca="1">IF(SUM($C$32:K32)&lt;0,0,IRR($C$32:K32))</f>
        <v>0.97573576935854744</v>
      </c>
      <c r="L36" s="31">
        <f ca="1">IF(SUM($C$32:L32)&lt;0,0,IRR($C$32:L32))</f>
        <v>1.003875092886146</v>
      </c>
      <c r="M36" s="31">
        <f ca="1">IF(SUM($C$32:M32)&lt;0,0,IRR($C$32:M32))</f>
        <v>1.0188707144726543</v>
      </c>
      <c r="N36" s="31">
        <f ca="1">IF(SUM($C$32:N32)&lt;0,0,IRR($C$32:N32))</f>
        <v>1.0266138054150489</v>
      </c>
      <c r="O36" s="31">
        <f ca="1">IF(SUM($C$32:O32)&lt;0,0,IRR($C$32:O32))</f>
        <v>1.0307277212884347</v>
      </c>
      <c r="P36" s="31">
        <f ca="1">IF(SUM($C$32:P32)&lt;0,0,IRR($C$32:P32))</f>
        <v>1.0328983847043962</v>
      </c>
      <c r="Q36" s="31">
        <f ca="1">IF(SUM($C$32:Q32)&lt;0,0,IRR($C$32:Q32))</f>
        <v>1.0340549576226068</v>
      </c>
      <c r="R36" s="31">
        <f ca="1">IF(SUM($C$32:R32)&lt;0,0,IRR($C$32:R32))</f>
        <v>1.0346641137746067</v>
      </c>
      <c r="S36" s="31">
        <f ca="1">IF(SUM($C$32:S32)&lt;0,0,IRR($C$32:S32))</f>
        <v>1.0349826181461881</v>
      </c>
      <c r="T36" s="31">
        <f ca="1">IF(SUM($C$32:T32)&lt;0,0,IRR($C$32:T32))</f>
        <v>1.0351491861755442</v>
      </c>
      <c r="U36" s="31">
        <f ca="1">IF(SUM($C$32:U32)&lt;0,0,IRR($C$32:U32))</f>
        <v>1.0352379909686478</v>
      </c>
      <c r="V36" s="31">
        <f ca="1">IF(SUM($C$32:V32)&lt;0,0,IRR($C$32:V32))</f>
        <v>1.0352853398282331</v>
      </c>
      <c r="W36" s="31">
        <f ca="1">IF(SUM($C$32:W32)&lt;0,0,IRR($C$32:W32))</f>
        <v>1.0353105078150877</v>
      </c>
      <c r="X36" s="144"/>
    </row>
    <row r="37" spans="1:24" s="25" customFormat="1" x14ac:dyDescent="0.2">
      <c r="A37" s="143">
        <f t="shared" si="1"/>
        <v>37</v>
      </c>
      <c r="B37" s="1" t="s">
        <v>261</v>
      </c>
      <c r="C37" s="31"/>
      <c r="D37" s="21">
        <f ca="1">IF(D36&gt;$C$35,IF(C35&lt;$C$35,1,0),0)</f>
        <v>0</v>
      </c>
      <c r="E37" s="21">
        <f t="shared" ref="E37:W37" ca="1" si="15">IF(E36&gt;$C$35,IF(D36&lt;$C$35,1,0),0)</f>
        <v>0</v>
      </c>
      <c r="F37" s="21">
        <f t="shared" ca="1" si="15"/>
        <v>0</v>
      </c>
      <c r="G37" s="21">
        <f t="shared" ca="1" si="15"/>
        <v>0</v>
      </c>
      <c r="H37" s="21">
        <f t="shared" ca="1" si="15"/>
        <v>1</v>
      </c>
      <c r="I37" s="21">
        <f t="shared" ca="1" si="15"/>
        <v>0</v>
      </c>
      <c r="J37" s="21">
        <f t="shared" ca="1" si="15"/>
        <v>0</v>
      </c>
      <c r="K37" s="21">
        <f t="shared" ca="1" si="15"/>
        <v>0</v>
      </c>
      <c r="L37" s="21">
        <f t="shared" ca="1" si="15"/>
        <v>0</v>
      </c>
      <c r="M37" s="21">
        <f t="shared" ca="1" si="15"/>
        <v>0</v>
      </c>
      <c r="N37" s="21">
        <f t="shared" ca="1" si="15"/>
        <v>0</v>
      </c>
      <c r="O37" s="21">
        <f t="shared" ca="1" si="15"/>
        <v>0</v>
      </c>
      <c r="P37" s="21">
        <f t="shared" ca="1" si="15"/>
        <v>0</v>
      </c>
      <c r="Q37" s="21">
        <f t="shared" ca="1" si="15"/>
        <v>0</v>
      </c>
      <c r="R37" s="21">
        <f t="shared" ca="1" si="15"/>
        <v>0</v>
      </c>
      <c r="S37" s="21">
        <f t="shared" ca="1" si="15"/>
        <v>0</v>
      </c>
      <c r="T37" s="21">
        <f t="shared" ca="1" si="15"/>
        <v>0</v>
      </c>
      <c r="U37" s="21">
        <f t="shared" ca="1" si="15"/>
        <v>0</v>
      </c>
      <c r="V37" s="21">
        <f t="shared" ca="1" si="15"/>
        <v>0</v>
      </c>
      <c r="W37" s="21">
        <f t="shared" ca="1" si="15"/>
        <v>0</v>
      </c>
      <c r="X37" s="144"/>
    </row>
    <row r="38" spans="1:24" s="25" customFormat="1" x14ac:dyDescent="0.2">
      <c r="A38" s="143">
        <f t="shared" si="1"/>
        <v>38</v>
      </c>
      <c r="B38" s="1" t="s">
        <v>262</v>
      </c>
      <c r="C38" s="31"/>
      <c r="D38" s="21">
        <f ca="1">IF(SUM($D$37:D37)=0,D31/(1+$C$35)^D1,0)</f>
        <v>0</v>
      </c>
      <c r="E38" s="21">
        <f ca="1">IF(SUM($D$37:E37)=0,E31/(1+$C$35)^E1,0)</f>
        <v>0</v>
      </c>
      <c r="F38" s="21">
        <f ca="1">IF(SUM($D$37:F37)=0,F31/(1+$C$35)^F1,0)</f>
        <v>0</v>
      </c>
      <c r="G38" s="21">
        <f ca="1">IF(SUM($D$37:G37)=0,G31/(1+$C$35)^G1,0)</f>
        <v>0</v>
      </c>
      <c r="H38" s="21">
        <f ca="1">IF(SUM($D$37:H37)=0,H31/(1+$C$35)^H1,0)</f>
        <v>0</v>
      </c>
      <c r="I38" s="21">
        <f ca="1">IF(SUM($D$37:I37)=0,I31/(1+$C$35)^I1,0)</f>
        <v>0</v>
      </c>
      <c r="J38" s="21">
        <f ca="1">IF(SUM($D$37:J37)=0,J31/(1+$C$35)^J1,0)</f>
        <v>0</v>
      </c>
      <c r="K38" s="21">
        <f ca="1">IF(SUM($D$37:K37)=0,K31/(1+$C$35)^K1,0)</f>
        <v>0</v>
      </c>
      <c r="L38" s="21">
        <f ca="1">IF(SUM($D$37:L37)=0,L31/(1+$C$35)^L1,0)</f>
        <v>0</v>
      </c>
      <c r="M38" s="21">
        <f ca="1">IF(SUM($D$37:M37)=0,M31/(1+$C$35)^M1,0)</f>
        <v>0</v>
      </c>
      <c r="N38" s="21">
        <f ca="1">IF(SUM($D$37:N37)=0,N31/(1+$C$35)^N1,0)</f>
        <v>0</v>
      </c>
      <c r="O38" s="21">
        <f ca="1">IF(SUM($D$37:O37)=0,O31/(1+$C$35)^O1,0)</f>
        <v>0</v>
      </c>
      <c r="P38" s="21">
        <f ca="1">IF(SUM($D$37:P37)=0,P31/(1+$C$35)^P1,0)</f>
        <v>0</v>
      </c>
      <c r="Q38" s="21">
        <f ca="1">IF(SUM($D$37:Q37)=0,Q31/(1+$C$35)^Q1,0)</f>
        <v>0</v>
      </c>
      <c r="R38" s="21">
        <f ca="1">IF(SUM($D$37:R37)=0,R31/(1+$C$35)^R1,0)</f>
        <v>0</v>
      </c>
      <c r="S38" s="21">
        <f ca="1">IF(SUM($D$37:S37)=0,S31/(1+$C$35)^S1,0)</f>
        <v>0</v>
      </c>
      <c r="T38" s="21">
        <f ca="1">IF(SUM($D$37:T37)=0,T31/(1+$C$35)^T1,0)</f>
        <v>0</v>
      </c>
      <c r="U38" s="21">
        <f ca="1">IF(SUM($D$37:U37)=0,U31/(1+$C$35)^U1,0)</f>
        <v>0</v>
      </c>
      <c r="V38" s="21">
        <f ca="1">IF(SUM($D$37:V37)=0,V31/(1+$C$35)^V1,0)</f>
        <v>0</v>
      </c>
      <c r="W38" s="21">
        <f ca="1">IF(SUM($D$37:W37)=0,W31/(1+$C$35)^W1,0)</f>
        <v>0</v>
      </c>
      <c r="X38" s="144"/>
    </row>
    <row r="39" spans="1:24" s="145" customFormat="1" x14ac:dyDescent="0.2">
      <c r="A39" s="143">
        <f t="shared" si="1"/>
        <v>39</v>
      </c>
      <c r="B39" s="1" t="s">
        <v>263</v>
      </c>
      <c r="D39" s="21">
        <f ca="1">IF(D37=1,(-$C$30-($D$30/(1+$C$35)^$D$1)-SUM(C$38:$D38))*((1+$C$35)^D1),0)</f>
        <v>0</v>
      </c>
      <c r="E39" s="21">
        <f ca="1">IF(E37=1,(-$C$30-($D$30/(1+$C$35)^$D$1)-SUM($D$38:D38))*((1+$C$35)^E1),0)</f>
        <v>0</v>
      </c>
      <c r="F39" s="21">
        <f ca="1">IF(F37=1,(-$C$30-($D$30/(1+$C$35)^$D$1)-SUM($D$38:E38))*((1+$C$35)^F1),0)</f>
        <v>0</v>
      </c>
      <c r="G39" s="21">
        <f ca="1">IF(G37=1,(-$C$30-($D$30/(1+$C$35)^$D$1)-SUM($D$38:F38))*((1+$C$35)^G1),0)</f>
        <v>0</v>
      </c>
      <c r="H39" s="21">
        <f ca="1">IF(H37=1,(-$C$30-($D$30/(1+$C$35)^$D$1)-SUM($D$38:G38))*((1+$C$35)^H1),0)</f>
        <v>7937.4352499931274</v>
      </c>
      <c r="I39" s="21">
        <f ca="1">IF(I37=1,(-$C$30-($D$30/(1+$C$35)^$D$1)-SUM($D$38:H38))*((1+$C$35)^I1),0)</f>
        <v>0</v>
      </c>
      <c r="J39" s="21">
        <f ca="1">IF(J37=1,(-$C$30-($D$30/(1+$C$35)^$D$1)-SUM($D$38:I38))*((1+$C$35)^J1),0)</f>
        <v>0</v>
      </c>
      <c r="K39" s="21">
        <f ca="1">IF(K37=1,(-$C$30-($D$30/(1+$C$35)^$D$1)-SUM($D$38:J38))*((1+$C$35)^K1),0)</f>
        <v>0</v>
      </c>
      <c r="L39" s="21">
        <f ca="1">IF(L37=1,(-$C$30-($D$30/(1+$C$35)^$D$1)-SUM($D$38:K38))*((1+$C$35)^L1),0)</f>
        <v>0</v>
      </c>
      <c r="M39" s="21">
        <f ca="1">IF(M37=1,(-$C$30-($D$30/(1+$C$35)^$D$1)-SUM($D$38:L38))*((1+$C$35)^M1),0)</f>
        <v>0</v>
      </c>
      <c r="N39" s="21">
        <f ca="1">IF(N37=1,(-$C$30-($D$30/(1+$C$35)^$D$1)-SUM($D$38:M38))*((1+$C$35)^N1),0)</f>
        <v>0</v>
      </c>
      <c r="O39" s="21">
        <f ca="1">IF(O37=1,(-$C$30-($D$30/(1+$C$35)^$D$1)-SUM($D$38:N38))*((1+$C$35)^O1),0)</f>
        <v>0</v>
      </c>
      <c r="P39" s="21">
        <f ca="1">IF(P37=1,(-$C$30-($D$30/(1+$C$35)^$D$1)-SUM($D$38:O38))*((1+$C$35)^P1),0)</f>
        <v>0</v>
      </c>
      <c r="Q39" s="21">
        <f ca="1">IF(Q37=1,(-$C$30-($D$30/(1+$C$35)^$D$1)-SUM($D$38:P38))*((1+$C$35)^Q1),0)</f>
        <v>0</v>
      </c>
      <c r="R39" s="21">
        <f ca="1">IF(R37=1,(-$C$30-($D$30/(1+$C$35)^$D$1)-SUM($D$38:Q38))*((1+$C$35)^R1),0)</f>
        <v>0</v>
      </c>
      <c r="S39" s="21">
        <f ca="1">IF(S37=1,(-$C$30-($D$30/(1+$C$35)^$D$1)-SUM($D$38:R38))*((1+$C$35)^S1),0)</f>
        <v>0</v>
      </c>
      <c r="T39" s="21">
        <f ca="1">IF(T37=1,(-$C$30-($D$30/(1+$C$35)^$D$1)-SUM($D$38:S38))*((1+$C$35)^T1),0)</f>
        <v>0</v>
      </c>
      <c r="U39" s="21">
        <f ca="1">IF(U37=1,(-$C$30-($D$30/(1+$C$35)^$D$1)-SUM($D$38:T38))*((1+$C$35)^U1),0)</f>
        <v>0</v>
      </c>
      <c r="V39" s="21">
        <f ca="1">IF(V37=1,(-$C$30-($D$30/(1+$C$35)^$D$1)-SUM($D$38:U38))*((1+$C$35)^V1),0)</f>
        <v>0</v>
      </c>
      <c r="W39" s="21">
        <f ca="1">IF(W37=1,(-$C$30-($D$30/(1+$C$35)^$D$1)-SUM($D$38:V38))*((1+$C$35)^W1),0)</f>
        <v>0</v>
      </c>
      <c r="X39" s="146"/>
    </row>
    <row r="40" spans="1:24" customFormat="1" x14ac:dyDescent="0.2">
      <c r="A40" s="14">
        <f t="shared" si="1"/>
        <v>40</v>
      </c>
      <c r="B40" s="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106"/>
    </row>
    <row r="41" spans="1:24" s="25" customFormat="1" x14ac:dyDescent="0.2">
      <c r="A41" s="14">
        <f t="shared" si="1"/>
        <v>41</v>
      </c>
      <c r="B41" s="1" t="s">
        <v>252</v>
      </c>
      <c r="C41" s="21">
        <f>$C$30</f>
        <v>-2000</v>
      </c>
      <c r="D41" s="21">
        <f ca="1">IF(D36&lt;$C$35,D32,IF(D37=1,D39,0))</f>
        <v>-1979</v>
      </c>
      <c r="E41" s="21">
        <f t="shared" ref="E41:W41" ca="1" si="16">IF(E36&lt;$C$35,E32,IF(E37=1,E39,0))</f>
        <v>0</v>
      </c>
      <c r="F41" s="21">
        <f t="shared" ca="1" si="16"/>
        <v>0</v>
      </c>
      <c r="G41" s="21">
        <f t="shared" ca="1" si="16"/>
        <v>0</v>
      </c>
      <c r="H41" s="21">
        <f t="shared" ca="1" si="16"/>
        <v>7937.4352499931274</v>
      </c>
      <c r="I41" s="21">
        <f t="shared" ca="1" si="16"/>
        <v>0</v>
      </c>
      <c r="J41" s="21">
        <f t="shared" ca="1" si="16"/>
        <v>0</v>
      </c>
      <c r="K41" s="21">
        <f t="shared" ca="1" si="16"/>
        <v>0</v>
      </c>
      <c r="L41" s="21">
        <f t="shared" ca="1" si="16"/>
        <v>0</v>
      </c>
      <c r="M41" s="21">
        <f t="shared" ca="1" si="16"/>
        <v>0</v>
      </c>
      <c r="N41" s="21">
        <f t="shared" ca="1" si="16"/>
        <v>0</v>
      </c>
      <c r="O41" s="21">
        <f t="shared" ca="1" si="16"/>
        <v>0</v>
      </c>
      <c r="P41" s="21">
        <f t="shared" ca="1" si="16"/>
        <v>0</v>
      </c>
      <c r="Q41" s="21">
        <f t="shared" ca="1" si="16"/>
        <v>0</v>
      </c>
      <c r="R41" s="21">
        <f t="shared" ca="1" si="16"/>
        <v>0</v>
      </c>
      <c r="S41" s="21">
        <f t="shared" ca="1" si="16"/>
        <v>0</v>
      </c>
      <c r="T41" s="21">
        <f t="shared" ca="1" si="16"/>
        <v>0</v>
      </c>
      <c r="U41" s="21">
        <f t="shared" ca="1" si="16"/>
        <v>0</v>
      </c>
      <c r="V41" s="21">
        <f t="shared" ca="1" si="16"/>
        <v>0</v>
      </c>
      <c r="W41" s="21">
        <f t="shared" ca="1" si="16"/>
        <v>0</v>
      </c>
      <c r="X41" s="22"/>
    </row>
    <row r="42" spans="1:24" s="25" customFormat="1" x14ac:dyDescent="0.2">
      <c r="A42" s="14">
        <f t="shared" si="1"/>
        <v>42</v>
      </c>
      <c r="B42" s="1" t="s">
        <v>253</v>
      </c>
      <c r="C42" s="1"/>
      <c r="D42" s="150">
        <f ca="1">IF(SUM($C$41:D41)&lt;0,0,IRR($C$41:D41))</f>
        <v>0</v>
      </c>
      <c r="E42" s="150">
        <f ca="1">IF(SUM($C$41:E41)&lt;0,0,IRR($C$41:E41))</f>
        <v>0</v>
      </c>
      <c r="F42" s="150">
        <f ca="1">IF(SUM($C$41:F41)&lt;0,0,IRR($C$41:F41))</f>
        <v>0</v>
      </c>
      <c r="G42" s="150">
        <f ca="1">IF(SUM($C$41:G41)&lt;0,0,IRR($C$41:G41))</f>
        <v>0</v>
      </c>
      <c r="H42" s="150">
        <f ca="1">IF(SUM($C$41:H41)&lt;0,0,IRR($C$41:H41))</f>
        <v>0.16500000000000015</v>
      </c>
      <c r="I42" s="150">
        <f ca="1">IF(SUM($C$41:I41)&lt;0,0,IRR($C$41:I41))</f>
        <v>0.16500000000000015</v>
      </c>
      <c r="J42" s="150">
        <f ca="1">IF(SUM($C$41:J41)&lt;0,0,IRR($C$41:J41))</f>
        <v>0.16500000000000015</v>
      </c>
      <c r="K42" s="150">
        <f ca="1">IF(SUM($C$41:K41)&lt;0,0,IRR($C$41:K41))</f>
        <v>0.16500000000000015</v>
      </c>
      <c r="L42" s="150">
        <f ca="1">IF(SUM($C$41:L41)&lt;0,0,IRR($C$41:L41))</f>
        <v>0.16500000000000015</v>
      </c>
      <c r="M42" s="150">
        <f ca="1">IF(SUM($C$41:M41)&lt;0,0,IRR($C$41:M41))</f>
        <v>0.16500000000000015</v>
      </c>
      <c r="N42" s="150">
        <f ca="1">IF(SUM($C$41:N41)&lt;0,0,IRR($C$41:N41))</f>
        <v>0.16500000000000015</v>
      </c>
      <c r="O42" s="150">
        <f ca="1">IF(SUM($C$41:O41)&lt;0,0,IRR($C$41:O41))</f>
        <v>0.16500000000000015</v>
      </c>
      <c r="P42" s="150">
        <f ca="1">IF(SUM($C$41:P41)&lt;0,0,IRR($C$41:P41))</f>
        <v>0.16500000000000015</v>
      </c>
      <c r="Q42" s="150">
        <f ca="1">IF(SUM($C$41:Q41)&lt;0,0,IRR($C$41:Q41))</f>
        <v>0.16500000000000015</v>
      </c>
      <c r="R42" s="150">
        <f ca="1">IF(SUM($C$41:R41)&lt;0,0,IRR($C$41:R41))</f>
        <v>0.16500000000000015</v>
      </c>
      <c r="S42" s="150">
        <f ca="1">IF(SUM($C$41:S41)&lt;0,0,IRR($C$41:S41))</f>
        <v>0.16500000000000015</v>
      </c>
      <c r="T42" s="150">
        <f ca="1">IF(SUM($C$41:T41)&lt;0,0,IRR($C$41:T41))</f>
        <v>0.16500000000000015</v>
      </c>
      <c r="U42" s="150">
        <f ca="1">IF(SUM($C$41:U41)&lt;0,0,IRR($C$41:U41))</f>
        <v>0.16500000000000015</v>
      </c>
      <c r="V42" s="150">
        <f ca="1">IF(SUM($C$41:V41)&lt;0,0,IRR($C$41:V41))</f>
        <v>0.16500000000000015</v>
      </c>
      <c r="W42" s="150">
        <f ca="1">IF(SUM($C$41:W41)&lt;0,0,IRR($C$41:W41))</f>
        <v>0.16500000000000015</v>
      </c>
      <c r="X42" s="22"/>
    </row>
    <row r="43" spans="1:24" s="25" customFormat="1" x14ac:dyDescent="0.2">
      <c r="A43" s="14">
        <f t="shared" si="1"/>
        <v>43</v>
      </c>
      <c r="B43" s="1"/>
      <c r="C43" s="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22"/>
    </row>
    <row r="44" spans="1:24" s="25" customFormat="1" x14ac:dyDescent="0.2">
      <c r="A44" s="14">
        <f t="shared" si="1"/>
        <v>44</v>
      </c>
      <c r="B44" s="1" t="s">
        <v>254</v>
      </c>
      <c r="C44" s="1"/>
      <c r="D44" s="171">
        <f t="shared" ref="D44:W44" si="17">1-D29</f>
        <v>1.0000000000000009E-2</v>
      </c>
      <c r="E44" s="171">
        <f t="shared" si="17"/>
        <v>1.0000000000000009E-2</v>
      </c>
      <c r="F44" s="171">
        <f t="shared" si="17"/>
        <v>1.0000000000000009E-2</v>
      </c>
      <c r="G44" s="171">
        <f t="shared" si="17"/>
        <v>1.0000000000000009E-2</v>
      </c>
      <c r="H44" s="171">
        <f t="shared" si="17"/>
        <v>1.0000000000000009E-2</v>
      </c>
      <c r="I44" s="171">
        <f t="shared" si="17"/>
        <v>1.0000000000000009E-2</v>
      </c>
      <c r="J44" s="171">
        <f t="shared" si="17"/>
        <v>1.0000000000000009E-2</v>
      </c>
      <c r="K44" s="171">
        <f t="shared" si="17"/>
        <v>1.0000000000000009E-2</v>
      </c>
      <c r="L44" s="171">
        <f t="shared" si="17"/>
        <v>1.0000000000000009E-2</v>
      </c>
      <c r="M44" s="171">
        <f t="shared" si="17"/>
        <v>1.0000000000000009E-2</v>
      </c>
      <c r="N44" s="171">
        <f t="shared" si="17"/>
        <v>1.0000000000000009E-2</v>
      </c>
      <c r="O44" s="171">
        <f t="shared" si="17"/>
        <v>1.0000000000000009E-2</v>
      </c>
      <c r="P44" s="171">
        <f t="shared" si="17"/>
        <v>1.0000000000000009E-2</v>
      </c>
      <c r="Q44" s="171">
        <f t="shared" si="17"/>
        <v>1.0000000000000009E-2</v>
      </c>
      <c r="R44" s="171">
        <f t="shared" si="17"/>
        <v>1.0000000000000009E-2</v>
      </c>
      <c r="S44" s="171">
        <f t="shared" si="17"/>
        <v>1.0000000000000009E-2</v>
      </c>
      <c r="T44" s="171">
        <f t="shared" si="17"/>
        <v>1.0000000000000009E-2</v>
      </c>
      <c r="U44" s="171">
        <f t="shared" si="17"/>
        <v>1.0000000000000009E-2</v>
      </c>
      <c r="V44" s="171">
        <f t="shared" si="17"/>
        <v>1.0000000000000009E-2</v>
      </c>
      <c r="W44" s="171">
        <f t="shared" si="17"/>
        <v>1.0000000000000009E-2</v>
      </c>
      <c r="X44" s="22"/>
    </row>
    <row r="45" spans="1:24" s="25" customFormat="1" x14ac:dyDescent="0.2">
      <c r="A45" s="14">
        <f t="shared" si="1"/>
        <v>45</v>
      </c>
      <c r="B45" s="1" t="s">
        <v>255</v>
      </c>
      <c r="C45" s="1"/>
      <c r="D45" s="25">
        <f t="shared" ref="D45:W45" ca="1" si="18">IF(D36&lt;$C$35,D27-D31,IF(D37=1,(D39/D29)*D44,0))</f>
        <v>0</v>
      </c>
      <c r="E45" s="25">
        <f t="shared" ca="1" si="18"/>
        <v>0</v>
      </c>
      <c r="F45" s="25">
        <f t="shared" ca="1" si="18"/>
        <v>0</v>
      </c>
      <c r="G45" s="25">
        <f t="shared" ca="1" si="18"/>
        <v>0</v>
      </c>
      <c r="H45" s="25">
        <f t="shared" ca="1" si="18"/>
        <v>80.176113636294289</v>
      </c>
      <c r="I45" s="25">
        <f t="shared" ca="1" si="18"/>
        <v>0</v>
      </c>
      <c r="J45" s="25">
        <f t="shared" ca="1" si="18"/>
        <v>0</v>
      </c>
      <c r="K45" s="25">
        <f t="shared" ca="1" si="18"/>
        <v>0</v>
      </c>
      <c r="L45" s="25">
        <f t="shared" ca="1" si="18"/>
        <v>0</v>
      </c>
      <c r="M45" s="25">
        <f t="shared" ca="1" si="18"/>
        <v>0</v>
      </c>
      <c r="N45" s="25">
        <f t="shared" ca="1" si="18"/>
        <v>0</v>
      </c>
      <c r="O45" s="25">
        <f t="shared" ca="1" si="18"/>
        <v>0</v>
      </c>
      <c r="P45" s="25">
        <f t="shared" ca="1" si="18"/>
        <v>0</v>
      </c>
      <c r="Q45" s="25">
        <f t="shared" ca="1" si="18"/>
        <v>0</v>
      </c>
      <c r="R45" s="25">
        <f t="shared" ca="1" si="18"/>
        <v>0</v>
      </c>
      <c r="S45" s="25">
        <f t="shared" ca="1" si="18"/>
        <v>0</v>
      </c>
      <c r="T45" s="25">
        <f t="shared" ca="1" si="18"/>
        <v>0</v>
      </c>
      <c r="U45" s="25">
        <f t="shared" ca="1" si="18"/>
        <v>0</v>
      </c>
      <c r="V45" s="25">
        <f t="shared" ca="1" si="18"/>
        <v>0</v>
      </c>
      <c r="W45" s="25">
        <f t="shared" ca="1" si="18"/>
        <v>0</v>
      </c>
      <c r="X45" s="22"/>
    </row>
    <row r="46" spans="1:24" customFormat="1" x14ac:dyDescent="0.2">
      <c r="A46" s="14">
        <f t="shared" si="1"/>
        <v>46</v>
      </c>
      <c r="X46" s="106"/>
    </row>
    <row r="47" spans="1:24" s="25" customFormat="1" x14ac:dyDescent="0.2">
      <c r="A47" s="14">
        <f t="shared" si="1"/>
        <v>47</v>
      </c>
      <c r="B47" s="5" t="s">
        <v>264</v>
      </c>
      <c r="C47" s="1"/>
      <c r="X47" s="22"/>
    </row>
    <row r="48" spans="1:24" s="25" customFormat="1" x14ac:dyDescent="0.2">
      <c r="A48" s="14">
        <f t="shared" si="1"/>
        <v>48</v>
      </c>
      <c r="B48" s="1" t="s">
        <v>257</v>
      </c>
      <c r="C48" s="1"/>
      <c r="D48" s="21">
        <f ca="1">D27-D45</f>
        <v>0</v>
      </c>
      <c r="E48" s="21">
        <f t="shared" ref="E48:W48" ca="1" si="19">E27-E41-E45</f>
        <v>0</v>
      </c>
      <c r="F48" s="21">
        <f t="shared" ca="1" si="19"/>
        <v>0</v>
      </c>
      <c r="G48" s="21">
        <f t="shared" ca="1" si="19"/>
        <v>0</v>
      </c>
      <c r="H48" s="21">
        <f t="shared" ca="1" si="19"/>
        <v>28028.727184279454</v>
      </c>
      <c r="I48" s="21">
        <f t="shared" ca="1" si="19"/>
        <v>47228.33098060792</v>
      </c>
      <c r="J48" s="21">
        <f t="shared" ca="1" si="19"/>
        <v>73416.855870267551</v>
      </c>
      <c r="K48" s="21">
        <f t="shared" ca="1" si="19"/>
        <v>96561.618537256669</v>
      </c>
      <c r="L48" s="21">
        <f t="shared" ca="1" si="19"/>
        <v>122692.95910485952</v>
      </c>
      <c r="M48" s="21">
        <f t="shared" ca="1" si="19"/>
        <v>147218.81500721694</v>
      </c>
      <c r="N48" s="21">
        <f t="shared" ca="1" si="19"/>
        <v>164748.63871795006</v>
      </c>
      <c r="O48" s="21">
        <f t="shared" ca="1" si="19"/>
        <v>185049.76444957088</v>
      </c>
      <c r="P48" s="21">
        <f t="shared" ca="1" si="19"/>
        <v>203353.98938286304</v>
      </c>
      <c r="Q48" s="21">
        <f t="shared" ca="1" si="19"/>
        <v>223582.88482000414</v>
      </c>
      <c r="R48" s="21">
        <f t="shared" ca="1" si="19"/>
        <v>241637.99946285397</v>
      </c>
      <c r="S48" s="21">
        <f t="shared" ca="1" si="19"/>
        <v>258368.3507806882</v>
      </c>
      <c r="T48" s="21">
        <f t="shared" ca="1" si="19"/>
        <v>275756.70010567142</v>
      </c>
      <c r="U48" s="21">
        <f t="shared" ca="1" si="19"/>
        <v>299694.92092733871</v>
      </c>
      <c r="V48" s="21">
        <f t="shared" ca="1" si="19"/>
        <v>325519.0331157567</v>
      </c>
      <c r="W48" s="21">
        <f t="shared" ca="1" si="19"/>
        <v>352349.56857817399</v>
      </c>
      <c r="X48" s="22"/>
    </row>
    <row r="49" spans="1:24" s="25" customFormat="1" x14ac:dyDescent="0.2">
      <c r="A49" s="14">
        <f t="shared" si="1"/>
        <v>49</v>
      </c>
      <c r="B49" s="1"/>
      <c r="C49" s="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2"/>
    </row>
    <row r="50" spans="1:24" s="25" customFormat="1" x14ac:dyDescent="0.2">
      <c r="A50" s="14">
        <f t="shared" si="1"/>
        <v>50</v>
      </c>
      <c r="B50" s="1" t="s">
        <v>188</v>
      </c>
      <c r="C50" s="1"/>
      <c r="D50" s="169">
        <v>0.01</v>
      </c>
      <c r="E50" s="150">
        <f>D50</f>
        <v>0.01</v>
      </c>
      <c r="F50" s="150">
        <f t="shared" ref="F50:W50" si="20">E50</f>
        <v>0.01</v>
      </c>
      <c r="G50" s="150">
        <f t="shared" si="20"/>
        <v>0.01</v>
      </c>
      <c r="H50" s="150">
        <f t="shared" si="20"/>
        <v>0.01</v>
      </c>
      <c r="I50" s="150">
        <f t="shared" si="20"/>
        <v>0.01</v>
      </c>
      <c r="J50" s="150">
        <f t="shared" si="20"/>
        <v>0.01</v>
      </c>
      <c r="K50" s="150">
        <f t="shared" si="20"/>
        <v>0.01</v>
      </c>
      <c r="L50" s="150">
        <f t="shared" si="20"/>
        <v>0.01</v>
      </c>
      <c r="M50" s="150">
        <f t="shared" si="20"/>
        <v>0.01</v>
      </c>
      <c r="N50" s="150">
        <f t="shared" si="20"/>
        <v>0.01</v>
      </c>
      <c r="O50" s="150">
        <f t="shared" si="20"/>
        <v>0.01</v>
      </c>
      <c r="P50" s="150">
        <f t="shared" si="20"/>
        <v>0.01</v>
      </c>
      <c r="Q50" s="150">
        <f t="shared" si="20"/>
        <v>0.01</v>
      </c>
      <c r="R50" s="150">
        <f t="shared" si="20"/>
        <v>0.01</v>
      </c>
      <c r="S50" s="150">
        <f t="shared" si="20"/>
        <v>0.01</v>
      </c>
      <c r="T50" s="150">
        <f t="shared" si="20"/>
        <v>0.01</v>
      </c>
      <c r="U50" s="150">
        <f t="shared" si="20"/>
        <v>0.01</v>
      </c>
      <c r="V50" s="150">
        <f t="shared" si="20"/>
        <v>0.01</v>
      </c>
      <c r="W50" s="150">
        <f t="shared" si="20"/>
        <v>0.01</v>
      </c>
      <c r="X50" s="22"/>
    </row>
    <row r="51" spans="1:24" s="25" customFormat="1" x14ac:dyDescent="0.2">
      <c r="A51" s="14">
        <f t="shared" si="1"/>
        <v>51</v>
      </c>
      <c r="B51" s="1" t="s">
        <v>250</v>
      </c>
      <c r="C51" s="1"/>
      <c r="D51" s="21">
        <f ca="1">D50*D48</f>
        <v>0</v>
      </c>
      <c r="E51" s="21">
        <f t="shared" ref="E51:W51" ca="1" si="21">E50*E48</f>
        <v>0</v>
      </c>
      <c r="F51" s="21">
        <f t="shared" ca="1" si="21"/>
        <v>0</v>
      </c>
      <c r="G51" s="21">
        <f t="shared" ca="1" si="21"/>
        <v>0</v>
      </c>
      <c r="H51" s="21">
        <f t="shared" ca="1" si="21"/>
        <v>280.28727184279455</v>
      </c>
      <c r="I51" s="21">
        <f t="shared" ca="1" si="21"/>
        <v>472.28330980607922</v>
      </c>
      <c r="J51" s="21">
        <f t="shared" ca="1" si="21"/>
        <v>734.16855870267557</v>
      </c>
      <c r="K51" s="21">
        <f t="shared" ca="1" si="21"/>
        <v>965.61618537256675</v>
      </c>
      <c r="L51" s="21">
        <f t="shared" ca="1" si="21"/>
        <v>1226.9295910485953</v>
      </c>
      <c r="M51" s="21">
        <f t="shared" ca="1" si="21"/>
        <v>1472.1881500721695</v>
      </c>
      <c r="N51" s="21">
        <f t="shared" ca="1" si="21"/>
        <v>1647.4863871795005</v>
      </c>
      <c r="O51" s="21">
        <f t="shared" ca="1" si="21"/>
        <v>1850.4976444957088</v>
      </c>
      <c r="P51" s="21">
        <f t="shared" ca="1" si="21"/>
        <v>2033.5398938286305</v>
      </c>
      <c r="Q51" s="21">
        <f t="shared" ca="1" si="21"/>
        <v>2235.8288482000416</v>
      </c>
      <c r="R51" s="21">
        <f t="shared" ca="1" si="21"/>
        <v>2416.3799946285399</v>
      </c>
      <c r="S51" s="21">
        <f t="shared" ca="1" si="21"/>
        <v>2583.6835078068821</v>
      </c>
      <c r="T51" s="21">
        <f t="shared" ca="1" si="21"/>
        <v>2757.5670010567142</v>
      </c>
      <c r="U51" s="21">
        <f t="shared" ca="1" si="21"/>
        <v>2996.9492092733872</v>
      </c>
      <c r="V51" s="21">
        <f t="shared" ca="1" si="21"/>
        <v>3255.190331157567</v>
      </c>
      <c r="W51" s="21">
        <f t="shared" ca="1" si="21"/>
        <v>3523.4956857817401</v>
      </c>
      <c r="X51" s="22"/>
    </row>
    <row r="52" spans="1:24" s="25" customFormat="1" x14ac:dyDescent="0.2">
      <c r="A52" s="14">
        <f t="shared" si="1"/>
        <v>52</v>
      </c>
      <c r="B52" s="1" t="s">
        <v>185</v>
      </c>
      <c r="C52" s="1"/>
      <c r="D52" s="21">
        <f ca="1">D51</f>
        <v>0</v>
      </c>
      <c r="E52" s="21">
        <f t="shared" ref="E52:W52" ca="1" si="22">E51+E41</f>
        <v>0</v>
      </c>
      <c r="F52" s="21">
        <f t="shared" ca="1" si="22"/>
        <v>0</v>
      </c>
      <c r="G52" s="21">
        <f t="shared" ca="1" si="22"/>
        <v>0</v>
      </c>
      <c r="H52" s="21">
        <f t="shared" ca="1" si="22"/>
        <v>8217.7225218359217</v>
      </c>
      <c r="I52" s="21">
        <f t="shared" ca="1" si="22"/>
        <v>472.28330980607922</v>
      </c>
      <c r="J52" s="21">
        <f t="shared" ca="1" si="22"/>
        <v>734.16855870267557</v>
      </c>
      <c r="K52" s="21">
        <f t="shared" ca="1" si="22"/>
        <v>965.61618537256675</v>
      </c>
      <c r="L52" s="21">
        <f t="shared" ca="1" si="22"/>
        <v>1226.9295910485953</v>
      </c>
      <c r="M52" s="21">
        <f t="shared" ca="1" si="22"/>
        <v>1472.1881500721695</v>
      </c>
      <c r="N52" s="21">
        <f t="shared" ca="1" si="22"/>
        <v>1647.4863871795005</v>
      </c>
      <c r="O52" s="21">
        <f t="shared" ca="1" si="22"/>
        <v>1850.4976444957088</v>
      </c>
      <c r="P52" s="21">
        <f t="shared" ca="1" si="22"/>
        <v>2033.5398938286305</v>
      </c>
      <c r="Q52" s="21">
        <f t="shared" ca="1" si="22"/>
        <v>2235.8288482000416</v>
      </c>
      <c r="R52" s="21">
        <f t="shared" ca="1" si="22"/>
        <v>2416.3799946285399</v>
      </c>
      <c r="S52" s="21">
        <f t="shared" ca="1" si="22"/>
        <v>2583.6835078068821</v>
      </c>
      <c r="T52" s="21">
        <f t="shared" ca="1" si="22"/>
        <v>2757.5670010567142</v>
      </c>
      <c r="U52" s="21">
        <f t="shared" ca="1" si="22"/>
        <v>2996.9492092733872</v>
      </c>
      <c r="V52" s="21">
        <f t="shared" ca="1" si="22"/>
        <v>3255.190331157567</v>
      </c>
      <c r="W52" s="21">
        <f t="shared" ca="1" si="22"/>
        <v>3523.4956857817401</v>
      </c>
      <c r="X52" s="22"/>
    </row>
    <row r="53" spans="1:24" s="25" customFormat="1" x14ac:dyDescent="0.2">
      <c r="A53" s="14">
        <f t="shared" si="1"/>
        <v>53</v>
      </c>
      <c r="B53" s="1"/>
      <c r="C53" s="1"/>
      <c r="X53" s="22"/>
    </row>
    <row r="54" spans="1:24" s="25" customFormat="1" x14ac:dyDescent="0.2">
      <c r="A54" s="14">
        <f t="shared" si="1"/>
        <v>54</v>
      </c>
      <c r="B54" s="1" t="s">
        <v>186</v>
      </c>
      <c r="C54" s="1"/>
      <c r="D54" s="25">
        <f ca="1">D48-D51</f>
        <v>0</v>
      </c>
      <c r="E54" s="25">
        <f t="shared" ref="E54:W54" ca="1" si="23">E48-E51</f>
        <v>0</v>
      </c>
      <c r="F54" s="25">
        <f t="shared" ca="1" si="23"/>
        <v>0</v>
      </c>
      <c r="G54" s="25">
        <f t="shared" ca="1" si="23"/>
        <v>0</v>
      </c>
      <c r="H54" s="25">
        <f t="shared" ca="1" si="23"/>
        <v>27748.439912436661</v>
      </c>
      <c r="I54" s="25">
        <f t="shared" ca="1" si="23"/>
        <v>46756.04767080184</v>
      </c>
      <c r="J54" s="25">
        <f t="shared" ca="1" si="23"/>
        <v>72682.687311564878</v>
      </c>
      <c r="K54" s="25">
        <f t="shared" ca="1" si="23"/>
        <v>95596.002351884104</v>
      </c>
      <c r="L54" s="25">
        <f t="shared" ca="1" si="23"/>
        <v>121466.02951381092</v>
      </c>
      <c r="M54" s="25">
        <f t="shared" ca="1" si="23"/>
        <v>145746.62685714476</v>
      </c>
      <c r="N54" s="25">
        <f t="shared" ca="1" si="23"/>
        <v>163101.15233077056</v>
      </c>
      <c r="O54" s="25">
        <f t="shared" ca="1" si="23"/>
        <v>183199.26680507517</v>
      </c>
      <c r="P54" s="25">
        <f t="shared" ca="1" si="23"/>
        <v>201320.44948903442</v>
      </c>
      <c r="Q54" s="25">
        <f t="shared" ca="1" si="23"/>
        <v>221347.0559718041</v>
      </c>
      <c r="R54" s="25">
        <f t="shared" ca="1" si="23"/>
        <v>239221.61946822543</v>
      </c>
      <c r="S54" s="25">
        <f t="shared" ca="1" si="23"/>
        <v>255784.66727288131</v>
      </c>
      <c r="T54" s="25">
        <f t="shared" ca="1" si="23"/>
        <v>272999.13310461468</v>
      </c>
      <c r="U54" s="25">
        <f t="shared" ca="1" si="23"/>
        <v>296697.97171806532</v>
      </c>
      <c r="V54" s="25">
        <f t="shared" ca="1" si="23"/>
        <v>322263.84278459911</v>
      </c>
      <c r="W54" s="25">
        <f t="shared" ca="1" si="23"/>
        <v>348826.07289239223</v>
      </c>
      <c r="X54" s="22"/>
    </row>
    <row r="55" spans="1:24" s="25" customFormat="1" x14ac:dyDescent="0.2">
      <c r="A55" s="14">
        <f t="shared" si="1"/>
        <v>55</v>
      </c>
      <c r="B55" s="1" t="s">
        <v>187</v>
      </c>
      <c r="C55" s="1"/>
      <c r="D55" s="25">
        <f t="shared" ref="D55:W55" ca="1" si="24">D54+D45</f>
        <v>0</v>
      </c>
      <c r="E55" s="25">
        <f t="shared" ca="1" si="24"/>
        <v>0</v>
      </c>
      <c r="F55" s="25">
        <f t="shared" ca="1" si="24"/>
        <v>0</v>
      </c>
      <c r="G55" s="25">
        <f t="shared" ca="1" si="24"/>
        <v>0</v>
      </c>
      <c r="H55" s="25">
        <f t="shared" ca="1" si="24"/>
        <v>27828.616026072956</v>
      </c>
      <c r="I55" s="25">
        <f t="shared" ca="1" si="24"/>
        <v>46756.04767080184</v>
      </c>
      <c r="J55" s="25">
        <f t="shared" ca="1" si="24"/>
        <v>72682.687311564878</v>
      </c>
      <c r="K55" s="25">
        <f t="shared" ca="1" si="24"/>
        <v>95596.002351884104</v>
      </c>
      <c r="L55" s="25">
        <f t="shared" ca="1" si="24"/>
        <v>121466.02951381092</v>
      </c>
      <c r="M55" s="25">
        <f t="shared" ca="1" si="24"/>
        <v>145746.62685714476</v>
      </c>
      <c r="N55" s="25">
        <f t="shared" ca="1" si="24"/>
        <v>163101.15233077056</v>
      </c>
      <c r="O55" s="25">
        <f t="shared" ca="1" si="24"/>
        <v>183199.26680507517</v>
      </c>
      <c r="P55" s="25">
        <f t="shared" ca="1" si="24"/>
        <v>201320.44948903442</v>
      </c>
      <c r="Q55" s="25">
        <f t="shared" ca="1" si="24"/>
        <v>221347.0559718041</v>
      </c>
      <c r="R55" s="25">
        <f t="shared" ca="1" si="24"/>
        <v>239221.61946822543</v>
      </c>
      <c r="S55" s="25">
        <f t="shared" ca="1" si="24"/>
        <v>255784.66727288131</v>
      </c>
      <c r="T55" s="25">
        <f t="shared" ca="1" si="24"/>
        <v>272999.13310461468</v>
      </c>
      <c r="U55" s="25">
        <f t="shared" ca="1" si="24"/>
        <v>296697.97171806532</v>
      </c>
      <c r="V55" s="25">
        <f t="shared" ca="1" si="24"/>
        <v>322263.84278459911</v>
      </c>
      <c r="W55" s="25">
        <f t="shared" ca="1" si="24"/>
        <v>348826.07289239223</v>
      </c>
      <c r="X55" s="22"/>
    </row>
    <row r="56" spans="1:24" s="25" customFormat="1" x14ac:dyDescent="0.2">
      <c r="A56" s="14">
        <f t="shared" si="1"/>
        <v>56</v>
      </c>
      <c r="B56" s="39"/>
      <c r="C56" s="39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22"/>
    </row>
    <row r="57" spans="1:24" customFormat="1" x14ac:dyDescent="0.2"/>
    <row r="58" spans="1:24" customFormat="1" x14ac:dyDescent="0.2"/>
    <row r="59" spans="1:24" customFormat="1" x14ac:dyDescent="0.2"/>
    <row r="60" spans="1:24" customFormat="1" x14ac:dyDescent="0.2"/>
    <row r="61" spans="1:24" customFormat="1" x14ac:dyDescent="0.2"/>
    <row r="62" spans="1:24" customFormat="1" x14ac:dyDescent="0.2"/>
    <row r="63" spans="1:24" customFormat="1" x14ac:dyDescent="0.2"/>
    <row r="64" spans="1:24" customFormat="1" x14ac:dyDescent="0.2"/>
    <row r="65" spans="1:24" customFormat="1" x14ac:dyDescent="0.2"/>
    <row r="66" spans="1:24" customFormat="1" x14ac:dyDescent="0.2"/>
    <row r="67" spans="1:24" customFormat="1" x14ac:dyDescent="0.2"/>
    <row r="68" spans="1:24" customFormat="1" x14ac:dyDescent="0.2"/>
    <row r="69" spans="1:24" customFormat="1" x14ac:dyDescent="0.2"/>
    <row r="70" spans="1:24" customFormat="1" x14ac:dyDescent="0.2"/>
    <row r="71" spans="1:24" customFormat="1" x14ac:dyDescent="0.2"/>
    <row r="72" spans="1:24" customFormat="1" x14ac:dyDescent="0.2"/>
    <row r="73" spans="1:24" customFormat="1" x14ac:dyDescent="0.2"/>
    <row r="74" spans="1:24" s="39" customFormat="1" x14ac:dyDescent="0.2">
      <c r="A74" s="45"/>
      <c r="B74" s="43"/>
      <c r="C74" s="43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5"/>
    </row>
    <row r="75" spans="1:24" s="39" customFormat="1" x14ac:dyDescent="0.2">
      <c r="A75" s="45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5"/>
    </row>
    <row r="76" spans="1:24" s="39" customFormat="1" x14ac:dyDescent="0.2">
      <c r="A76" s="45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5"/>
    </row>
    <row r="77" spans="1:24" s="39" customFormat="1" x14ac:dyDescent="0.2">
      <c r="A77" s="45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5"/>
    </row>
    <row r="78" spans="1:24" s="39" customFormat="1" x14ac:dyDescent="0.2">
      <c r="A78" s="45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5"/>
    </row>
    <row r="79" spans="1:24" s="39" customFormat="1" x14ac:dyDescent="0.2">
      <c r="A79" s="45"/>
      <c r="D79" s="42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5"/>
    </row>
    <row r="80" spans="1:24" s="39" customFormat="1" x14ac:dyDescent="0.2">
      <c r="A80" s="45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5"/>
    </row>
    <row r="81" spans="1:24" s="39" customFormat="1" x14ac:dyDescent="0.2">
      <c r="A81" s="45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5"/>
    </row>
    <row r="82" spans="1:24" s="39" customFormat="1" x14ac:dyDescent="0.2">
      <c r="A82" s="45"/>
      <c r="B82" s="43"/>
      <c r="C82" s="43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5"/>
    </row>
    <row r="83" spans="1:24" s="39" customFormat="1" x14ac:dyDescent="0.2">
      <c r="A83" s="45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5"/>
    </row>
    <row r="84" spans="1:24" s="39" customFormat="1" x14ac:dyDescent="0.2">
      <c r="A84" s="45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5"/>
    </row>
    <row r="85" spans="1:24" s="39" customFormat="1" x14ac:dyDescent="0.2">
      <c r="A85" s="45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5"/>
    </row>
    <row r="86" spans="1:24" s="39" customFormat="1" x14ac:dyDescent="0.2">
      <c r="A86" s="45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5"/>
    </row>
    <row r="87" spans="1:24" s="39" customFormat="1" x14ac:dyDescent="0.2">
      <c r="A87" s="45"/>
      <c r="D87" s="42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5"/>
    </row>
    <row r="88" spans="1:24" s="39" customFormat="1" x14ac:dyDescent="0.2">
      <c r="A88" s="45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5"/>
    </row>
    <row r="89" spans="1:24" s="39" customFormat="1" x14ac:dyDescent="0.2">
      <c r="A89" s="45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5"/>
    </row>
    <row r="90" spans="1:24" s="39" customFormat="1" x14ac:dyDescent="0.2">
      <c r="A90" s="45"/>
      <c r="B90" s="43"/>
      <c r="C90" s="43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5"/>
    </row>
    <row r="91" spans="1:24" s="39" customFormat="1" x14ac:dyDescent="0.2">
      <c r="A91" s="45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5"/>
    </row>
    <row r="92" spans="1:24" s="39" customFormat="1" x14ac:dyDescent="0.2">
      <c r="A92" s="45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5"/>
    </row>
    <row r="93" spans="1:24" s="39" customFormat="1" x14ac:dyDescent="0.2">
      <c r="A93" s="45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5"/>
    </row>
    <row r="94" spans="1:24" s="39" customFormat="1" x14ac:dyDescent="0.2">
      <c r="A94" s="45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5"/>
    </row>
    <row r="95" spans="1:24" s="39" customFormat="1" x14ac:dyDescent="0.2">
      <c r="A95" s="45"/>
      <c r="D95" s="42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5"/>
    </row>
    <row r="96" spans="1:24" s="39" customFormat="1" x14ac:dyDescent="0.2">
      <c r="A96" s="45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5"/>
    </row>
    <row r="97" spans="1:24" s="39" customFormat="1" x14ac:dyDescent="0.2">
      <c r="A97" s="45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5"/>
    </row>
    <row r="98" spans="1:24" s="39" customFormat="1" x14ac:dyDescent="0.2">
      <c r="A98" s="45"/>
      <c r="B98" s="43"/>
      <c r="C98" s="43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5"/>
    </row>
    <row r="99" spans="1:24" s="39" customFormat="1" x14ac:dyDescent="0.2">
      <c r="A99" s="45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5"/>
    </row>
    <row r="100" spans="1:24" s="39" customFormat="1" x14ac:dyDescent="0.2">
      <c r="A100" s="45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5"/>
    </row>
    <row r="101" spans="1:24" s="39" customFormat="1" x14ac:dyDescent="0.2">
      <c r="A101" s="45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5"/>
    </row>
    <row r="102" spans="1:24" s="39" customFormat="1" x14ac:dyDescent="0.2">
      <c r="A102" s="45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6"/>
    </row>
    <row r="103" spans="1:24" s="39" customFormat="1" x14ac:dyDescent="0.2">
      <c r="A103" s="45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6"/>
    </row>
    <row r="104" spans="1:24" s="39" customFormat="1" x14ac:dyDescent="0.2">
      <c r="A104" s="45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6"/>
    </row>
    <row r="105" spans="1:24" s="39" customFormat="1" x14ac:dyDescent="0.2">
      <c r="A105" s="45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6"/>
    </row>
    <row r="106" spans="1:24" s="39" customFormat="1" x14ac:dyDescent="0.2">
      <c r="A106" s="45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6"/>
    </row>
    <row r="107" spans="1:24" s="39" customFormat="1" x14ac:dyDescent="0.2">
      <c r="A107" s="45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6"/>
    </row>
    <row r="108" spans="1:24" s="39" customFormat="1" x14ac:dyDescent="0.2">
      <c r="A108" s="45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6"/>
    </row>
    <row r="109" spans="1:24" s="39" customFormat="1" x14ac:dyDescent="0.2">
      <c r="A109" s="45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6"/>
    </row>
    <row r="110" spans="1:24" s="39" customFormat="1" x14ac:dyDescent="0.2">
      <c r="A110" s="46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6"/>
    </row>
    <row r="111" spans="1:24" s="39" customFormat="1" x14ac:dyDescent="0.2">
      <c r="A111" s="46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6"/>
    </row>
    <row r="112" spans="1:24" s="39" customFormat="1" x14ac:dyDescent="0.2">
      <c r="A112" s="46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6"/>
    </row>
    <row r="113" spans="1:24" s="39" customFormat="1" x14ac:dyDescent="0.2">
      <c r="A113" s="46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6"/>
    </row>
    <row r="114" spans="1:24" s="39" customFormat="1" x14ac:dyDescent="0.2">
      <c r="A114" s="46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6"/>
    </row>
    <row r="115" spans="1:24" s="39" customFormat="1" x14ac:dyDescent="0.2">
      <c r="A115" s="46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6"/>
    </row>
    <row r="116" spans="1:24" s="39" customFormat="1" x14ac:dyDescent="0.2">
      <c r="A116" s="46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6"/>
    </row>
    <row r="117" spans="1:24" s="39" customFormat="1" x14ac:dyDescent="0.2">
      <c r="A117" s="46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6"/>
    </row>
    <row r="118" spans="1:24" s="39" customFormat="1" x14ac:dyDescent="0.2">
      <c r="A118" s="46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6"/>
    </row>
    <row r="119" spans="1:24" s="39" customFormat="1" x14ac:dyDescent="0.2">
      <c r="A119" s="46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6"/>
    </row>
    <row r="120" spans="1:24" s="39" customFormat="1" x14ac:dyDescent="0.2">
      <c r="A120" s="46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6"/>
    </row>
    <row r="121" spans="1:24" s="39" customFormat="1" x14ac:dyDescent="0.2">
      <c r="A121" s="46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6"/>
    </row>
    <row r="122" spans="1:24" s="39" customFormat="1" x14ac:dyDescent="0.2">
      <c r="A122" s="46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6"/>
    </row>
    <row r="123" spans="1:24" s="39" customFormat="1" x14ac:dyDescent="0.2">
      <c r="A123" s="46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6"/>
    </row>
    <row r="124" spans="1:24" s="39" customFormat="1" x14ac:dyDescent="0.2">
      <c r="A124" s="46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6"/>
    </row>
    <row r="125" spans="1:24" s="39" customFormat="1" x14ac:dyDescent="0.2">
      <c r="A125" s="46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6"/>
    </row>
    <row r="126" spans="1:24" s="39" customFormat="1" x14ac:dyDescent="0.2">
      <c r="A126" s="46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6"/>
    </row>
    <row r="127" spans="1:24" s="39" customFormat="1" x14ac:dyDescent="0.2">
      <c r="A127" s="46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6"/>
    </row>
    <row r="128" spans="1:24" s="39" customFormat="1" x14ac:dyDescent="0.2">
      <c r="A128" s="46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6"/>
    </row>
    <row r="129" spans="1:24" s="39" customFormat="1" x14ac:dyDescent="0.2">
      <c r="A129" s="46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6"/>
    </row>
    <row r="130" spans="1:24" s="39" customFormat="1" x14ac:dyDescent="0.2">
      <c r="A130" s="46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6"/>
    </row>
    <row r="131" spans="1:24" s="39" customFormat="1" x14ac:dyDescent="0.2">
      <c r="A131" s="46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6"/>
    </row>
    <row r="132" spans="1:24" s="39" customFormat="1" x14ac:dyDescent="0.2">
      <c r="A132" s="46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6"/>
    </row>
    <row r="133" spans="1:24" s="39" customFormat="1" x14ac:dyDescent="0.2">
      <c r="A133" s="46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6"/>
    </row>
    <row r="134" spans="1:24" s="39" customFormat="1" x14ac:dyDescent="0.2">
      <c r="A134" s="46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6"/>
    </row>
    <row r="135" spans="1:24" s="39" customFormat="1" x14ac:dyDescent="0.2">
      <c r="A135" s="46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6"/>
    </row>
    <row r="136" spans="1:24" s="39" customFormat="1" x14ac:dyDescent="0.2">
      <c r="A136" s="46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6"/>
    </row>
    <row r="137" spans="1:24" s="39" customFormat="1" x14ac:dyDescent="0.2">
      <c r="A137" s="46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6"/>
    </row>
    <row r="138" spans="1:24" s="39" customFormat="1" x14ac:dyDescent="0.2">
      <c r="A138" s="46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6"/>
    </row>
    <row r="139" spans="1:24" s="39" customFormat="1" x14ac:dyDescent="0.2">
      <c r="A139" s="46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6"/>
    </row>
    <row r="140" spans="1:24" s="39" customFormat="1" x14ac:dyDescent="0.2">
      <c r="A140" s="46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6"/>
    </row>
    <row r="141" spans="1:24" s="39" customFormat="1" x14ac:dyDescent="0.2">
      <c r="A141" s="46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6"/>
    </row>
    <row r="142" spans="1:24" s="39" customFormat="1" x14ac:dyDescent="0.2">
      <c r="A142" s="46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6"/>
    </row>
    <row r="143" spans="1:24" s="39" customFormat="1" x14ac:dyDescent="0.2">
      <c r="A143" s="46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6"/>
    </row>
    <row r="144" spans="1:24" s="39" customFormat="1" x14ac:dyDescent="0.2">
      <c r="A144" s="46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6"/>
    </row>
    <row r="145" spans="1:24" s="39" customFormat="1" x14ac:dyDescent="0.2">
      <c r="A145" s="46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6"/>
    </row>
    <row r="146" spans="1:24" s="39" customFormat="1" x14ac:dyDescent="0.2">
      <c r="A146" s="46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6"/>
    </row>
    <row r="147" spans="1:24" s="39" customFormat="1" x14ac:dyDescent="0.2">
      <c r="A147" s="46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6"/>
    </row>
    <row r="148" spans="1:24" s="39" customFormat="1" x14ac:dyDescent="0.2">
      <c r="A148" s="46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6"/>
    </row>
    <row r="149" spans="1:24" s="39" customFormat="1" x14ac:dyDescent="0.2">
      <c r="A149" s="46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6"/>
    </row>
    <row r="150" spans="1:24" s="39" customFormat="1" x14ac:dyDescent="0.2">
      <c r="A150" s="46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6"/>
    </row>
    <row r="151" spans="1:24" s="39" customFormat="1" x14ac:dyDescent="0.2">
      <c r="A151" s="46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6"/>
    </row>
    <row r="152" spans="1:24" s="39" customFormat="1" x14ac:dyDescent="0.2">
      <c r="A152" s="46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6"/>
    </row>
    <row r="153" spans="1:24" s="39" customFormat="1" x14ac:dyDescent="0.2">
      <c r="A153" s="46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6"/>
    </row>
    <row r="154" spans="1:24" s="39" customFormat="1" x14ac:dyDescent="0.2">
      <c r="A154" s="46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6"/>
    </row>
    <row r="155" spans="1:24" s="39" customFormat="1" x14ac:dyDescent="0.2">
      <c r="A155" s="46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6"/>
    </row>
    <row r="156" spans="1:24" s="39" customFormat="1" x14ac:dyDescent="0.2">
      <c r="A156" s="46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6"/>
    </row>
    <row r="157" spans="1:24" s="39" customFormat="1" x14ac:dyDescent="0.2">
      <c r="A157" s="46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6"/>
    </row>
    <row r="158" spans="1:24" s="39" customFormat="1" x14ac:dyDescent="0.2">
      <c r="A158" s="46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6"/>
    </row>
    <row r="159" spans="1:24" s="39" customFormat="1" x14ac:dyDescent="0.2">
      <c r="A159" s="46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6"/>
    </row>
    <row r="160" spans="1:24" s="39" customFormat="1" x14ac:dyDescent="0.2">
      <c r="A160" s="46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6"/>
    </row>
    <row r="161" spans="1:24" s="39" customFormat="1" x14ac:dyDescent="0.2">
      <c r="A161" s="46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6"/>
    </row>
    <row r="162" spans="1:24" s="39" customFormat="1" x14ac:dyDescent="0.2">
      <c r="A162" s="46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6"/>
    </row>
    <row r="163" spans="1:24" s="39" customFormat="1" x14ac:dyDescent="0.2">
      <c r="A163" s="46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6"/>
    </row>
    <row r="164" spans="1:24" s="39" customFormat="1" x14ac:dyDescent="0.2">
      <c r="A164" s="46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6"/>
    </row>
    <row r="165" spans="1:24" s="39" customFormat="1" x14ac:dyDescent="0.2">
      <c r="A165" s="46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6"/>
    </row>
    <row r="166" spans="1:24" s="39" customFormat="1" x14ac:dyDescent="0.2">
      <c r="A166" s="46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6"/>
    </row>
    <row r="167" spans="1:24" s="39" customFormat="1" x14ac:dyDescent="0.2">
      <c r="A167" s="46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6"/>
    </row>
    <row r="168" spans="1:24" s="39" customFormat="1" x14ac:dyDescent="0.2">
      <c r="A168" s="46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6"/>
    </row>
    <row r="169" spans="1:24" s="39" customFormat="1" x14ac:dyDescent="0.2">
      <c r="A169" s="46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6"/>
    </row>
    <row r="170" spans="1:24" s="39" customFormat="1" x14ac:dyDescent="0.2">
      <c r="A170" s="46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6"/>
    </row>
    <row r="171" spans="1:24" s="39" customFormat="1" x14ac:dyDescent="0.2">
      <c r="A171" s="46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6"/>
    </row>
    <row r="172" spans="1:24" s="39" customFormat="1" x14ac:dyDescent="0.2">
      <c r="A172" s="46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6"/>
    </row>
    <row r="173" spans="1:24" s="39" customFormat="1" x14ac:dyDescent="0.2">
      <c r="A173" s="46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6"/>
    </row>
    <row r="174" spans="1:24" s="39" customFormat="1" x14ac:dyDescent="0.2">
      <c r="A174" s="46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6"/>
    </row>
    <row r="175" spans="1:24" s="39" customFormat="1" x14ac:dyDescent="0.2">
      <c r="A175" s="46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6"/>
    </row>
    <row r="176" spans="1:24" s="39" customFormat="1" x14ac:dyDescent="0.2">
      <c r="A176" s="46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6"/>
    </row>
    <row r="177" spans="1:24" s="39" customFormat="1" x14ac:dyDescent="0.2">
      <c r="A177" s="46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6"/>
    </row>
    <row r="178" spans="1:24" s="39" customFormat="1" x14ac:dyDescent="0.2">
      <c r="A178" s="46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6"/>
    </row>
    <row r="179" spans="1:24" s="39" customFormat="1" x14ac:dyDescent="0.2">
      <c r="A179" s="46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6"/>
    </row>
    <row r="180" spans="1:24" s="39" customFormat="1" x14ac:dyDescent="0.2">
      <c r="A180" s="46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6"/>
    </row>
    <row r="181" spans="1:24" s="39" customFormat="1" x14ac:dyDescent="0.2">
      <c r="A181" s="46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6"/>
    </row>
    <row r="182" spans="1:24" s="39" customFormat="1" x14ac:dyDescent="0.2">
      <c r="A182" s="46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6"/>
    </row>
    <row r="183" spans="1:24" s="39" customFormat="1" x14ac:dyDescent="0.2">
      <c r="A183" s="46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6"/>
    </row>
    <row r="184" spans="1:24" s="39" customFormat="1" x14ac:dyDescent="0.2">
      <c r="A184" s="46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6"/>
    </row>
    <row r="185" spans="1:24" s="39" customFormat="1" x14ac:dyDescent="0.2">
      <c r="A185" s="46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6"/>
    </row>
    <row r="186" spans="1:24" s="39" customFormat="1" x14ac:dyDescent="0.2">
      <c r="A186" s="46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6"/>
    </row>
    <row r="187" spans="1:24" s="39" customFormat="1" x14ac:dyDescent="0.2">
      <c r="A187" s="46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6"/>
    </row>
    <row r="188" spans="1:24" s="39" customFormat="1" x14ac:dyDescent="0.2">
      <c r="A188" s="46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6"/>
    </row>
    <row r="189" spans="1:24" s="39" customFormat="1" x14ac:dyDescent="0.2">
      <c r="A189" s="46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6"/>
    </row>
    <row r="190" spans="1:24" s="39" customFormat="1" x14ac:dyDescent="0.2">
      <c r="A190" s="46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6"/>
    </row>
    <row r="191" spans="1:24" s="39" customFormat="1" x14ac:dyDescent="0.2">
      <c r="A191" s="46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6"/>
    </row>
    <row r="192" spans="1:24" s="39" customFormat="1" x14ac:dyDescent="0.2">
      <c r="A192" s="46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6"/>
    </row>
    <row r="193" spans="1:24" s="39" customFormat="1" x14ac:dyDescent="0.2">
      <c r="A193" s="46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6"/>
    </row>
    <row r="194" spans="1:24" s="39" customFormat="1" x14ac:dyDescent="0.2">
      <c r="A194" s="46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6"/>
    </row>
    <row r="195" spans="1:24" s="39" customFormat="1" x14ac:dyDescent="0.2">
      <c r="A195" s="46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6"/>
    </row>
    <row r="196" spans="1:24" s="39" customFormat="1" x14ac:dyDescent="0.2">
      <c r="A196" s="46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6"/>
    </row>
    <row r="197" spans="1:24" s="39" customFormat="1" x14ac:dyDescent="0.2">
      <c r="A197" s="46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6"/>
    </row>
    <row r="198" spans="1:24" s="39" customFormat="1" x14ac:dyDescent="0.2">
      <c r="A198" s="46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6"/>
    </row>
    <row r="199" spans="1:24" s="39" customFormat="1" x14ac:dyDescent="0.2">
      <c r="A199" s="46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6"/>
    </row>
    <row r="200" spans="1:24" s="39" customFormat="1" x14ac:dyDescent="0.2">
      <c r="A200" s="46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6"/>
    </row>
    <row r="201" spans="1:24" s="39" customFormat="1" x14ac:dyDescent="0.2">
      <c r="A201" s="46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6"/>
    </row>
    <row r="202" spans="1:24" s="39" customFormat="1" x14ac:dyDescent="0.2">
      <c r="A202" s="46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6"/>
    </row>
    <row r="203" spans="1:24" s="39" customFormat="1" x14ac:dyDescent="0.2">
      <c r="A203" s="46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6"/>
    </row>
    <row r="204" spans="1:24" s="39" customFormat="1" x14ac:dyDescent="0.2">
      <c r="A204" s="46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6"/>
    </row>
    <row r="205" spans="1:24" s="39" customFormat="1" x14ac:dyDescent="0.2">
      <c r="A205" s="46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6"/>
    </row>
    <row r="206" spans="1:24" s="39" customFormat="1" x14ac:dyDescent="0.2">
      <c r="A206" s="46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6"/>
    </row>
    <row r="207" spans="1:24" s="39" customFormat="1" x14ac:dyDescent="0.2">
      <c r="A207" s="46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6"/>
    </row>
    <row r="208" spans="1:24" s="39" customFormat="1" x14ac:dyDescent="0.2">
      <c r="A208" s="46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6"/>
    </row>
    <row r="209" spans="1:24" s="39" customFormat="1" x14ac:dyDescent="0.2">
      <c r="A209" s="46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6"/>
    </row>
    <row r="210" spans="1:24" s="39" customFormat="1" x14ac:dyDescent="0.2">
      <c r="A210" s="46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6"/>
    </row>
    <row r="211" spans="1:24" s="39" customFormat="1" x14ac:dyDescent="0.2">
      <c r="A211" s="46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6"/>
    </row>
    <row r="212" spans="1:24" s="39" customFormat="1" x14ac:dyDescent="0.2">
      <c r="A212" s="46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6"/>
    </row>
    <row r="213" spans="1:24" s="39" customFormat="1" x14ac:dyDescent="0.2">
      <c r="A213" s="46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6"/>
    </row>
    <row r="214" spans="1:24" x14ac:dyDescent="0.2">
      <c r="B214" s="39"/>
      <c r="C214" s="39"/>
    </row>
  </sheetData>
  <pageMargins left="0.75" right="0.75" top="1" bottom="1" header="0.5" footer="0.5"/>
  <pageSetup paperSize="5" scale="63" fitToHeight="2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5"/>
  <sheetViews>
    <sheetView topLeftCell="A36" zoomScale="90" workbookViewId="0">
      <selection activeCell="D56" sqref="D56"/>
    </sheetView>
  </sheetViews>
  <sheetFormatPr defaultRowHeight="12.75" x14ac:dyDescent="0.2"/>
  <cols>
    <col min="1" max="1" width="41.5703125" customWidth="1"/>
    <col min="2" max="2" width="12.85546875" style="94" customWidth="1"/>
    <col min="3" max="3" width="2.85546875" style="94" customWidth="1"/>
    <col min="4" max="4" width="13.28515625" bestFit="1" customWidth="1"/>
    <col min="5" max="5" width="2.42578125" customWidth="1"/>
    <col min="6" max="6" width="12.28515625" customWidth="1"/>
    <col min="7" max="7" width="1.7109375" customWidth="1"/>
    <col min="8" max="8" width="13.28515625" bestFit="1" customWidth="1"/>
    <col min="9" max="9" width="10.28515625" bestFit="1" customWidth="1"/>
    <col min="10" max="10" width="11.28515625" bestFit="1" customWidth="1"/>
  </cols>
  <sheetData>
    <row r="1" spans="1:12" ht="18.75" x14ac:dyDescent="0.3">
      <c r="A1" s="172" t="s">
        <v>287</v>
      </c>
      <c r="G1" s="173"/>
      <c r="L1" s="174"/>
    </row>
    <row r="2" spans="1:12" ht="18.75" x14ac:dyDescent="0.3">
      <c r="A2" s="172"/>
      <c r="G2" s="173"/>
      <c r="L2" s="174"/>
    </row>
    <row r="3" spans="1:12" ht="15.75" x14ac:dyDescent="0.25">
      <c r="A3" s="192" t="s">
        <v>326</v>
      </c>
      <c r="B3" s="193"/>
      <c r="C3" s="193"/>
      <c r="D3" s="194"/>
      <c r="E3" s="193"/>
      <c r="F3" s="194"/>
      <c r="G3" s="173"/>
      <c r="L3" s="174"/>
    </row>
    <row r="4" spans="1:12" ht="6" customHeight="1" x14ac:dyDescent="0.25">
      <c r="A4" s="81"/>
      <c r="B4" s="174"/>
      <c r="C4" s="174"/>
      <c r="D4" s="117"/>
      <c r="E4" s="174"/>
      <c r="F4" s="117"/>
      <c r="G4" s="173"/>
      <c r="L4" s="174"/>
    </row>
    <row r="5" spans="1:12" ht="18.75" x14ac:dyDescent="0.3">
      <c r="A5" s="172"/>
      <c r="B5" s="174" t="s">
        <v>288</v>
      </c>
      <c r="C5" s="174"/>
      <c r="D5" s="117" t="s">
        <v>88</v>
      </c>
      <c r="E5" s="174"/>
      <c r="F5" s="117" t="s">
        <v>304</v>
      </c>
      <c r="G5" s="173"/>
      <c r="L5" s="174"/>
    </row>
    <row r="6" spans="1:12" ht="15.75" x14ac:dyDescent="0.25">
      <c r="A6" s="159" t="s">
        <v>268</v>
      </c>
      <c r="B6" s="175" t="s">
        <v>290</v>
      </c>
      <c r="C6" s="175"/>
      <c r="D6" s="175" t="s">
        <v>291</v>
      </c>
      <c r="E6" s="175"/>
      <c r="F6" s="175" t="s">
        <v>292</v>
      </c>
      <c r="G6" s="173"/>
      <c r="L6" s="174"/>
    </row>
    <row r="7" spans="1:12" x14ac:dyDescent="0.2">
      <c r="A7" s="56" t="s">
        <v>301</v>
      </c>
      <c r="B7" s="152">
        <f>Assumptions!$C$73*1000</f>
        <v>11124163.671496855</v>
      </c>
      <c r="C7" s="152"/>
      <c r="D7" s="118">
        <f>B7/$B$9</f>
        <v>0.84760933724534282</v>
      </c>
      <c r="E7" s="60"/>
      <c r="F7" s="157">
        <f>B7/$B$16</f>
        <v>0.84754475829162768</v>
      </c>
      <c r="G7" s="173"/>
      <c r="L7" s="174"/>
    </row>
    <row r="8" spans="1:12" x14ac:dyDescent="0.2">
      <c r="A8" s="56" t="s">
        <v>302</v>
      </c>
      <c r="B8" s="152">
        <f>Assumptions!$C$74*1000</f>
        <v>2000000</v>
      </c>
      <c r="C8" s="152"/>
      <c r="D8" s="118">
        <f>B8/$B$9</f>
        <v>0.15239066275465712</v>
      </c>
      <c r="E8" s="130"/>
      <c r="F8" s="189">
        <f>B8/$B$16</f>
        <v>0.15237905218228115</v>
      </c>
      <c r="G8" s="173"/>
      <c r="L8" s="174"/>
    </row>
    <row r="9" spans="1:12" x14ac:dyDescent="0.2">
      <c r="A9" s="191" t="s">
        <v>298</v>
      </c>
      <c r="B9" s="177">
        <f>SUM(B7:B8)</f>
        <v>13124163.671496855</v>
      </c>
      <c r="C9" s="177"/>
      <c r="D9" s="178">
        <f>SUM(D7:D8)</f>
        <v>1</v>
      </c>
      <c r="E9" s="179"/>
      <c r="F9" s="180">
        <f>SUM(F7:F8)</f>
        <v>0.99992381047390877</v>
      </c>
      <c r="G9" s="173"/>
      <c r="H9" s="205"/>
      <c r="L9" s="174"/>
    </row>
    <row r="10" spans="1:12" x14ac:dyDescent="0.2">
      <c r="A10" s="56"/>
      <c r="B10" s="56"/>
      <c r="C10" s="56"/>
      <c r="D10" s="56"/>
      <c r="E10" s="56"/>
      <c r="F10" s="56"/>
      <c r="G10" s="173"/>
      <c r="L10" s="174"/>
    </row>
    <row r="11" spans="1:12" ht="15.75" x14ac:dyDescent="0.25">
      <c r="A11" s="159" t="s">
        <v>267</v>
      </c>
      <c r="B11" s="175" t="s">
        <v>294</v>
      </c>
      <c r="C11" s="175"/>
      <c r="D11" s="175" t="s">
        <v>291</v>
      </c>
      <c r="E11" s="175"/>
      <c r="F11" s="175" t="s">
        <v>295</v>
      </c>
      <c r="G11" s="173"/>
      <c r="L11" s="174"/>
    </row>
    <row r="12" spans="1:12" x14ac:dyDescent="0.2">
      <c r="A12" s="56" t="s">
        <v>301</v>
      </c>
      <c r="B12" s="152">
        <f>D12*$B$14</f>
        <v>500</v>
      </c>
      <c r="C12" s="152"/>
      <c r="D12" s="119">
        <v>0.5</v>
      </c>
      <c r="F12" s="157">
        <f>B12/$B$16</f>
        <v>3.8094763045570283E-5</v>
      </c>
      <c r="G12" s="173"/>
      <c r="L12" s="174"/>
    </row>
    <row r="13" spans="1:12" x14ac:dyDescent="0.2">
      <c r="A13" s="56" t="s">
        <v>302</v>
      </c>
      <c r="B13" s="152">
        <f>D13*$B$14</f>
        <v>500</v>
      </c>
      <c r="C13" s="152"/>
      <c r="D13" s="181">
        <f>1-D12</f>
        <v>0.5</v>
      </c>
      <c r="F13" s="189">
        <f>B13/$B$16</f>
        <v>3.8094763045570283E-5</v>
      </c>
      <c r="G13" s="173"/>
      <c r="L13" s="174"/>
    </row>
    <row r="14" spans="1:12" x14ac:dyDescent="0.2">
      <c r="A14" s="191" t="s">
        <v>299</v>
      </c>
      <c r="B14" s="177">
        <f>Assumptions!$C$70*1000</f>
        <v>1000</v>
      </c>
      <c r="C14" s="177"/>
      <c r="D14" s="178">
        <f>SUM(D12:D13)</f>
        <v>1</v>
      </c>
      <c r="E14" s="182"/>
      <c r="F14" s="180">
        <f>SUM(F12:F13)</f>
        <v>7.6189526091140566E-5</v>
      </c>
      <c r="G14" s="173"/>
      <c r="L14" s="174"/>
    </row>
    <row r="15" spans="1:12" x14ac:dyDescent="0.2">
      <c r="I15" s="56"/>
      <c r="J15" s="56"/>
      <c r="K15" s="56"/>
      <c r="L15" s="56"/>
    </row>
    <row r="16" spans="1:12" ht="13.5" thickBot="1" x14ac:dyDescent="0.25">
      <c r="A16" s="183" t="s">
        <v>297</v>
      </c>
      <c r="B16" s="184">
        <f>B14+B9</f>
        <v>13125163.671496855</v>
      </c>
      <c r="C16" s="184"/>
      <c r="D16" s="185"/>
      <c r="E16" s="185"/>
      <c r="F16" s="186">
        <f>F14+F9</f>
        <v>0.99999999999999989</v>
      </c>
      <c r="I16" s="56"/>
      <c r="J16" s="56"/>
      <c r="K16" s="56"/>
      <c r="L16" s="56"/>
    </row>
    <row r="17" spans="1:8" ht="13.5" thickTop="1" x14ac:dyDescent="0.2"/>
    <row r="18" spans="1:8" ht="15.75" x14ac:dyDescent="0.25">
      <c r="A18" s="192" t="s">
        <v>327</v>
      </c>
      <c r="B18" s="187"/>
      <c r="C18" s="187"/>
      <c r="D18" s="187"/>
      <c r="E18" s="187"/>
      <c r="F18" s="187"/>
    </row>
    <row r="19" spans="1:8" ht="8.25" customHeight="1" x14ac:dyDescent="0.25">
      <c r="A19" s="81"/>
    </row>
    <row r="20" spans="1:8" ht="15.75" customHeight="1" x14ac:dyDescent="0.3">
      <c r="A20" s="172"/>
      <c r="B20" s="174" t="s">
        <v>288</v>
      </c>
      <c r="C20" s="174"/>
    </row>
    <row r="21" spans="1:8" ht="15.75" customHeight="1" x14ac:dyDescent="0.25">
      <c r="A21" s="159" t="s">
        <v>300</v>
      </c>
      <c r="B21" s="175" t="s">
        <v>290</v>
      </c>
      <c r="C21" s="175"/>
    </row>
    <row r="22" spans="1:8" ht="12.75" customHeight="1" x14ac:dyDescent="0.2">
      <c r="A22" s="56" t="s">
        <v>301</v>
      </c>
      <c r="B22" s="152">
        <f>Assumptions!C82*1000</f>
        <v>3214820.6114133326</v>
      </c>
      <c r="C22" s="152"/>
    </row>
    <row r="23" spans="1:8" ht="12.75" customHeight="1" x14ac:dyDescent="0.2">
      <c r="A23" s="56" t="s">
        <v>302</v>
      </c>
      <c r="B23" s="152">
        <f>Assumptions!C83*1000</f>
        <v>1979000</v>
      </c>
      <c r="C23" s="152"/>
      <c r="D23" s="204"/>
    </row>
    <row r="24" spans="1:8" ht="12.75" customHeight="1" x14ac:dyDescent="0.2">
      <c r="A24" s="191" t="s">
        <v>305</v>
      </c>
      <c r="B24" s="177">
        <f>SUM(B22:B23)</f>
        <v>5193820.6114133326</v>
      </c>
      <c r="C24"/>
    </row>
    <row r="25" spans="1:8" ht="12.75" customHeight="1" x14ac:dyDescent="0.2">
      <c r="A25" s="57"/>
      <c r="B25" s="190"/>
      <c r="C25" s="190"/>
      <c r="D25" s="190"/>
      <c r="E25" s="190"/>
      <c r="F25" s="190"/>
      <c r="G25" s="190"/>
    </row>
    <row r="26" spans="1:8" ht="12.75" customHeight="1" x14ac:dyDescent="0.3">
      <c r="A26" s="172"/>
      <c r="B26" s="174" t="s">
        <v>288</v>
      </c>
      <c r="C26" s="174"/>
      <c r="D26" s="117" t="s">
        <v>307</v>
      </c>
      <c r="E26" s="174"/>
      <c r="F26" s="117" t="s">
        <v>304</v>
      </c>
    </row>
    <row r="27" spans="1:8" ht="15.75" x14ac:dyDescent="0.25">
      <c r="A27" s="159" t="s">
        <v>306</v>
      </c>
      <c r="B27" s="175" t="s">
        <v>290</v>
      </c>
      <c r="C27" s="175"/>
      <c r="D27" s="175" t="s">
        <v>291</v>
      </c>
      <c r="E27" s="175"/>
      <c r="F27" s="175" t="s">
        <v>292</v>
      </c>
      <c r="G27" s="56"/>
      <c r="H27" s="56"/>
    </row>
    <row r="28" spans="1:8" ht="12.75" customHeight="1" x14ac:dyDescent="0.2">
      <c r="A28" s="56" t="s">
        <v>301</v>
      </c>
      <c r="B28" s="152">
        <f>B22+B7</f>
        <v>14338984.282910187</v>
      </c>
      <c r="C28" s="152"/>
      <c r="D28" s="118">
        <f>B28/$B$30</f>
        <v>0.78278177672025739</v>
      </c>
      <c r="E28" s="60"/>
      <c r="F28" s="157">
        <f>B28/$B$38</f>
        <v>0.78273904608821854</v>
      </c>
      <c r="G28" s="56"/>
      <c r="H28" s="56"/>
    </row>
    <row r="29" spans="1:8" ht="12.75" customHeight="1" x14ac:dyDescent="0.2">
      <c r="A29" s="56" t="s">
        <v>302</v>
      </c>
      <c r="B29" s="152">
        <f>B23+B8</f>
        <v>3979000</v>
      </c>
      <c r="C29" s="152"/>
      <c r="D29" s="118">
        <f>B29/$B$30</f>
        <v>0.21721822327974258</v>
      </c>
      <c r="E29" s="130"/>
      <c r="F29" s="189">
        <f>B29/$B$38</f>
        <v>0.2172063657324067</v>
      </c>
      <c r="G29" s="56"/>
      <c r="H29" s="56"/>
    </row>
    <row r="30" spans="1:8" ht="12.75" customHeight="1" x14ac:dyDescent="0.2">
      <c r="A30" s="191" t="s">
        <v>298</v>
      </c>
      <c r="B30" s="177">
        <f>SUM(B28:B29)</f>
        <v>18317984.282910187</v>
      </c>
      <c r="C30" s="177"/>
      <c r="D30" s="178">
        <f>SUM(D28:D29)</f>
        <v>1</v>
      </c>
      <c r="E30" s="179"/>
      <c r="F30" s="180">
        <f>SUM(F28:F29)</f>
        <v>0.99994541182062524</v>
      </c>
      <c r="G30" s="56"/>
      <c r="H30" s="56"/>
    </row>
    <row r="31" spans="1:8" ht="12.75" customHeight="1" x14ac:dyDescent="0.2">
      <c r="A31" s="145"/>
      <c r="B31" s="56"/>
      <c r="C31" s="56"/>
      <c r="D31" s="56"/>
      <c r="E31" s="56"/>
      <c r="F31" s="56"/>
      <c r="G31" s="56"/>
      <c r="H31" s="56"/>
    </row>
    <row r="32" spans="1:8" ht="12.75" customHeight="1" x14ac:dyDescent="0.2">
      <c r="A32" s="56"/>
      <c r="B32" s="174" t="s">
        <v>288</v>
      </c>
      <c r="C32" s="174"/>
      <c r="D32" s="117" t="s">
        <v>289</v>
      </c>
      <c r="E32" s="174"/>
      <c r="F32" s="117" t="s">
        <v>303</v>
      </c>
    </row>
    <row r="33" spans="1:6" ht="12.75" customHeight="1" x14ac:dyDescent="0.25">
      <c r="A33" s="159" t="s">
        <v>267</v>
      </c>
      <c r="B33" s="175" t="s">
        <v>294</v>
      </c>
      <c r="C33" s="175"/>
      <c r="D33" s="175" t="s">
        <v>291</v>
      </c>
      <c r="E33" s="175"/>
      <c r="F33" s="175" t="s">
        <v>295</v>
      </c>
    </row>
    <row r="34" spans="1:6" ht="12.75" customHeight="1" x14ac:dyDescent="0.2">
      <c r="A34" s="56" t="s">
        <v>161</v>
      </c>
      <c r="B34" s="152">
        <f>D34*$B$14</f>
        <v>500</v>
      </c>
      <c r="C34" s="152"/>
      <c r="D34" s="118">
        <v>0.5</v>
      </c>
      <c r="F34" s="157">
        <f>B34/$B$38</f>
        <v>2.7294089687409737E-5</v>
      </c>
    </row>
    <row r="35" spans="1:6" ht="12.75" customHeight="1" x14ac:dyDescent="0.2">
      <c r="A35" s="56" t="s">
        <v>162</v>
      </c>
      <c r="B35" s="152">
        <f>D35*$B$14</f>
        <v>500</v>
      </c>
      <c r="C35" s="152"/>
      <c r="D35" s="181">
        <f>1-D34</f>
        <v>0.5</v>
      </c>
      <c r="F35" s="189">
        <f>B35/$B$38</f>
        <v>2.7294089687409737E-5</v>
      </c>
    </row>
    <row r="36" spans="1:6" ht="12.75" customHeight="1" x14ac:dyDescent="0.2">
      <c r="A36" s="191" t="s">
        <v>299</v>
      </c>
      <c r="B36" s="177">
        <f>Assumptions!$C$70*1000</f>
        <v>1000</v>
      </c>
      <c r="C36" s="177"/>
      <c r="D36" s="178">
        <f>SUM(D34:D35)</f>
        <v>1</v>
      </c>
      <c r="E36" s="182"/>
      <c r="F36" s="180">
        <f>SUM(F34:F35)</f>
        <v>5.4588179374819475E-5</v>
      </c>
    </row>
    <row r="37" spans="1:6" ht="12.75" customHeight="1" x14ac:dyDescent="0.2">
      <c r="A37" s="56"/>
      <c r="B37" s="56"/>
      <c r="C37" s="56"/>
      <c r="D37" s="56"/>
      <c r="E37" s="56"/>
      <c r="F37" s="56"/>
    </row>
    <row r="38" spans="1:6" ht="12.75" customHeight="1" thickBot="1" x14ac:dyDescent="0.25">
      <c r="A38" s="183" t="s">
        <v>297</v>
      </c>
      <c r="B38" s="184">
        <f>B30+B36</f>
        <v>18318984.282910187</v>
      </c>
      <c r="C38" s="184"/>
      <c r="D38" s="185"/>
      <c r="E38" s="185"/>
      <c r="F38" s="186">
        <f>F36+F30</f>
        <v>1</v>
      </c>
    </row>
    <row r="39" spans="1:6" ht="12.75" customHeight="1" thickTop="1" x14ac:dyDescent="0.25">
      <c r="A39" s="81"/>
    </row>
    <row r="41" spans="1:6" ht="15.75" x14ac:dyDescent="0.25">
      <c r="A41" s="192" t="s">
        <v>325</v>
      </c>
      <c r="B41" s="187"/>
      <c r="C41" s="187"/>
      <c r="D41" s="187"/>
      <c r="E41" s="187"/>
      <c r="F41" s="187"/>
    </row>
    <row r="42" spans="1:6" ht="18.75" x14ac:dyDescent="0.3">
      <c r="A42" s="172"/>
      <c r="B42" s="174" t="s">
        <v>189</v>
      </c>
      <c r="C42" s="174"/>
      <c r="D42" s="174" t="s">
        <v>315</v>
      </c>
      <c r="E42" s="174"/>
      <c r="F42" s="174" t="s">
        <v>319</v>
      </c>
    </row>
    <row r="43" spans="1:6" ht="15.75" x14ac:dyDescent="0.25">
      <c r="A43" s="159" t="s">
        <v>268</v>
      </c>
      <c r="B43" s="175" t="s">
        <v>290</v>
      </c>
      <c r="C43" s="175"/>
      <c r="D43" s="175" t="s">
        <v>290</v>
      </c>
      <c r="E43" s="175"/>
      <c r="F43" s="175" t="s">
        <v>316</v>
      </c>
    </row>
    <row r="44" spans="1:6" x14ac:dyDescent="0.2">
      <c r="A44" s="56" t="s">
        <v>309</v>
      </c>
      <c r="B44" s="152">
        <f ca="1">'EBSCS IS'!$D$44*1000000</f>
        <v>70422529.66325371</v>
      </c>
      <c r="C44" s="152"/>
      <c r="D44" s="152">
        <f ca="1">'EBSCS IS'!D42*1000000</f>
        <v>129683622.78034112</v>
      </c>
      <c r="E44" s="60"/>
      <c r="F44" s="118">
        <f ca="1">B44/D44</f>
        <v>0.54303333106706775</v>
      </c>
    </row>
    <row r="45" spans="1:6" x14ac:dyDescent="0.2">
      <c r="A45" s="56" t="s">
        <v>310</v>
      </c>
      <c r="B45" s="188">
        <f ca="1">'EBSCS IS'!$E$44*1000000</f>
        <v>3021200.6810343922</v>
      </c>
      <c r="C45" s="188"/>
      <c r="D45" s="188">
        <f ca="1">'EBSCS IS'!E42*1000000</f>
        <v>3619797.5812069923</v>
      </c>
    </row>
    <row r="46" spans="1:6" x14ac:dyDescent="0.2">
      <c r="A46" s="176" t="s">
        <v>308</v>
      </c>
      <c r="B46" s="195">
        <f ca="1">SUM(B44:B45)</f>
        <v>73443730.344288096</v>
      </c>
      <c r="C46" s="177"/>
      <c r="D46" s="195">
        <f ca="1">SUM(D44:D45)</f>
        <v>133303420.36154811</v>
      </c>
    </row>
    <row r="47" spans="1:6" x14ac:dyDescent="0.2">
      <c r="B47" s="56"/>
      <c r="C47" s="56"/>
    </row>
    <row r="48" spans="1:6" ht="15.75" x14ac:dyDescent="0.25">
      <c r="A48" s="159" t="s">
        <v>311</v>
      </c>
      <c r="E48" s="175"/>
    </row>
    <row r="49" spans="1:6" x14ac:dyDescent="0.2">
      <c r="A49" s="56" t="s">
        <v>312</v>
      </c>
      <c r="B49" s="152">
        <f>B7</f>
        <v>11124163.671496855</v>
      </c>
      <c r="E49" s="175"/>
    </row>
    <row r="50" spans="1:6" x14ac:dyDescent="0.2">
      <c r="A50" s="56" t="s">
        <v>313</v>
      </c>
      <c r="B50" s="152">
        <f>B12</f>
        <v>500</v>
      </c>
      <c r="D50" s="174"/>
      <c r="E50" s="175"/>
    </row>
    <row r="51" spans="1:6" x14ac:dyDescent="0.2">
      <c r="A51" s="56" t="s">
        <v>314</v>
      </c>
      <c r="B51" s="188">
        <f>B22</f>
        <v>3214820.6114133326</v>
      </c>
      <c r="E51" s="175"/>
    </row>
    <row r="52" spans="1:6" x14ac:dyDescent="0.2">
      <c r="A52" s="57" t="s">
        <v>293</v>
      </c>
      <c r="B52" s="196">
        <f>SUM(B49:B51)</f>
        <v>14339484.282910187</v>
      </c>
      <c r="E52" s="175"/>
    </row>
    <row r="53" spans="1:6" x14ac:dyDescent="0.2">
      <c r="A53" s="57"/>
      <c r="B53" s="196"/>
      <c r="E53" s="175"/>
    </row>
    <row r="54" spans="1:6" x14ac:dyDescent="0.2">
      <c r="A54" s="176" t="s">
        <v>324</v>
      </c>
      <c r="B54" s="195">
        <f ca="1">B52*F44</f>
        <v>7786817.9159325818</v>
      </c>
      <c r="C54" s="197" t="s">
        <v>317</v>
      </c>
      <c r="D54" s="198">
        <f>B52</f>
        <v>14339484.282910187</v>
      </c>
      <c r="E54" s="199" t="s">
        <v>318</v>
      </c>
      <c r="F54" s="200">
        <f ca="1">F44</f>
        <v>0.54303333106706775</v>
      </c>
    </row>
    <row r="55" spans="1:6" x14ac:dyDescent="0.2">
      <c r="A55" s="57"/>
      <c r="B55" s="196"/>
      <c r="E55" s="175"/>
    </row>
    <row r="56" spans="1:6" x14ac:dyDescent="0.2">
      <c r="A56" s="57" t="s">
        <v>323</v>
      </c>
      <c r="B56" s="203">
        <v>0.81</v>
      </c>
      <c r="C56"/>
    </row>
    <row r="57" spans="1:6" x14ac:dyDescent="0.2">
      <c r="B57"/>
      <c r="C57"/>
    </row>
    <row r="58" spans="1:6" x14ac:dyDescent="0.2">
      <c r="A58" s="56" t="s">
        <v>296</v>
      </c>
      <c r="B58" s="152">
        <f ca="1">B44*B56</f>
        <v>57042249.027235508</v>
      </c>
      <c r="C58" s="197" t="s">
        <v>317</v>
      </c>
      <c r="D58" s="198">
        <f ca="1">B44</f>
        <v>70422529.66325371</v>
      </c>
      <c r="E58" s="199" t="s">
        <v>318</v>
      </c>
      <c r="F58" s="200">
        <f>B56</f>
        <v>0.81</v>
      </c>
    </row>
    <row r="59" spans="1:6" x14ac:dyDescent="0.2">
      <c r="A59" s="56" t="s">
        <v>320</v>
      </c>
      <c r="B59" s="152">
        <f ca="1">-B54*B56</f>
        <v>-6307322.5119053917</v>
      </c>
      <c r="C59" s="197" t="s">
        <v>317</v>
      </c>
      <c r="D59" s="198">
        <f ca="1">B54</f>
        <v>7786817.9159325818</v>
      </c>
      <c r="E59" s="199" t="s">
        <v>318</v>
      </c>
      <c r="F59" s="200">
        <f>B56</f>
        <v>0.81</v>
      </c>
    </row>
    <row r="60" spans="1:6" x14ac:dyDescent="0.2">
      <c r="A60" s="56" t="s">
        <v>321</v>
      </c>
      <c r="B60" s="188">
        <f>-Assumptions!C103*1000</f>
        <v>-250000</v>
      </c>
      <c r="C60"/>
    </row>
    <row r="61" spans="1:6" x14ac:dyDescent="0.2">
      <c r="A61" s="176" t="s">
        <v>322</v>
      </c>
      <c r="B61" s="201">
        <f ca="1">SUM(B58:B60)</f>
        <v>50484926.515330113</v>
      </c>
    </row>
    <row r="63" spans="1:6" x14ac:dyDescent="0.2">
      <c r="A63" s="57" t="s">
        <v>332</v>
      </c>
    </row>
    <row r="64" spans="1:6" x14ac:dyDescent="0.2">
      <c r="A64" s="56" t="s">
        <v>333</v>
      </c>
      <c r="B64" s="152">
        <f ca="1">B58*0.97</f>
        <v>55330981.556418441</v>
      </c>
    </row>
    <row r="65" spans="1:2" x14ac:dyDescent="0.2">
      <c r="A65" s="56" t="s">
        <v>334</v>
      </c>
      <c r="B65" s="152">
        <f ca="1">B58-B64</f>
        <v>1711267.4708170667</v>
      </c>
    </row>
  </sheetData>
  <pageMargins left="0.75" right="0.75" top="1" bottom="1" header="0.5" footer="0.5"/>
  <pageSetup scale="74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0"/>
  <sheetViews>
    <sheetView zoomScale="75" workbookViewId="0">
      <pane xSplit="2" ySplit="2" topLeftCell="C34" activePane="bottomRight" state="frozenSplit"/>
      <selection activeCell="C41" sqref="C41"/>
      <selection pane="topRight" activeCell="C41" sqref="C41"/>
      <selection pane="bottomLeft" activeCell="C41" sqref="C41"/>
      <selection pane="bottomRight" activeCell="C40" sqref="C40"/>
    </sheetView>
  </sheetViews>
  <sheetFormatPr defaultRowHeight="12.75" x14ac:dyDescent="0.2"/>
  <cols>
    <col min="1" max="1" width="3.7109375" style="10" customWidth="1"/>
    <col min="2" max="2" width="28.7109375" style="1" customWidth="1"/>
    <col min="3" max="3" width="11.140625" style="1" customWidth="1"/>
    <col min="4" max="4" width="13.140625" style="7" bestFit="1" customWidth="1"/>
    <col min="5" max="5" width="10" style="7" customWidth="1"/>
    <col min="6" max="6" width="8.140625" style="7" customWidth="1"/>
    <col min="7" max="7" width="9.85546875" style="7" customWidth="1"/>
    <col min="8" max="9" width="8.28515625" style="7" customWidth="1"/>
    <col min="10" max="10" width="9.85546875" style="7" bestFit="1" customWidth="1"/>
    <col min="11" max="11" width="9.5703125" style="7" customWidth="1"/>
    <col min="12" max="12" width="9.42578125" style="7" customWidth="1"/>
    <col min="13" max="13" width="9.5703125" style="7" customWidth="1"/>
    <col min="14" max="18" width="10.7109375" style="7" customWidth="1"/>
    <col min="19" max="19" width="9.85546875" style="7" customWidth="1"/>
    <col min="20" max="20" width="10" style="7" customWidth="1"/>
    <col min="21" max="21" width="10.7109375" style="7" customWidth="1"/>
    <col min="22" max="22" width="9.28515625" style="7" customWidth="1"/>
    <col min="23" max="23" width="10.7109375" style="7" customWidth="1"/>
    <col min="24" max="24" width="9.140625" style="10"/>
    <col min="25" max="16384" width="9.140625" style="1"/>
  </cols>
  <sheetData>
    <row r="1" spans="1:24" x14ac:dyDescent="0.2">
      <c r="A1" s="2">
        <v>1</v>
      </c>
      <c r="B1" s="3" t="s">
        <v>197</v>
      </c>
      <c r="C1" s="3"/>
      <c r="X1" s="4" t="s">
        <v>9</v>
      </c>
    </row>
    <row r="2" spans="1:24" s="13" customFormat="1" x14ac:dyDescent="0.2">
      <c r="A2" s="14">
        <f t="shared" ref="A2:A58" si="0">A1+1</f>
        <v>2</v>
      </c>
      <c r="C2" s="92" t="s">
        <v>158</v>
      </c>
      <c r="D2" s="15">
        <v>2001</v>
      </c>
      <c r="E2" s="15">
        <f t="shared" ref="E2:W2" si="1">D2+1</f>
        <v>2002</v>
      </c>
      <c r="F2" s="15">
        <f t="shared" si="1"/>
        <v>2003</v>
      </c>
      <c r="G2" s="15">
        <f t="shared" si="1"/>
        <v>2004</v>
      </c>
      <c r="H2" s="15">
        <f t="shared" si="1"/>
        <v>2005</v>
      </c>
      <c r="I2" s="15">
        <f t="shared" si="1"/>
        <v>2006</v>
      </c>
      <c r="J2" s="15">
        <f t="shared" si="1"/>
        <v>2007</v>
      </c>
      <c r="K2" s="15">
        <f t="shared" si="1"/>
        <v>2008</v>
      </c>
      <c r="L2" s="15">
        <f t="shared" si="1"/>
        <v>2009</v>
      </c>
      <c r="M2" s="15">
        <f t="shared" si="1"/>
        <v>2010</v>
      </c>
      <c r="N2" s="15">
        <f t="shared" si="1"/>
        <v>2011</v>
      </c>
      <c r="O2" s="15">
        <f t="shared" si="1"/>
        <v>2012</v>
      </c>
      <c r="P2" s="15">
        <f t="shared" si="1"/>
        <v>2013</v>
      </c>
      <c r="Q2" s="15">
        <f t="shared" si="1"/>
        <v>2014</v>
      </c>
      <c r="R2" s="15">
        <f t="shared" si="1"/>
        <v>2015</v>
      </c>
      <c r="S2" s="15">
        <f t="shared" si="1"/>
        <v>2016</v>
      </c>
      <c r="T2" s="15">
        <f t="shared" si="1"/>
        <v>2017</v>
      </c>
      <c r="U2" s="15">
        <f t="shared" si="1"/>
        <v>2018</v>
      </c>
      <c r="V2" s="15">
        <f t="shared" si="1"/>
        <v>2019</v>
      </c>
      <c r="W2" s="15">
        <f t="shared" si="1"/>
        <v>2020</v>
      </c>
      <c r="X2" s="16"/>
    </row>
    <row r="3" spans="1:24" ht="13.5" x14ac:dyDescent="0.25">
      <c r="A3" s="14">
        <f t="shared" si="0"/>
        <v>3</v>
      </c>
      <c r="B3" s="19" t="s">
        <v>4</v>
      </c>
      <c r="C3" s="19"/>
      <c r="X3" s="6"/>
    </row>
    <row r="4" spans="1:24" x14ac:dyDescent="0.2">
      <c r="A4" s="14">
        <f t="shared" si="0"/>
        <v>4</v>
      </c>
      <c r="B4" s="1" t="s">
        <v>121</v>
      </c>
      <c r="D4" s="21">
        <f>Assumptions!D11</f>
        <v>557.56176967420447</v>
      </c>
      <c r="E4" s="21">
        <f>Assumptions!E11</f>
        <v>2825.1037741163063</v>
      </c>
      <c r="F4" s="21">
        <f>Assumptions!F11</f>
        <v>11132.307640446159</v>
      </c>
      <c r="G4" s="21">
        <f>Assumptions!G11</f>
        <v>38904.220200513257</v>
      </c>
      <c r="H4" s="21">
        <f>Assumptions!H11</f>
        <v>81719.382291567104</v>
      </c>
      <c r="I4" s="21">
        <f>Assumptions!I11</f>
        <v>129973.05170776145</v>
      </c>
      <c r="J4" s="21">
        <f>Assumptions!J11</f>
        <v>190159.04608115784</v>
      </c>
      <c r="K4" s="21">
        <f>Assumptions!K11</f>
        <v>252697.33565443582</v>
      </c>
      <c r="L4" s="21">
        <f>Assumptions!L11</f>
        <v>316880.13939426484</v>
      </c>
      <c r="M4" s="21">
        <f>Assumptions!M11</f>
        <v>382638.25975197327</v>
      </c>
      <c r="N4" s="21">
        <f>Assumptions!N11</f>
        <v>424905.58533235407</v>
      </c>
      <c r="O4" s="21">
        <f>Assumptions!O11</f>
        <v>475059.1822277875</v>
      </c>
      <c r="P4" s="21">
        <f>Assumptions!P11</f>
        <v>522921.74043209507</v>
      </c>
      <c r="Q4" s="21">
        <f>Assumptions!Q11</f>
        <v>573997.32412502158</v>
      </c>
      <c r="R4" s="21">
        <f>Assumptions!R11</f>
        <v>621133.76680552575</v>
      </c>
      <c r="S4" s="21">
        <f>Assumptions!S11</f>
        <v>663337.54035898682</v>
      </c>
      <c r="T4" s="21">
        <f>Assumptions!T11</f>
        <v>707421.60460320313</v>
      </c>
      <c r="U4" s="21">
        <f>Assumptions!U11</f>
        <v>769460.34974210861</v>
      </c>
      <c r="V4" s="21">
        <f>Assumptions!V11</f>
        <v>834841.88553152699</v>
      </c>
      <c r="W4" s="21">
        <f>Assumptions!W11</f>
        <v>903730.00779236271</v>
      </c>
      <c r="X4" s="22"/>
    </row>
    <row r="5" spans="1:24" x14ac:dyDescent="0.2">
      <c r="A5" s="14">
        <f t="shared" si="0"/>
        <v>5</v>
      </c>
      <c r="B5" s="1" t="s">
        <v>46</v>
      </c>
      <c r="D5" s="21">
        <f>Assumptions!D21</f>
        <v>869.44788458571281</v>
      </c>
      <c r="E5" s="21">
        <f>Assumptions!E21</f>
        <v>3158.3429247972504</v>
      </c>
      <c r="F5" s="21">
        <f>Assumptions!F21</f>
        <v>10590.68685530818</v>
      </c>
      <c r="G5" s="21">
        <f>Assumptions!G21</f>
        <v>0</v>
      </c>
      <c r="H5" s="21">
        <f>Assumptions!H21</f>
        <v>0</v>
      </c>
      <c r="I5" s="21">
        <f>Assumptions!I21</f>
        <v>0</v>
      </c>
      <c r="J5" s="21">
        <f>Assumptions!J21</f>
        <v>0</v>
      </c>
      <c r="K5" s="21">
        <f>Assumptions!K21</f>
        <v>0</v>
      </c>
      <c r="L5" s="21">
        <f>Assumptions!L21</f>
        <v>0</v>
      </c>
      <c r="M5" s="21">
        <f>Assumptions!M21</f>
        <v>0</v>
      </c>
      <c r="N5" s="21">
        <f>Assumptions!N21</f>
        <v>0</v>
      </c>
      <c r="O5" s="21">
        <f>Assumptions!O21</f>
        <v>0</v>
      </c>
      <c r="P5" s="21">
        <f>Assumptions!P21</f>
        <v>0</v>
      </c>
      <c r="Q5" s="21">
        <f>Assumptions!Q21</f>
        <v>0</v>
      </c>
      <c r="R5" s="21">
        <f>Assumptions!R21</f>
        <v>0</v>
      </c>
      <c r="S5" s="21">
        <f>Assumptions!S21</f>
        <v>0</v>
      </c>
      <c r="T5" s="21">
        <f>Assumptions!T21</f>
        <v>0</v>
      </c>
      <c r="U5" s="21">
        <f>Assumptions!U21</f>
        <v>0</v>
      </c>
      <c r="V5" s="21">
        <f>Assumptions!V21</f>
        <v>0</v>
      </c>
      <c r="W5" s="21">
        <f>Assumptions!W21</f>
        <v>0</v>
      </c>
      <c r="X5" s="6"/>
    </row>
    <row r="6" spans="1:24" x14ac:dyDescent="0.2">
      <c r="A6" s="14">
        <f t="shared" si="0"/>
        <v>6</v>
      </c>
      <c r="B6" s="20" t="s">
        <v>48</v>
      </c>
      <c r="C6" s="89"/>
      <c r="D6" s="23">
        <f>Assumptions!D18</f>
        <v>145.19837751932411</v>
      </c>
      <c r="E6" s="23">
        <f>Assumptions!E18</f>
        <v>672.64375574197777</v>
      </c>
      <c r="F6" s="23">
        <f>Assumptions!F18</f>
        <v>2441.2955351855617</v>
      </c>
      <c r="G6" s="23">
        <f>Assumptions!G18</f>
        <v>7907.3618293726149</v>
      </c>
      <c r="H6" s="23">
        <f>Assumptions!H18</f>
        <v>15477.155737039224</v>
      </c>
      <c r="I6" s="23">
        <f>Assumptions!I18</f>
        <v>24616.108277985124</v>
      </c>
      <c r="J6" s="23">
        <f>Assumptions!J18</f>
        <v>36014.970848704135</v>
      </c>
      <c r="K6" s="23">
        <f>Assumptions!K18</f>
        <v>47859.343873946185</v>
      </c>
      <c r="L6" s="23">
        <f>Assumptions!L18</f>
        <v>60015.177915580454</v>
      </c>
      <c r="M6" s="23">
        <f>Assumptions!M18</f>
        <v>72469.367377267656</v>
      </c>
      <c r="N6" s="23">
        <f>Assumptions!N18</f>
        <v>80474.542676582219</v>
      </c>
      <c r="O6" s="23">
        <f>Assumptions!O18</f>
        <v>89973.329967384008</v>
      </c>
      <c r="P6" s="23">
        <f>Assumptions!P18</f>
        <v>99038.208415169516</v>
      </c>
      <c r="Q6" s="23">
        <f>Assumptions!Q18</f>
        <v>108711.61441761772</v>
      </c>
      <c r="R6" s="23">
        <f>Assumptions!R18</f>
        <v>117638.97098589505</v>
      </c>
      <c r="S6" s="23">
        <f>Assumptions!S18</f>
        <v>125632.1099164748</v>
      </c>
      <c r="T6" s="23">
        <f>Assumptions!T18</f>
        <v>133981.36450818245</v>
      </c>
      <c r="U6" s="23">
        <f>Assumptions!U18</f>
        <v>145731.12684509633</v>
      </c>
      <c r="V6" s="23">
        <f>Assumptions!V18</f>
        <v>158113.99347188015</v>
      </c>
      <c r="W6" s="23">
        <f>Assumptions!W18</f>
        <v>171160.98632431112</v>
      </c>
      <c r="X6" s="6"/>
    </row>
    <row r="7" spans="1:24" x14ac:dyDescent="0.2">
      <c r="A7" s="14">
        <f t="shared" si="0"/>
        <v>7</v>
      </c>
      <c r="B7" s="9" t="s">
        <v>20</v>
      </c>
      <c r="C7" s="90"/>
      <c r="D7" s="29">
        <f t="shared" ref="D7:W7" si="2">SUM(D4:D6)</f>
        <v>1572.2080317792413</v>
      </c>
      <c r="E7" s="29">
        <f t="shared" si="2"/>
        <v>6656.0904546555339</v>
      </c>
      <c r="F7" s="29">
        <f t="shared" si="2"/>
        <v>24164.290030939905</v>
      </c>
      <c r="G7" s="29">
        <f t="shared" si="2"/>
        <v>46811.582029885874</v>
      </c>
      <c r="H7" s="29">
        <f t="shared" si="2"/>
        <v>97196.53802860633</v>
      </c>
      <c r="I7" s="29">
        <f t="shared" si="2"/>
        <v>154589.15998574658</v>
      </c>
      <c r="J7" s="29">
        <f t="shared" si="2"/>
        <v>226174.01692986197</v>
      </c>
      <c r="K7" s="29">
        <f t="shared" si="2"/>
        <v>300556.67952838202</v>
      </c>
      <c r="L7" s="29">
        <f t="shared" si="2"/>
        <v>376895.3173098453</v>
      </c>
      <c r="M7" s="29">
        <f t="shared" si="2"/>
        <v>455107.62712924089</v>
      </c>
      <c r="N7" s="29">
        <f t="shared" si="2"/>
        <v>505380.1280089363</v>
      </c>
      <c r="O7" s="29">
        <f t="shared" si="2"/>
        <v>565032.51219517156</v>
      </c>
      <c r="P7" s="29">
        <f t="shared" si="2"/>
        <v>621959.94884726463</v>
      </c>
      <c r="Q7" s="29">
        <f t="shared" si="2"/>
        <v>682708.93854263925</v>
      </c>
      <c r="R7" s="29">
        <f t="shared" si="2"/>
        <v>738772.73779142078</v>
      </c>
      <c r="S7" s="29">
        <f t="shared" si="2"/>
        <v>788969.65027546161</v>
      </c>
      <c r="T7" s="29">
        <f t="shared" si="2"/>
        <v>841402.96911138552</v>
      </c>
      <c r="U7" s="29">
        <f t="shared" si="2"/>
        <v>915191.47658720496</v>
      </c>
      <c r="V7" s="29">
        <f t="shared" si="2"/>
        <v>992955.8790034072</v>
      </c>
      <c r="W7" s="36">
        <f t="shared" si="2"/>
        <v>1074890.9941166737</v>
      </c>
      <c r="X7" s="6"/>
    </row>
    <row r="8" spans="1:24" ht="13.5" x14ac:dyDescent="0.25">
      <c r="A8" s="14">
        <f t="shared" si="0"/>
        <v>8</v>
      </c>
      <c r="B8" s="19" t="s">
        <v>45</v>
      </c>
      <c r="C8" s="19"/>
      <c r="X8" s="6"/>
    </row>
    <row r="9" spans="1:24" x14ac:dyDescent="0.2">
      <c r="A9" s="14">
        <f t="shared" si="0"/>
        <v>9</v>
      </c>
      <c r="B9" s="1" t="s">
        <v>47</v>
      </c>
      <c r="D9" s="21">
        <f>Assumptions!D25</f>
        <v>313.54822153782857</v>
      </c>
      <c r="E9" s="21">
        <f>Assumptions!E25</f>
        <v>338.98178555226912</v>
      </c>
      <c r="F9" s="21">
        <f>Assumptions!F25</f>
        <v>615.33476750550892</v>
      </c>
      <c r="G9" s="21">
        <f>Assumptions!G25</f>
        <v>1539.2137253370747</v>
      </c>
      <c r="H9" s="21">
        <f>Assumptions!H25</f>
        <v>2963.5314508994657</v>
      </c>
      <c r="I9" s="21">
        <f>Assumptions!I25</f>
        <v>4568.7701868115309</v>
      </c>
      <c r="J9" s="21">
        <f>Assumptions!J25</f>
        <v>6570.9575996331841</v>
      </c>
      <c r="K9" s="21">
        <f>Assumptions!K25</f>
        <v>8651.3980327708978</v>
      </c>
      <c r="L9" s="21">
        <f>Assumptions!L25</f>
        <v>10786.545970515877</v>
      </c>
      <c r="M9" s="21">
        <f>Assumptions!M25</f>
        <v>12974.099441082311</v>
      </c>
      <c r="N9" s="21">
        <f>Assumptions!N25</f>
        <v>14380.192472056315</v>
      </c>
      <c r="O9" s="21">
        <f>Assumptions!O25</f>
        <v>16048.635462111066</v>
      </c>
      <c r="P9" s="21">
        <f>Assumptions!P25</f>
        <v>17640.863231707699</v>
      </c>
      <c r="Q9" s="21">
        <f>Assumptions!Q25</f>
        <v>19339.977649225719</v>
      </c>
      <c r="R9" s="21">
        <f>Assumptions!R25</f>
        <v>20908.04997573049</v>
      </c>
      <c r="S9" s="21">
        <f>Assumptions!S25</f>
        <v>22312.028842608968</v>
      </c>
      <c r="T9" s="21">
        <f>Assumptions!T25</f>
        <v>23778.558713133229</v>
      </c>
      <c r="U9" s="21">
        <f>Assumptions!U25</f>
        <v>25842.38096808748</v>
      </c>
      <c r="V9" s="21">
        <f>Assumptions!V25</f>
        <v>28017.406725348803</v>
      </c>
      <c r="W9" s="21">
        <f>Assumptions!W25</f>
        <v>30309.084925892603</v>
      </c>
      <c r="X9" s="6"/>
    </row>
    <row r="10" spans="1:24" ht="12" customHeight="1" x14ac:dyDescent="0.2">
      <c r="A10" s="14">
        <f t="shared" si="0"/>
        <v>10</v>
      </c>
      <c r="B10" s="1" t="s">
        <v>175</v>
      </c>
      <c r="D10" s="21">
        <f>Assumptions!D58</f>
        <v>394.93958685256149</v>
      </c>
      <c r="E10" s="21">
        <f>Assumptions!E58</f>
        <v>1829.5910156181794</v>
      </c>
      <c r="F10" s="21">
        <f>Assumptions!F58</f>
        <v>6640.3238557047271</v>
      </c>
      <c r="G10" s="21">
        <f>Assumptions!G58</f>
        <v>21508.024175893512</v>
      </c>
      <c r="H10" s="21">
        <f>Assumptions!H58</f>
        <v>42097.863604746686</v>
      </c>
      <c r="I10" s="21">
        <f>Assumptions!I58</f>
        <v>66955.814516119543</v>
      </c>
      <c r="J10" s="21">
        <f>Assumptions!J58</f>
        <v>97960.720708475259</v>
      </c>
      <c r="K10" s="21">
        <f>Assumptions!K58</f>
        <v>130177.41533713361</v>
      </c>
      <c r="L10" s="21">
        <f>Assumptions!L58</f>
        <v>163241.28393037885</v>
      </c>
      <c r="M10" s="21">
        <f>Assumptions!M58</f>
        <v>197116.67926616807</v>
      </c>
      <c r="N10" s="21">
        <f>Assumptions!N58</f>
        <v>218890.7560803036</v>
      </c>
      <c r="O10" s="21">
        <f>Assumptions!O58</f>
        <v>244727.45751128448</v>
      </c>
      <c r="P10" s="21">
        <f>Assumptions!P58</f>
        <v>269383.92688926111</v>
      </c>
      <c r="Q10" s="21">
        <f>Assumptions!Q58</f>
        <v>295695.59121592023</v>
      </c>
      <c r="R10" s="21">
        <f>Assumptions!R58</f>
        <v>319978.00108163455</v>
      </c>
      <c r="S10" s="21">
        <f>Assumptions!S58</f>
        <v>341719.33897281147</v>
      </c>
      <c r="T10" s="21">
        <f>Assumptions!T58</f>
        <v>364429.31146225624</v>
      </c>
      <c r="U10" s="21">
        <f>Assumptions!U58</f>
        <v>396388.665018662</v>
      </c>
      <c r="V10" s="21">
        <f>Assumptions!V58</f>
        <v>430070.06224351388</v>
      </c>
      <c r="W10" s="21">
        <f>Assumptions!W58</f>
        <v>465557.88280212611</v>
      </c>
      <c r="X10" s="6"/>
    </row>
    <row r="11" spans="1:24" ht="12" customHeight="1" x14ac:dyDescent="0.2">
      <c r="A11" s="14">
        <f t="shared" si="0"/>
        <v>11</v>
      </c>
      <c r="B11" s="1" t="s">
        <v>226</v>
      </c>
      <c r="D11" s="21">
        <f>Assumptions!D32</f>
        <v>375</v>
      </c>
      <c r="E11" s="21">
        <f>Assumptions!E32</f>
        <v>386.25</v>
      </c>
      <c r="F11" s="21">
        <f>Assumptions!F32</f>
        <v>397.83749999999998</v>
      </c>
      <c r="G11" s="21">
        <f>Assumptions!G32</f>
        <v>409.77262500000001</v>
      </c>
      <c r="H11" s="21">
        <f>Assumptions!H32</f>
        <v>422.06580374999999</v>
      </c>
      <c r="I11" s="21">
        <f>Assumptions!I32</f>
        <v>434.72777786249998</v>
      </c>
      <c r="J11" s="21">
        <f>Assumptions!J32</f>
        <v>447.769611198375</v>
      </c>
      <c r="K11" s="21">
        <f>Assumptions!K32</f>
        <v>461.20269953432626</v>
      </c>
      <c r="L11" s="21">
        <f>Assumptions!L32</f>
        <v>475.03878052035611</v>
      </c>
      <c r="M11" s="21">
        <f>Assumptions!M32</f>
        <v>489.28994393596673</v>
      </c>
      <c r="N11" s="21">
        <f>Assumptions!N32</f>
        <v>503.96864225404585</v>
      </c>
      <c r="O11" s="21">
        <f>Assumptions!O32</f>
        <v>519.08770152166721</v>
      </c>
      <c r="P11" s="21">
        <f>Assumptions!P32</f>
        <v>534.66033256731725</v>
      </c>
      <c r="Q11" s="21">
        <f>Assumptions!Q32</f>
        <v>550.7001425443367</v>
      </c>
      <c r="R11" s="21">
        <f>Assumptions!R32</f>
        <v>567.22114682066683</v>
      </c>
      <c r="S11" s="21">
        <f>Assumptions!S32</f>
        <v>584.23778122528688</v>
      </c>
      <c r="T11" s="21">
        <f>Assumptions!T32</f>
        <v>601.7649146620455</v>
      </c>
      <c r="U11" s="21">
        <f>Assumptions!U32</f>
        <v>619.81786210190671</v>
      </c>
      <c r="V11" s="21">
        <f>Assumptions!V32</f>
        <v>638.41239796496404</v>
      </c>
      <c r="W11" s="21">
        <f>Assumptions!W32</f>
        <v>657.56476990391297</v>
      </c>
      <c r="X11" s="6"/>
    </row>
    <row r="12" spans="1:24" x14ac:dyDescent="0.2">
      <c r="A12" s="14">
        <f t="shared" si="0"/>
        <v>12</v>
      </c>
      <c r="B12" s="1" t="s">
        <v>46</v>
      </c>
      <c r="D12" s="21">
        <f>Assumptions!D26</f>
        <v>2342.5338239784287</v>
      </c>
      <c r="E12" s="21">
        <f>Assumptions!E26</f>
        <v>6841.8456311781883</v>
      </c>
      <c r="F12" s="21">
        <f>Assumptions!F26</f>
        <v>18174.518297913975</v>
      </c>
      <c r="G12" s="21">
        <f>Assumptions!G26</f>
        <v>0</v>
      </c>
      <c r="H12" s="21">
        <f>Assumptions!H26</f>
        <v>0</v>
      </c>
      <c r="I12" s="21">
        <f>Assumptions!I26</f>
        <v>0</v>
      </c>
      <c r="J12" s="21">
        <f>Assumptions!J26</f>
        <v>0</v>
      </c>
      <c r="K12" s="21">
        <f>Assumptions!K26</f>
        <v>0</v>
      </c>
      <c r="L12" s="21">
        <f>Assumptions!L26</f>
        <v>0</v>
      </c>
      <c r="M12" s="21">
        <f>Assumptions!M26</f>
        <v>0</v>
      </c>
      <c r="N12" s="21">
        <f>Assumptions!N26</f>
        <v>0</v>
      </c>
      <c r="O12" s="21">
        <f>Assumptions!O26</f>
        <v>0</v>
      </c>
      <c r="P12" s="21">
        <f>Assumptions!P26</f>
        <v>0</v>
      </c>
      <c r="Q12" s="21">
        <f>Assumptions!Q26</f>
        <v>0</v>
      </c>
      <c r="R12" s="21">
        <f>Assumptions!R26</f>
        <v>0</v>
      </c>
      <c r="S12" s="21">
        <f>Assumptions!S26</f>
        <v>0</v>
      </c>
      <c r="T12" s="21">
        <f>Assumptions!T26</f>
        <v>0</v>
      </c>
      <c r="U12" s="21">
        <f>Assumptions!U26</f>
        <v>0</v>
      </c>
      <c r="V12" s="21">
        <f>Assumptions!V26</f>
        <v>0</v>
      </c>
      <c r="W12" s="21">
        <f>Assumptions!W26</f>
        <v>0</v>
      </c>
      <c r="X12" s="6"/>
    </row>
    <row r="13" spans="1:24" x14ac:dyDescent="0.2">
      <c r="A13" s="14">
        <f t="shared" si="0"/>
        <v>13</v>
      </c>
      <c r="B13" s="1" t="s">
        <v>163</v>
      </c>
      <c r="D13" s="21">
        <f>Assumptions!D38</f>
        <v>50</v>
      </c>
      <c r="E13" s="21">
        <f>Assumptions!E38</f>
        <v>0</v>
      </c>
      <c r="F13" s="21">
        <f>Assumptions!F38</f>
        <v>0</v>
      </c>
      <c r="G13" s="21">
        <f>Assumptions!G38</f>
        <v>0</v>
      </c>
      <c r="H13" s="21">
        <f>Assumptions!H38</f>
        <v>0</v>
      </c>
      <c r="I13" s="21">
        <f>Assumptions!I38</f>
        <v>0</v>
      </c>
      <c r="J13" s="21">
        <f>Assumptions!J38</f>
        <v>0</v>
      </c>
      <c r="K13" s="21">
        <f>Assumptions!K38</f>
        <v>0</v>
      </c>
      <c r="L13" s="21">
        <f>Assumptions!L38</f>
        <v>0</v>
      </c>
      <c r="M13" s="21">
        <f>Assumptions!M38</f>
        <v>0</v>
      </c>
      <c r="N13" s="21">
        <f>Assumptions!N38</f>
        <v>0</v>
      </c>
      <c r="O13" s="21">
        <f>Assumptions!O38</f>
        <v>0</v>
      </c>
      <c r="P13" s="21">
        <f>Assumptions!P38</f>
        <v>0</v>
      </c>
      <c r="Q13" s="21">
        <f>Assumptions!Q38</f>
        <v>0</v>
      </c>
      <c r="R13" s="21">
        <f>Assumptions!R38</f>
        <v>0</v>
      </c>
      <c r="S13" s="21">
        <f>Assumptions!S38</f>
        <v>0</v>
      </c>
      <c r="T13" s="21">
        <f>Assumptions!T38</f>
        <v>0</v>
      </c>
      <c r="U13" s="21">
        <f>Assumptions!U38</f>
        <v>0</v>
      </c>
      <c r="V13" s="21">
        <f>Assumptions!V38</f>
        <v>0</v>
      </c>
      <c r="W13" s="21">
        <f>Assumptions!W38</f>
        <v>0</v>
      </c>
      <c r="X13" s="6"/>
    </row>
    <row r="14" spans="1:24" x14ac:dyDescent="0.2">
      <c r="A14" s="14">
        <f t="shared" si="0"/>
        <v>14</v>
      </c>
      <c r="B14" s="9" t="s">
        <v>21</v>
      </c>
      <c r="C14" s="90"/>
      <c r="D14" s="29">
        <f>SUM(D9:D13)</f>
        <v>3476.0216323688187</v>
      </c>
      <c r="E14" s="29">
        <f t="shared" ref="E14:W14" si="3">SUM(E9:E13)</f>
        <v>9396.668432348637</v>
      </c>
      <c r="F14" s="29">
        <f t="shared" si="3"/>
        <v>25828.014421124211</v>
      </c>
      <c r="G14" s="29">
        <f t="shared" si="3"/>
        <v>23457.010526230588</v>
      </c>
      <c r="H14" s="29">
        <f t="shared" si="3"/>
        <v>45483.460859396153</v>
      </c>
      <c r="I14" s="29">
        <f t="shared" si="3"/>
        <v>71959.312480793567</v>
      </c>
      <c r="J14" s="29">
        <f t="shared" si="3"/>
        <v>104979.44791930681</v>
      </c>
      <c r="K14" s="29">
        <f t="shared" si="3"/>
        <v>139290.01606943883</v>
      </c>
      <c r="L14" s="29">
        <f t="shared" si="3"/>
        <v>174502.86868141507</v>
      </c>
      <c r="M14" s="29">
        <f t="shared" si="3"/>
        <v>210580.06865118633</v>
      </c>
      <c r="N14" s="29">
        <f t="shared" si="3"/>
        <v>233774.91719461395</v>
      </c>
      <c r="O14" s="29">
        <f t="shared" si="3"/>
        <v>261295.18067491721</v>
      </c>
      <c r="P14" s="29">
        <f t="shared" si="3"/>
        <v>287559.45045353612</v>
      </c>
      <c r="Q14" s="29">
        <f t="shared" si="3"/>
        <v>315586.26900769031</v>
      </c>
      <c r="R14" s="29">
        <f t="shared" si="3"/>
        <v>341453.27220418572</v>
      </c>
      <c r="S14" s="29">
        <f t="shared" si="3"/>
        <v>364615.60559664574</v>
      </c>
      <c r="T14" s="29">
        <f t="shared" si="3"/>
        <v>388809.63509005151</v>
      </c>
      <c r="U14" s="29">
        <f t="shared" si="3"/>
        <v>422850.86384885135</v>
      </c>
      <c r="V14" s="29">
        <f t="shared" si="3"/>
        <v>458725.88136682764</v>
      </c>
      <c r="W14" s="29">
        <f t="shared" si="3"/>
        <v>496524.5324979226</v>
      </c>
      <c r="X14" s="6"/>
    </row>
    <row r="15" spans="1:24" x14ac:dyDescent="0.2">
      <c r="A15" s="14">
        <f t="shared" si="0"/>
        <v>15</v>
      </c>
      <c r="B15" s="35" t="s">
        <v>5</v>
      </c>
      <c r="C15" s="91"/>
      <c r="D15" s="29">
        <f t="shared" ref="D15:W15" si="4">D7-D14</f>
        <v>-1903.8136005895774</v>
      </c>
      <c r="E15" s="29">
        <f t="shared" si="4"/>
        <v>-2740.5779776931031</v>
      </c>
      <c r="F15" s="29">
        <f t="shared" si="4"/>
        <v>-1663.7243901843067</v>
      </c>
      <c r="G15" s="29">
        <f t="shared" si="4"/>
        <v>23354.571503655287</v>
      </c>
      <c r="H15" s="29">
        <f t="shared" si="4"/>
        <v>51713.077169210177</v>
      </c>
      <c r="I15" s="29">
        <f t="shared" si="4"/>
        <v>82629.84750495301</v>
      </c>
      <c r="J15" s="29">
        <f t="shared" si="4"/>
        <v>121194.56901055516</v>
      </c>
      <c r="K15" s="29">
        <f t="shared" si="4"/>
        <v>161266.66345894319</v>
      </c>
      <c r="L15" s="29">
        <f t="shared" si="4"/>
        <v>202392.44862843023</v>
      </c>
      <c r="M15" s="29">
        <f t="shared" si="4"/>
        <v>244527.55847805456</v>
      </c>
      <c r="N15" s="29">
        <f t="shared" si="4"/>
        <v>271605.21081432234</v>
      </c>
      <c r="O15" s="29">
        <f t="shared" si="4"/>
        <v>303737.33152025437</v>
      </c>
      <c r="P15" s="29">
        <f t="shared" si="4"/>
        <v>334400.49839372851</v>
      </c>
      <c r="Q15" s="29">
        <f t="shared" si="4"/>
        <v>367122.66953494895</v>
      </c>
      <c r="R15" s="29">
        <f t="shared" si="4"/>
        <v>397319.46558723506</v>
      </c>
      <c r="S15" s="29">
        <f t="shared" si="4"/>
        <v>424354.04467881587</v>
      </c>
      <c r="T15" s="29">
        <f t="shared" si="4"/>
        <v>452593.33402133401</v>
      </c>
      <c r="U15" s="29">
        <f t="shared" si="4"/>
        <v>492340.61273835361</v>
      </c>
      <c r="V15" s="29">
        <f t="shared" si="4"/>
        <v>534229.99763657956</v>
      </c>
      <c r="W15" s="36">
        <f t="shared" si="4"/>
        <v>578366.46161875105</v>
      </c>
      <c r="X15" s="11"/>
    </row>
    <row r="16" spans="1:24" x14ac:dyDescent="0.2">
      <c r="A16" s="14">
        <f t="shared" si="0"/>
        <v>16</v>
      </c>
      <c r="B16" s="1" t="s">
        <v>6</v>
      </c>
      <c r="D16" s="21">
        <f>Assumptions!D116</f>
        <v>3793.0967135395849</v>
      </c>
      <c r="E16" s="21">
        <f>Assumptions!E116</f>
        <v>4050.2902920552096</v>
      </c>
      <c r="F16" s="21">
        <f>Assumptions!F116</f>
        <v>4270.3717064106786</v>
      </c>
      <c r="G16" s="21">
        <f>Assumptions!G116</f>
        <v>5039.1725706929046</v>
      </c>
      <c r="H16" s="21">
        <f>Assumptions!H116</f>
        <v>5828.467798762973</v>
      </c>
      <c r="I16" s="21">
        <f>Assumptions!I116</f>
        <v>2894.8500019607536</v>
      </c>
      <c r="J16" s="21">
        <f>Assumptions!J116</f>
        <v>2973.2361365670004</v>
      </c>
      <c r="K16" s="21">
        <f>Assumptions!K116</f>
        <v>3397.6098769804257</v>
      </c>
      <c r="L16" s="21">
        <f>Assumptions!L116</f>
        <v>3037.9223372135225</v>
      </c>
      <c r="M16" s="21">
        <f>Assumptions!M116</f>
        <v>2867.8281902574449</v>
      </c>
      <c r="N16" s="21">
        <f>Assumptions!N116</f>
        <v>2376.5359104481608</v>
      </c>
      <c r="O16" s="21">
        <f>Assumptions!O116</f>
        <v>2263.5755691764966</v>
      </c>
      <c r="P16" s="21">
        <f>Assumptions!P116</f>
        <v>1910.6313314681747</v>
      </c>
      <c r="Q16" s="21">
        <f>Assumptions!Q116</f>
        <v>1726.9951266767168</v>
      </c>
      <c r="R16" s="21">
        <f>Assumptions!R116</f>
        <v>1366.4234925017327</v>
      </c>
      <c r="S16" s="21">
        <f>Assumptions!S116</f>
        <v>1184.8325235179809</v>
      </c>
      <c r="T16" s="21">
        <f>Assumptions!T116</f>
        <v>1114.3165129630777</v>
      </c>
      <c r="U16" s="21">
        <f>Assumptions!U116</f>
        <v>1047.6911563545955</v>
      </c>
      <c r="V16" s="21">
        <f>Assumptions!V116</f>
        <v>990.3374603237678</v>
      </c>
      <c r="W16" s="21">
        <f>Assumptions!W116</f>
        <v>899.62994965790995</v>
      </c>
      <c r="X16" s="6"/>
    </row>
    <row r="17" spans="1:24" x14ac:dyDescent="0.2">
      <c r="A17" s="14">
        <f t="shared" si="0"/>
        <v>17</v>
      </c>
      <c r="B17" s="8" t="s">
        <v>2</v>
      </c>
      <c r="C17" s="8"/>
      <c r="D17" s="21">
        <f>D15-D16</f>
        <v>-5696.9103141291625</v>
      </c>
      <c r="E17" s="21">
        <f t="shared" ref="E17:W17" si="5">E15-E16</f>
        <v>-6790.8682697483127</v>
      </c>
      <c r="F17" s="21">
        <f t="shared" si="5"/>
        <v>-5934.0960965949853</v>
      </c>
      <c r="G17" s="21">
        <f t="shared" si="5"/>
        <v>18315.39893296238</v>
      </c>
      <c r="H17" s="21">
        <f t="shared" si="5"/>
        <v>45884.6093704472</v>
      </c>
      <c r="I17" s="21">
        <f t="shared" si="5"/>
        <v>79734.99750299225</v>
      </c>
      <c r="J17" s="21">
        <f t="shared" si="5"/>
        <v>118221.33287398817</v>
      </c>
      <c r="K17" s="21">
        <f t="shared" si="5"/>
        <v>157869.05358196277</v>
      </c>
      <c r="L17" s="21">
        <f t="shared" si="5"/>
        <v>199354.52629121669</v>
      </c>
      <c r="M17" s="21">
        <f t="shared" si="5"/>
        <v>241659.73028779711</v>
      </c>
      <c r="N17" s="21">
        <f t="shared" si="5"/>
        <v>269228.67490387417</v>
      </c>
      <c r="O17" s="21">
        <f t="shared" si="5"/>
        <v>301473.75595107785</v>
      </c>
      <c r="P17" s="21">
        <f t="shared" si="5"/>
        <v>332489.86706226034</v>
      </c>
      <c r="Q17" s="21">
        <f t="shared" si="5"/>
        <v>365395.6744082722</v>
      </c>
      <c r="R17" s="21">
        <f t="shared" si="5"/>
        <v>395953.04209473333</v>
      </c>
      <c r="S17" s="21">
        <f t="shared" si="5"/>
        <v>423169.21215529786</v>
      </c>
      <c r="T17" s="21">
        <f t="shared" si="5"/>
        <v>451479.01750837092</v>
      </c>
      <c r="U17" s="21">
        <f t="shared" si="5"/>
        <v>491292.92158199899</v>
      </c>
      <c r="V17" s="21">
        <f t="shared" si="5"/>
        <v>533239.66017625574</v>
      </c>
      <c r="W17" s="21">
        <f t="shared" si="5"/>
        <v>577466.83166909311</v>
      </c>
      <c r="X17" s="6"/>
    </row>
    <row r="18" spans="1:24" x14ac:dyDescent="0.2">
      <c r="A18" s="14">
        <f t="shared" si="0"/>
        <v>18</v>
      </c>
      <c r="B18" s="1" t="s">
        <v>7</v>
      </c>
      <c r="D18" s="21">
        <f ca="1">'EBSCS Cap'!D22</f>
        <v>340.48506647209246</v>
      </c>
      <c r="E18" s="21">
        <f ca="1">'EBSCS Cap'!E22</f>
        <v>1334.2728688730135</v>
      </c>
      <c r="F18" s="21">
        <f ca="1">'EBSCS Cap'!F22</f>
        <v>3046.5358780576057</v>
      </c>
      <c r="G18" s="21">
        <f ca="1">'EBSCS Cap'!G22</f>
        <v>2059.5084790065921</v>
      </c>
      <c r="H18" s="21">
        <f ca="1">'EBSCS Cap'!H22</f>
        <v>6.7604033499074285</v>
      </c>
      <c r="I18" s="21">
        <f ca="1">'EBSCS Cap'!I22</f>
        <v>0</v>
      </c>
      <c r="J18" s="21">
        <f ca="1">'EBSCS Cap'!J22</f>
        <v>0</v>
      </c>
      <c r="K18" s="21">
        <f ca="1">'EBSCS Cap'!K22</f>
        <v>0</v>
      </c>
      <c r="L18" s="21">
        <f ca="1">'EBSCS Cap'!L22</f>
        <v>0</v>
      </c>
      <c r="M18" s="21">
        <f ca="1">'EBSCS Cap'!M22</f>
        <v>0</v>
      </c>
      <c r="N18" s="21">
        <f ca="1">'EBSCS Cap'!N22</f>
        <v>0</v>
      </c>
      <c r="O18" s="21">
        <f ca="1">'EBSCS Cap'!O22</f>
        <v>0</v>
      </c>
      <c r="P18" s="21">
        <f ca="1">'EBSCS Cap'!P22</f>
        <v>0</v>
      </c>
      <c r="Q18" s="21">
        <f ca="1">'EBSCS Cap'!Q22</f>
        <v>0</v>
      </c>
      <c r="R18" s="21">
        <f ca="1">'EBSCS Cap'!R22</f>
        <v>0</v>
      </c>
      <c r="S18" s="21">
        <f ca="1">'EBSCS Cap'!S22</f>
        <v>0</v>
      </c>
      <c r="T18" s="21">
        <f ca="1">'EBSCS Cap'!T22</f>
        <v>0</v>
      </c>
      <c r="U18" s="21">
        <f ca="1">'EBSCS Cap'!U22</f>
        <v>0</v>
      </c>
      <c r="V18" s="21">
        <f ca="1">'EBSCS Cap'!V22</f>
        <v>0</v>
      </c>
      <c r="W18" s="21">
        <f ca="1">'EBSCS Cap'!W22</f>
        <v>0</v>
      </c>
      <c r="X18" s="6"/>
    </row>
    <row r="19" spans="1:24" x14ac:dyDescent="0.2">
      <c r="A19" s="14">
        <f t="shared" si="0"/>
        <v>19</v>
      </c>
      <c r="B19" s="8" t="s">
        <v>8</v>
      </c>
      <c r="C19" s="8"/>
      <c r="D19" s="21">
        <f t="shared" ref="D19:W19" ca="1" si="6">D17-D18</f>
        <v>-6037.3953806012551</v>
      </c>
      <c r="E19" s="21">
        <f t="shared" ca="1" si="6"/>
        <v>-8125.1411386213258</v>
      </c>
      <c r="F19" s="21">
        <f t="shared" ca="1" si="6"/>
        <v>-8980.6319746525915</v>
      </c>
      <c r="G19" s="21">
        <f t="shared" ca="1" si="6"/>
        <v>16255.890453955788</v>
      </c>
      <c r="H19" s="21">
        <f t="shared" ca="1" si="6"/>
        <v>45877.848967097292</v>
      </c>
      <c r="I19" s="21">
        <f t="shared" ca="1" si="6"/>
        <v>79734.99750299225</v>
      </c>
      <c r="J19" s="21">
        <f t="shared" ca="1" si="6"/>
        <v>118221.33287398817</v>
      </c>
      <c r="K19" s="21">
        <f t="shared" ca="1" si="6"/>
        <v>157869.05358196277</v>
      </c>
      <c r="L19" s="21">
        <f t="shared" ca="1" si="6"/>
        <v>199354.52629121669</v>
      </c>
      <c r="M19" s="21">
        <f t="shared" ca="1" si="6"/>
        <v>241659.73028779711</v>
      </c>
      <c r="N19" s="21">
        <f t="shared" ca="1" si="6"/>
        <v>269228.67490387417</v>
      </c>
      <c r="O19" s="21">
        <f t="shared" ca="1" si="6"/>
        <v>301473.75595107785</v>
      </c>
      <c r="P19" s="21">
        <f t="shared" ca="1" si="6"/>
        <v>332489.86706226034</v>
      </c>
      <c r="Q19" s="21">
        <f t="shared" ca="1" si="6"/>
        <v>365395.6744082722</v>
      </c>
      <c r="R19" s="21">
        <f t="shared" ca="1" si="6"/>
        <v>395953.04209473333</v>
      </c>
      <c r="S19" s="21">
        <f t="shared" ca="1" si="6"/>
        <v>423169.21215529786</v>
      </c>
      <c r="T19" s="21">
        <f t="shared" ca="1" si="6"/>
        <v>451479.01750837092</v>
      </c>
      <c r="U19" s="21">
        <f t="shared" ca="1" si="6"/>
        <v>491292.92158199899</v>
      </c>
      <c r="V19" s="21">
        <f t="shared" ca="1" si="6"/>
        <v>533239.66017625574</v>
      </c>
      <c r="W19" s="21">
        <f t="shared" ca="1" si="6"/>
        <v>577466.83166909311</v>
      </c>
      <c r="X19" s="6"/>
    </row>
    <row r="20" spans="1:24" x14ac:dyDescent="0.2">
      <c r="A20" s="14">
        <f t="shared" si="0"/>
        <v>20</v>
      </c>
      <c r="B20" s="1" t="s">
        <v>134</v>
      </c>
      <c r="D20" s="21">
        <f ca="1">'EBSCS Tax'!D6</f>
        <v>-2354.5841984344897</v>
      </c>
      <c r="E20" s="21">
        <f ca="1">'EBSCS Tax'!E6</f>
        <v>-3168.8050440623174</v>
      </c>
      <c r="F20" s="21">
        <f ca="1">'EBSCS Tax'!F6</f>
        <v>-3502.4464701145107</v>
      </c>
      <c r="G20" s="21">
        <f ca="1">'EBSCS Tax'!G6</f>
        <v>6339.7972770427577</v>
      </c>
      <c r="H20" s="21">
        <f ca="1">'EBSCS Tax'!H6</f>
        <v>17892.361097167945</v>
      </c>
      <c r="I20" s="21">
        <f ca="1">'EBSCS Tax'!I6</f>
        <v>31096.649026166979</v>
      </c>
      <c r="J20" s="21">
        <f ca="1">'EBSCS Tax'!J6</f>
        <v>46106.319820855388</v>
      </c>
      <c r="K20" s="21">
        <f ca="1">'EBSCS Tax'!K6</f>
        <v>61568.930896965481</v>
      </c>
      <c r="L20" s="21">
        <f ca="1">'EBSCS Tax'!L6</f>
        <v>77748.265253574515</v>
      </c>
      <c r="M20" s="21">
        <f ca="1">'EBSCS Tax'!M6</f>
        <v>94247.294812240871</v>
      </c>
      <c r="N20" s="21">
        <f ca="1">'EBSCS Tax'!N6</f>
        <v>104999.18321251094</v>
      </c>
      <c r="O20" s="21">
        <f ca="1">'EBSCS Tax'!O6</f>
        <v>117574.76482092036</v>
      </c>
      <c r="P20" s="21">
        <f ca="1">'EBSCS Tax'!P6</f>
        <v>129671.04815428154</v>
      </c>
      <c r="Q20" s="21">
        <f ca="1">'EBSCS Tax'!Q6</f>
        <v>142504.31301922616</v>
      </c>
      <c r="R20" s="21">
        <f ca="1">'EBSCS Tax'!R6</f>
        <v>154421.686416946</v>
      </c>
      <c r="S20" s="21">
        <f ca="1">'EBSCS Tax'!S6</f>
        <v>165035.99274056617</v>
      </c>
      <c r="T20" s="21">
        <f ca="1">'EBSCS Tax'!T6</f>
        <v>176076.81682826465</v>
      </c>
      <c r="U20" s="21">
        <f ca="1">'EBSCS Tax'!U6</f>
        <v>191604.2394169796</v>
      </c>
      <c r="V20" s="21">
        <f ca="1">'EBSCS Tax'!V6</f>
        <v>207963.46746873975</v>
      </c>
      <c r="W20" s="21">
        <f ca="1">'EBSCS Tax'!W6</f>
        <v>225212.06435094631</v>
      </c>
      <c r="X20" s="6"/>
    </row>
    <row r="21" spans="1:24" x14ac:dyDescent="0.2">
      <c r="A21" s="14">
        <f t="shared" si="0"/>
        <v>21</v>
      </c>
      <c r="B21" s="1" t="s">
        <v>3</v>
      </c>
      <c r="D21" s="21">
        <f t="shared" ref="D21:W21" ca="1" si="7">D19-D20</f>
        <v>-3682.8111821667653</v>
      </c>
      <c r="E21" s="21">
        <f t="shared" ca="1" si="7"/>
        <v>-4956.3360945590084</v>
      </c>
      <c r="F21" s="21">
        <f t="shared" ca="1" si="7"/>
        <v>-5478.1855045380807</v>
      </c>
      <c r="G21" s="21">
        <f t="shared" ca="1" si="7"/>
        <v>9916.0931769130293</v>
      </c>
      <c r="H21" s="21">
        <f t="shared" ca="1" si="7"/>
        <v>27985.487869929348</v>
      </c>
      <c r="I21" s="21">
        <f t="shared" ca="1" si="7"/>
        <v>48638.348476825267</v>
      </c>
      <c r="J21" s="21">
        <f t="shared" ca="1" si="7"/>
        <v>72115.013053132774</v>
      </c>
      <c r="K21" s="21">
        <f t="shared" ca="1" si="7"/>
        <v>96300.122684997288</v>
      </c>
      <c r="L21" s="21">
        <f t="shared" ca="1" si="7"/>
        <v>121606.26103764218</v>
      </c>
      <c r="M21" s="21">
        <f t="shared" ca="1" si="7"/>
        <v>147412.43547555624</v>
      </c>
      <c r="N21" s="21">
        <f t="shared" ca="1" si="7"/>
        <v>164229.49169136322</v>
      </c>
      <c r="O21" s="21">
        <f t="shared" ca="1" si="7"/>
        <v>183898.99113015749</v>
      </c>
      <c r="P21" s="21">
        <f t="shared" ca="1" si="7"/>
        <v>202818.8189079788</v>
      </c>
      <c r="Q21" s="21">
        <f t="shared" ca="1" si="7"/>
        <v>222891.36138904604</v>
      </c>
      <c r="R21" s="21">
        <f t="shared" ca="1" si="7"/>
        <v>241531.35567778733</v>
      </c>
      <c r="S21" s="21">
        <f t="shared" ca="1" si="7"/>
        <v>258133.21941473169</v>
      </c>
      <c r="T21" s="21">
        <f t="shared" ca="1" si="7"/>
        <v>275402.2006801063</v>
      </c>
      <c r="U21" s="21">
        <f t="shared" ca="1" si="7"/>
        <v>299688.68216501939</v>
      </c>
      <c r="V21" s="21">
        <f t="shared" ca="1" si="7"/>
        <v>325276.19270751602</v>
      </c>
      <c r="W21" s="21">
        <f t="shared" ca="1" si="7"/>
        <v>352254.76731814677</v>
      </c>
      <c r="X21" s="6"/>
    </row>
    <row r="22" spans="1:24" x14ac:dyDescent="0.2">
      <c r="A22" s="14">
        <f t="shared" si="0"/>
        <v>22</v>
      </c>
      <c r="D22" s="21"/>
      <c r="X22" s="6"/>
    </row>
    <row r="23" spans="1:24" x14ac:dyDescent="0.2">
      <c r="A23" s="14">
        <f t="shared" si="0"/>
        <v>23</v>
      </c>
      <c r="B23" s="1" t="s">
        <v>51</v>
      </c>
      <c r="D23" s="21">
        <f ca="1">'EBSCS Cap'!D81</f>
        <v>0</v>
      </c>
      <c r="E23" s="21">
        <f ca="1">'EBSCS Cap'!E81</f>
        <v>0</v>
      </c>
      <c r="F23" s="21">
        <f ca="1">'EBSCS Cap'!F81</f>
        <v>0</v>
      </c>
      <c r="G23" s="21">
        <f ca="1">'EBSCS Cap'!G81</f>
        <v>0</v>
      </c>
      <c r="H23" s="21">
        <f ca="1">'EBSCS Cap'!H81</f>
        <v>17728.354264998692</v>
      </c>
      <c r="I23" s="21">
        <f ca="1">'EBSCS Cap'!I81</f>
        <v>47228.33098060792</v>
      </c>
      <c r="J23" s="21">
        <f ca="1">'EBSCS Cap'!J81</f>
        <v>73416.855870267551</v>
      </c>
      <c r="K23" s="21">
        <f ca="1">'EBSCS Cap'!K81</f>
        <v>96561.618537256669</v>
      </c>
      <c r="L23" s="21">
        <f ca="1">'EBSCS Cap'!L81</f>
        <v>122692.95910485952</v>
      </c>
      <c r="M23" s="21">
        <f ca="1">'EBSCS Cap'!M81</f>
        <v>147218.81500721694</v>
      </c>
      <c r="N23" s="21">
        <f ca="1">'EBSCS Cap'!N81</f>
        <v>164748.63871795006</v>
      </c>
      <c r="O23" s="21">
        <f ca="1">'EBSCS Cap'!O81</f>
        <v>185049.76444957088</v>
      </c>
      <c r="P23" s="21">
        <f ca="1">'EBSCS Cap'!P81</f>
        <v>203353.98938286304</v>
      </c>
      <c r="Q23" s="21">
        <f ca="1">'EBSCS Cap'!Q81</f>
        <v>223582.88482000414</v>
      </c>
      <c r="R23" s="21">
        <f ca="1">'EBSCS Cap'!R81</f>
        <v>241637.99946285397</v>
      </c>
      <c r="S23" s="21">
        <f ca="1">'EBSCS Cap'!S81</f>
        <v>258368.3507806882</v>
      </c>
      <c r="T23" s="21">
        <f ca="1">'EBSCS Cap'!T81</f>
        <v>275756.70010567142</v>
      </c>
      <c r="U23" s="21">
        <f ca="1">'EBSCS Cap'!U81</f>
        <v>299694.92092733871</v>
      </c>
      <c r="V23" s="21">
        <f ca="1">'EBSCS Cap'!V81</f>
        <v>325519.0331157567</v>
      </c>
      <c r="W23" s="21">
        <f ca="1">'EBSCS Cap'!W81</f>
        <v>352349.56857817399</v>
      </c>
      <c r="X23" s="6"/>
    </row>
    <row r="24" spans="1:24" x14ac:dyDescent="0.2">
      <c r="A24" s="14">
        <f t="shared" si="0"/>
        <v>24</v>
      </c>
      <c r="B24" s="8" t="s">
        <v>52</v>
      </c>
      <c r="C24" s="8"/>
      <c r="D24" s="21">
        <f t="shared" ref="D24:W24" ca="1" si="8">D21-D23</f>
        <v>-3682.8111821667653</v>
      </c>
      <c r="E24" s="21">
        <f t="shared" ca="1" si="8"/>
        <v>-4956.3360945590084</v>
      </c>
      <c r="F24" s="21">
        <f t="shared" ca="1" si="8"/>
        <v>-5478.1855045380807</v>
      </c>
      <c r="G24" s="21">
        <f t="shared" ca="1" si="8"/>
        <v>9916.0931769130293</v>
      </c>
      <c r="H24" s="21">
        <f t="shared" ca="1" si="8"/>
        <v>10257.133604930656</v>
      </c>
      <c r="I24" s="21">
        <f t="shared" ca="1" si="8"/>
        <v>1410.0174962173478</v>
      </c>
      <c r="J24" s="21">
        <f t="shared" ca="1" si="8"/>
        <v>-1301.8428171347769</v>
      </c>
      <c r="K24" s="21">
        <f t="shared" ca="1" si="8"/>
        <v>-261.49585225938063</v>
      </c>
      <c r="L24" s="21">
        <f t="shared" ca="1" si="8"/>
        <v>-1086.6980672173377</v>
      </c>
      <c r="M24" s="21">
        <f t="shared" ca="1" si="8"/>
        <v>193.62046833930071</v>
      </c>
      <c r="N24" s="21">
        <f t="shared" ca="1" si="8"/>
        <v>-519.14702658684109</v>
      </c>
      <c r="O24" s="21">
        <f t="shared" ca="1" si="8"/>
        <v>-1150.7733194133907</v>
      </c>
      <c r="P24" s="21">
        <f t="shared" ca="1" si="8"/>
        <v>-535.17047488424578</v>
      </c>
      <c r="Q24" s="21">
        <f t="shared" ca="1" si="8"/>
        <v>-691.5234309580992</v>
      </c>
      <c r="R24" s="21">
        <f t="shared" ca="1" si="8"/>
        <v>-106.6437850666407</v>
      </c>
      <c r="S24" s="21">
        <f t="shared" ca="1" si="8"/>
        <v>-235.13136595650576</v>
      </c>
      <c r="T24" s="21">
        <f t="shared" ca="1" si="8"/>
        <v>-354.49942556512542</v>
      </c>
      <c r="U24" s="21">
        <f t="shared" ca="1" si="8"/>
        <v>-6.2387623193208128</v>
      </c>
      <c r="V24" s="21">
        <f t="shared" ca="1" si="8"/>
        <v>-242.84040824067779</v>
      </c>
      <c r="W24" s="21">
        <f t="shared" ca="1" si="8"/>
        <v>-94.801260027219541</v>
      </c>
      <c r="X24" s="6"/>
    </row>
    <row r="25" spans="1:24" x14ac:dyDescent="0.2">
      <c r="A25" s="14">
        <f t="shared" si="0"/>
        <v>25</v>
      </c>
      <c r="B25" s="8"/>
      <c r="C25" s="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6"/>
    </row>
    <row r="26" spans="1:24" x14ac:dyDescent="0.2">
      <c r="A26" s="14">
        <f t="shared" si="0"/>
        <v>26</v>
      </c>
      <c r="B26" s="1" t="s">
        <v>133</v>
      </c>
      <c r="D26" s="21">
        <f ca="1">D21</f>
        <v>-3682.8111821667653</v>
      </c>
      <c r="E26" s="21">
        <f t="shared" ref="E26:W26" ca="1" si="9">E21</f>
        <v>-4956.3360945590084</v>
      </c>
      <c r="F26" s="21">
        <f t="shared" ca="1" si="9"/>
        <v>-5478.1855045380807</v>
      </c>
      <c r="G26" s="21">
        <f t="shared" ca="1" si="9"/>
        <v>9916.0931769130293</v>
      </c>
      <c r="H26" s="21">
        <f t="shared" ca="1" si="9"/>
        <v>27985.487869929348</v>
      </c>
      <c r="I26" s="21">
        <f t="shared" ca="1" si="9"/>
        <v>48638.348476825267</v>
      </c>
      <c r="J26" s="21">
        <f t="shared" ca="1" si="9"/>
        <v>72115.013053132774</v>
      </c>
      <c r="K26" s="21">
        <f t="shared" ca="1" si="9"/>
        <v>96300.122684997288</v>
      </c>
      <c r="L26" s="21">
        <f t="shared" ca="1" si="9"/>
        <v>121606.26103764218</v>
      </c>
      <c r="M26" s="21">
        <f t="shared" ca="1" si="9"/>
        <v>147412.43547555624</v>
      </c>
      <c r="N26" s="21">
        <f t="shared" ca="1" si="9"/>
        <v>164229.49169136322</v>
      </c>
      <c r="O26" s="21">
        <f t="shared" ca="1" si="9"/>
        <v>183898.99113015749</v>
      </c>
      <c r="P26" s="21">
        <f t="shared" ca="1" si="9"/>
        <v>202818.8189079788</v>
      </c>
      <c r="Q26" s="21">
        <f t="shared" ca="1" si="9"/>
        <v>222891.36138904604</v>
      </c>
      <c r="R26" s="21">
        <f t="shared" ca="1" si="9"/>
        <v>241531.35567778733</v>
      </c>
      <c r="S26" s="21">
        <f t="shared" ca="1" si="9"/>
        <v>258133.21941473169</v>
      </c>
      <c r="T26" s="21">
        <f t="shared" ca="1" si="9"/>
        <v>275402.2006801063</v>
      </c>
      <c r="U26" s="21">
        <f t="shared" ca="1" si="9"/>
        <v>299688.68216501939</v>
      </c>
      <c r="V26" s="21">
        <f t="shared" ca="1" si="9"/>
        <v>325276.19270751602</v>
      </c>
      <c r="W26" s="21">
        <f t="shared" ca="1" si="9"/>
        <v>352254.76731814677</v>
      </c>
      <c r="X26" s="6"/>
    </row>
    <row r="27" spans="1:24" x14ac:dyDescent="0.2">
      <c r="A27" s="14">
        <f t="shared" si="0"/>
        <v>27</v>
      </c>
      <c r="B27" s="1" t="s">
        <v>135</v>
      </c>
      <c r="D27" s="21">
        <f t="shared" ref="D27:W27" si="10">D16</f>
        <v>3793.0967135395849</v>
      </c>
      <c r="E27" s="21">
        <f t="shared" si="10"/>
        <v>4050.2902920552096</v>
      </c>
      <c r="F27" s="21">
        <f t="shared" si="10"/>
        <v>4270.3717064106786</v>
      </c>
      <c r="G27" s="21">
        <f t="shared" si="10"/>
        <v>5039.1725706929046</v>
      </c>
      <c r="H27" s="21">
        <f t="shared" si="10"/>
        <v>5828.467798762973</v>
      </c>
      <c r="I27" s="21">
        <f t="shared" si="10"/>
        <v>2894.8500019607536</v>
      </c>
      <c r="J27" s="21">
        <f t="shared" si="10"/>
        <v>2973.2361365670004</v>
      </c>
      <c r="K27" s="21">
        <f t="shared" si="10"/>
        <v>3397.6098769804257</v>
      </c>
      <c r="L27" s="21">
        <f t="shared" si="10"/>
        <v>3037.9223372135225</v>
      </c>
      <c r="M27" s="21">
        <f t="shared" si="10"/>
        <v>2867.8281902574449</v>
      </c>
      <c r="N27" s="21">
        <f t="shared" si="10"/>
        <v>2376.5359104481608</v>
      </c>
      <c r="O27" s="21">
        <f t="shared" si="10"/>
        <v>2263.5755691764966</v>
      </c>
      <c r="P27" s="21">
        <f t="shared" si="10"/>
        <v>1910.6313314681747</v>
      </c>
      <c r="Q27" s="21">
        <f t="shared" si="10"/>
        <v>1726.9951266767168</v>
      </c>
      <c r="R27" s="21">
        <f t="shared" si="10"/>
        <v>1366.4234925017327</v>
      </c>
      <c r="S27" s="21">
        <f t="shared" si="10"/>
        <v>1184.8325235179809</v>
      </c>
      <c r="T27" s="21">
        <f t="shared" si="10"/>
        <v>1114.3165129630777</v>
      </c>
      <c r="U27" s="21">
        <f t="shared" si="10"/>
        <v>1047.6911563545955</v>
      </c>
      <c r="V27" s="21">
        <f t="shared" si="10"/>
        <v>990.3374603237678</v>
      </c>
      <c r="W27" s="21">
        <f t="shared" si="10"/>
        <v>899.62994965790995</v>
      </c>
      <c r="X27" s="6"/>
    </row>
    <row r="28" spans="1:24" x14ac:dyDescent="0.2">
      <c r="A28" s="14">
        <f t="shared" si="0"/>
        <v>28</v>
      </c>
      <c r="B28" s="1" t="s">
        <v>136</v>
      </c>
      <c r="D28" s="21">
        <f ca="1">'EBSCS Tax'!D19</f>
        <v>-2354.5841984344897</v>
      </c>
      <c r="E28" s="21">
        <f ca="1">'EBSCS Tax'!E19</f>
        <v>-3168.8050440623174</v>
      </c>
      <c r="F28" s="21">
        <f ca="1">'EBSCS Tax'!F19</f>
        <v>-3502.4464701145107</v>
      </c>
      <c r="G28" s="21">
        <f ca="1">'EBSCS Tax'!G19</f>
        <v>6339.7972770427577</v>
      </c>
      <c r="H28" s="21">
        <f ca="1">'EBSCS Tax'!H19</f>
        <v>2686.0384355685601</v>
      </c>
      <c r="I28" s="21">
        <f ca="1">'EBSCS Tax'!I19</f>
        <v>0</v>
      </c>
      <c r="J28" s="21">
        <f ca="1">'EBSCS Tax'!J19</f>
        <v>0</v>
      </c>
      <c r="K28" s="21">
        <f ca="1">'EBSCS Tax'!K19</f>
        <v>0</v>
      </c>
      <c r="L28" s="21">
        <f ca="1">'EBSCS Tax'!L19</f>
        <v>0</v>
      </c>
      <c r="M28" s="21">
        <f ca="1">'EBSCS Tax'!M19</f>
        <v>0</v>
      </c>
      <c r="N28" s="21">
        <f ca="1">'EBSCS Tax'!N19</f>
        <v>0</v>
      </c>
      <c r="O28" s="21">
        <f ca="1">'EBSCS Tax'!O19</f>
        <v>0</v>
      </c>
      <c r="P28" s="21">
        <f ca="1">'EBSCS Tax'!P19</f>
        <v>0</v>
      </c>
      <c r="Q28" s="21">
        <f ca="1">'EBSCS Tax'!Q19</f>
        <v>0</v>
      </c>
      <c r="R28" s="21">
        <f ca="1">'EBSCS Tax'!R19</f>
        <v>0</v>
      </c>
      <c r="S28" s="21">
        <f ca="1">'EBSCS Tax'!S19</f>
        <v>0</v>
      </c>
      <c r="T28" s="21">
        <f ca="1">'EBSCS Tax'!T19</f>
        <v>0</v>
      </c>
      <c r="U28" s="21">
        <f ca="1">'EBSCS Tax'!U19</f>
        <v>0</v>
      </c>
      <c r="V28" s="21">
        <f ca="1">'EBSCS Tax'!V19</f>
        <v>0</v>
      </c>
      <c r="W28" s="21">
        <f ca="1">'EBSCS Tax'!W19</f>
        <v>0</v>
      </c>
      <c r="X28" s="6"/>
    </row>
    <row r="29" spans="1:24" x14ac:dyDescent="0.2">
      <c r="A29" s="14">
        <f t="shared" si="0"/>
        <v>29</v>
      </c>
      <c r="B29" s="1" t="s">
        <v>137</v>
      </c>
      <c r="D29" s="21">
        <f>Assumptions!D62</f>
        <v>5941.3198962010683</v>
      </c>
      <c r="E29" s="21">
        <f>Assumptions!E62</f>
        <v>1249.4105195312497</v>
      </c>
      <c r="F29" s="21">
        <f>Assumptions!F62</f>
        <v>991.43035058593728</v>
      </c>
      <c r="G29" s="21">
        <f>Assumptions!G62</f>
        <v>3732.5891779785147</v>
      </c>
      <c r="H29" s="21">
        <f>Assumptions!H62</f>
        <v>3899.3794662475566</v>
      </c>
      <c r="I29" s="21">
        <f>Assumptions!I62</f>
        <v>4304.8674981780996</v>
      </c>
      <c r="J29" s="21">
        <f>Assumptions!J62</f>
        <v>1671.3933194322201</v>
      </c>
      <c r="K29" s="21">
        <f>Assumptions!K62</f>
        <v>3136.1140247210451</v>
      </c>
      <c r="L29" s="21">
        <f>Assumptions!L62</f>
        <v>1951.2242699961844</v>
      </c>
      <c r="M29" s="21">
        <f>Assumptions!M62</f>
        <v>3061.4486585967652</v>
      </c>
      <c r="N29" s="21">
        <f>Assumptions!N62</f>
        <v>1857.3888838612918</v>
      </c>
      <c r="O29" s="21">
        <f>Assumptions!O62</f>
        <v>1112.8022497631046</v>
      </c>
      <c r="P29" s="21">
        <f>Assumptions!P62</f>
        <v>1375.4608565839426</v>
      </c>
      <c r="Q29" s="21">
        <f>Assumptions!Q62</f>
        <v>1035.4716957186042</v>
      </c>
      <c r="R29" s="21">
        <f>Assumptions!R62</f>
        <v>1259.7797074350933</v>
      </c>
      <c r="S29" s="21">
        <f>Assumptions!S62</f>
        <v>949.70115756146765</v>
      </c>
      <c r="T29" s="21">
        <f>Assumptions!T62</f>
        <v>759.81708739795431</v>
      </c>
      <c r="U29" s="21">
        <f>Assumptions!U62</f>
        <v>1041.4523940352717</v>
      </c>
      <c r="V29" s="21">
        <f>Assumptions!V62</f>
        <v>747.49705208306102</v>
      </c>
      <c r="W29" s="21">
        <f>Assumptions!W62</f>
        <v>804.82868963068381</v>
      </c>
      <c r="X29" s="6"/>
    </row>
    <row r="30" spans="1:24" x14ac:dyDescent="0.2">
      <c r="A30" s="14">
        <f t="shared" si="0"/>
        <v>30</v>
      </c>
      <c r="B30" s="1" t="s">
        <v>138</v>
      </c>
      <c r="D30" s="23">
        <f>Assumptions!D108</f>
        <v>579.63192305714188</v>
      </c>
      <c r="E30" s="23">
        <f>Assumptions!E108</f>
        <v>1815.7459883362628</v>
      </c>
      <c r="F30" s="23">
        <f>Assumptions!F108</f>
        <v>5717.8609670777987</v>
      </c>
      <c r="G30" s="23">
        <f>Assumptions!G108</f>
        <v>-4583.0099267018104</v>
      </c>
      <c r="H30" s="23">
        <f>Assumptions!H108</f>
        <v>-3530.2289517693935</v>
      </c>
      <c r="I30" s="23">
        <f>Assumptions!I108</f>
        <v>0</v>
      </c>
      <c r="J30" s="23">
        <f>Assumptions!J108</f>
        <v>0</v>
      </c>
      <c r="K30" s="23">
        <f>Assumptions!K108</f>
        <v>0</v>
      </c>
      <c r="L30" s="23">
        <f>Assumptions!L108</f>
        <v>0</v>
      </c>
      <c r="M30" s="23">
        <f>Assumptions!M108</f>
        <v>0</v>
      </c>
      <c r="N30" s="23">
        <f>Assumptions!N108</f>
        <v>0</v>
      </c>
      <c r="O30" s="23">
        <f>Assumptions!O108</f>
        <v>0</v>
      </c>
      <c r="P30" s="23">
        <f>Assumptions!P108</f>
        <v>0</v>
      </c>
      <c r="Q30" s="23">
        <f>Assumptions!Q108</f>
        <v>0</v>
      </c>
      <c r="R30" s="23">
        <f>Assumptions!R108</f>
        <v>0</v>
      </c>
      <c r="S30" s="23">
        <f>Assumptions!S108</f>
        <v>0</v>
      </c>
      <c r="T30" s="23">
        <f>Assumptions!T108</f>
        <v>0</v>
      </c>
      <c r="U30" s="23">
        <f>Assumptions!U108</f>
        <v>0</v>
      </c>
      <c r="V30" s="23">
        <f>Assumptions!V108</f>
        <v>0</v>
      </c>
      <c r="W30" s="23">
        <f>Assumptions!W108</f>
        <v>0</v>
      </c>
      <c r="X30" s="6"/>
    </row>
    <row r="31" spans="1:24" x14ac:dyDescent="0.2">
      <c r="A31" s="14">
        <f t="shared" si="0"/>
        <v>31</v>
      </c>
      <c r="B31" s="9" t="s">
        <v>111</v>
      </c>
      <c r="C31" s="90"/>
      <c r="D31" s="29">
        <f ca="1">D26+D27+D28-D29-D30</f>
        <v>-8765.250486319881</v>
      </c>
      <c r="E31" s="29">
        <f t="shared" ref="E31:W31" ca="1" si="11">E26+E27+E28-E29-E30</f>
        <v>-7140.0073544336283</v>
      </c>
      <c r="F31" s="29">
        <f t="shared" ca="1" si="11"/>
        <v>-11419.551585905649</v>
      </c>
      <c r="G31" s="29">
        <f t="shared" ca="1" si="11"/>
        <v>22145.483773371983</v>
      </c>
      <c r="H31" s="29">
        <f t="shared" ca="1" si="11"/>
        <v>36130.843589782715</v>
      </c>
      <c r="I31" s="29">
        <f t="shared" ca="1" si="11"/>
        <v>47228.33098060792</v>
      </c>
      <c r="J31" s="29">
        <f t="shared" ca="1" si="11"/>
        <v>73416.855870267551</v>
      </c>
      <c r="K31" s="29">
        <f t="shared" ca="1" si="11"/>
        <v>96561.618537256669</v>
      </c>
      <c r="L31" s="29">
        <f t="shared" ca="1" si="11"/>
        <v>122692.95910485952</v>
      </c>
      <c r="M31" s="29">
        <f t="shared" ca="1" si="11"/>
        <v>147218.81500721694</v>
      </c>
      <c r="N31" s="29">
        <f t="shared" ca="1" si="11"/>
        <v>164748.63871795006</v>
      </c>
      <c r="O31" s="29">
        <f t="shared" ca="1" si="11"/>
        <v>185049.76444957088</v>
      </c>
      <c r="P31" s="29">
        <f t="shared" ca="1" si="11"/>
        <v>203353.98938286304</v>
      </c>
      <c r="Q31" s="29">
        <f t="shared" ca="1" si="11"/>
        <v>223582.88482000414</v>
      </c>
      <c r="R31" s="29">
        <f t="shared" ca="1" si="11"/>
        <v>241637.99946285397</v>
      </c>
      <c r="S31" s="29">
        <f t="shared" ca="1" si="11"/>
        <v>258368.3507806882</v>
      </c>
      <c r="T31" s="29">
        <f t="shared" ca="1" si="11"/>
        <v>275756.70010567142</v>
      </c>
      <c r="U31" s="29">
        <f t="shared" ca="1" si="11"/>
        <v>299694.92092733871</v>
      </c>
      <c r="V31" s="29">
        <f t="shared" ca="1" si="11"/>
        <v>325519.0331157567</v>
      </c>
      <c r="W31" s="29">
        <f t="shared" ca="1" si="11"/>
        <v>352349.56857817399</v>
      </c>
      <c r="X31" s="6"/>
    </row>
    <row r="32" spans="1:24" x14ac:dyDescent="0.2">
      <c r="A32" s="14">
        <f t="shared" si="0"/>
        <v>32</v>
      </c>
      <c r="B32" s="39"/>
      <c r="C32" s="39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6"/>
    </row>
    <row r="33" spans="1:24" s="21" customFormat="1" x14ac:dyDescent="0.2">
      <c r="A33" s="14">
        <f t="shared" si="0"/>
        <v>33</v>
      </c>
      <c r="B33" s="21" t="s">
        <v>209</v>
      </c>
      <c r="K33" s="127"/>
      <c r="X33" s="151"/>
    </row>
    <row r="34" spans="1:24" s="21" customFormat="1" x14ac:dyDescent="0.2">
      <c r="A34" s="14">
        <f t="shared" si="0"/>
        <v>34</v>
      </c>
      <c r="B34" s="21" t="s">
        <v>211</v>
      </c>
      <c r="D34" s="21">
        <f ca="1">'EBSCS Cap'!D98</f>
        <v>0</v>
      </c>
      <c r="E34" s="21">
        <f ca="1">'EBSCS Cap'!E98</f>
        <v>0</v>
      </c>
      <c r="F34" s="21">
        <f ca="1">'EBSCS Cap'!F98</f>
        <v>0</v>
      </c>
      <c r="G34" s="21">
        <f ca="1">'EBSCS Cap'!G98</f>
        <v>0</v>
      </c>
      <c r="H34" s="21">
        <f ca="1">'EBSCS Cap'!H98</f>
        <v>8217.7225218359217</v>
      </c>
      <c r="I34" s="21">
        <f ca="1">'EBSCS Cap'!I98</f>
        <v>472.28330980607922</v>
      </c>
      <c r="J34" s="21">
        <f ca="1">'EBSCS Cap'!J98</f>
        <v>734.16855870267557</v>
      </c>
      <c r="K34" s="21">
        <f ca="1">'EBSCS Cap'!K98</f>
        <v>965.61618537256675</v>
      </c>
      <c r="L34" s="21">
        <f ca="1">'EBSCS Cap'!L98</f>
        <v>1226.9295910485953</v>
      </c>
      <c r="M34" s="21">
        <f ca="1">'EBSCS Cap'!M98</f>
        <v>1472.1881500721695</v>
      </c>
      <c r="N34" s="21">
        <f ca="1">'EBSCS Cap'!N98</f>
        <v>1647.4863871795005</v>
      </c>
      <c r="O34" s="21">
        <f ca="1">'EBSCS Cap'!O98</f>
        <v>1850.4976444957088</v>
      </c>
      <c r="P34" s="21">
        <f ca="1">'EBSCS Cap'!P98</f>
        <v>2033.5398938286305</v>
      </c>
      <c r="Q34" s="21">
        <f ca="1">'EBSCS Cap'!Q98</f>
        <v>2235.8288482000416</v>
      </c>
      <c r="R34" s="21">
        <f ca="1">'EBSCS Cap'!R98</f>
        <v>2416.3799946285399</v>
      </c>
      <c r="S34" s="21">
        <f ca="1">'EBSCS Cap'!S98</f>
        <v>2583.6835078068821</v>
      </c>
      <c r="T34" s="21">
        <f ca="1">'EBSCS Cap'!T98</f>
        <v>2757.5670010567142</v>
      </c>
      <c r="U34" s="21">
        <f ca="1">'EBSCS Cap'!U98</f>
        <v>2996.9492092733872</v>
      </c>
      <c r="V34" s="21">
        <f ca="1">'EBSCS Cap'!V98</f>
        <v>3255.190331157567</v>
      </c>
      <c r="W34" s="21">
        <f ca="1">'EBSCS Cap'!W98</f>
        <v>3523.4956857817401</v>
      </c>
      <c r="X34" s="151"/>
    </row>
    <row r="35" spans="1:24" s="21" customFormat="1" x14ac:dyDescent="0.2">
      <c r="A35" s="14">
        <f t="shared" si="0"/>
        <v>35</v>
      </c>
      <c r="B35" s="21" t="s">
        <v>208</v>
      </c>
      <c r="D35" s="21">
        <f ca="1">'EBSCS Cap'!D99</f>
        <v>0</v>
      </c>
      <c r="E35" s="21">
        <f ca="1">'EBSCS Cap'!E99</f>
        <v>0</v>
      </c>
      <c r="F35" s="21">
        <f ca="1">'EBSCS Cap'!F99</f>
        <v>0</v>
      </c>
      <c r="G35" s="21">
        <f ca="1">'EBSCS Cap'!G99</f>
        <v>0</v>
      </c>
      <c r="H35" s="21">
        <f ca="1">'EBSCS Cap'!H99</f>
        <v>27828.616026072956</v>
      </c>
      <c r="I35" s="21">
        <f ca="1">'EBSCS Cap'!I99</f>
        <v>46756.04767080184</v>
      </c>
      <c r="J35" s="21">
        <f ca="1">'EBSCS Cap'!J99</f>
        <v>72682.687311564878</v>
      </c>
      <c r="K35" s="21">
        <f ca="1">'EBSCS Cap'!K99</f>
        <v>95596.002351884104</v>
      </c>
      <c r="L35" s="21">
        <f ca="1">'EBSCS Cap'!L99</f>
        <v>121466.02951381092</v>
      </c>
      <c r="M35" s="21">
        <f ca="1">'EBSCS Cap'!M99</f>
        <v>145746.62685714476</v>
      </c>
      <c r="N35" s="21">
        <f ca="1">'EBSCS Cap'!N99</f>
        <v>163101.15233077056</v>
      </c>
      <c r="O35" s="21">
        <f ca="1">'EBSCS Cap'!O99</f>
        <v>183199.26680507517</v>
      </c>
      <c r="P35" s="21">
        <f ca="1">'EBSCS Cap'!P99</f>
        <v>201320.44948903442</v>
      </c>
      <c r="Q35" s="21">
        <f ca="1">'EBSCS Cap'!Q99</f>
        <v>221347.0559718041</v>
      </c>
      <c r="R35" s="21">
        <f ca="1">'EBSCS Cap'!R99</f>
        <v>239221.61946822543</v>
      </c>
      <c r="S35" s="21">
        <f ca="1">'EBSCS Cap'!S99</f>
        <v>255784.66727288131</v>
      </c>
      <c r="T35" s="21">
        <f ca="1">'EBSCS Cap'!T99</f>
        <v>272999.13310461468</v>
      </c>
      <c r="U35" s="21">
        <f ca="1">'EBSCS Cap'!U99</f>
        <v>296697.97171806532</v>
      </c>
      <c r="V35" s="21">
        <f ca="1">'EBSCS Cap'!V99</f>
        <v>322263.84278459911</v>
      </c>
      <c r="W35" s="21">
        <f ca="1">'EBSCS Cap'!W99</f>
        <v>348826.07289239223</v>
      </c>
      <c r="X35" s="151"/>
    </row>
    <row r="36" spans="1:24" s="21" customFormat="1" x14ac:dyDescent="0.2">
      <c r="A36" s="14">
        <f t="shared" si="0"/>
        <v>36</v>
      </c>
      <c r="B36" s="21" t="s">
        <v>204</v>
      </c>
      <c r="D36" s="21">
        <f t="shared" ref="D36:W36" ca="1" si="12">SUM(D34:D35)</f>
        <v>0</v>
      </c>
      <c r="E36" s="21">
        <f t="shared" ca="1" si="12"/>
        <v>0</v>
      </c>
      <c r="F36" s="21">
        <f t="shared" ca="1" si="12"/>
        <v>0</v>
      </c>
      <c r="G36" s="21">
        <f t="shared" ca="1" si="12"/>
        <v>0</v>
      </c>
      <c r="H36" s="21">
        <f t="shared" ca="1" si="12"/>
        <v>36046.338547908876</v>
      </c>
      <c r="I36" s="21">
        <f t="shared" ca="1" si="12"/>
        <v>47228.33098060792</v>
      </c>
      <c r="J36" s="21">
        <f t="shared" ca="1" si="12"/>
        <v>73416.855870267551</v>
      </c>
      <c r="K36" s="21">
        <f t="shared" ca="1" si="12"/>
        <v>96561.618537256669</v>
      </c>
      <c r="L36" s="21">
        <f t="shared" ca="1" si="12"/>
        <v>122692.95910485952</v>
      </c>
      <c r="M36" s="21">
        <f t="shared" ca="1" si="12"/>
        <v>147218.81500721694</v>
      </c>
      <c r="N36" s="21">
        <f t="shared" ca="1" si="12"/>
        <v>164748.63871795006</v>
      </c>
      <c r="O36" s="21">
        <f t="shared" ca="1" si="12"/>
        <v>185049.76444957088</v>
      </c>
      <c r="P36" s="21">
        <f t="shared" ca="1" si="12"/>
        <v>203353.98938286304</v>
      </c>
      <c r="Q36" s="21">
        <f t="shared" ca="1" si="12"/>
        <v>223582.88482000414</v>
      </c>
      <c r="R36" s="21">
        <f t="shared" ca="1" si="12"/>
        <v>241637.99946285397</v>
      </c>
      <c r="S36" s="21">
        <f t="shared" ca="1" si="12"/>
        <v>258368.3507806882</v>
      </c>
      <c r="T36" s="21">
        <f t="shared" ca="1" si="12"/>
        <v>275756.70010567142</v>
      </c>
      <c r="U36" s="21">
        <f t="shared" ca="1" si="12"/>
        <v>299694.92092733871</v>
      </c>
      <c r="V36" s="21">
        <f t="shared" ca="1" si="12"/>
        <v>325519.0331157567</v>
      </c>
      <c r="W36" s="21">
        <f t="shared" ca="1" si="12"/>
        <v>352349.56857817399</v>
      </c>
      <c r="X36" s="151"/>
    </row>
    <row r="37" spans="1:24" ht="13.5" thickBot="1" x14ac:dyDescent="0.25">
      <c r="A37" s="14">
        <f t="shared" si="0"/>
        <v>37</v>
      </c>
      <c r="H37" s="21"/>
      <c r="I37" s="21"/>
      <c r="J37" s="21"/>
      <c r="K37" s="21"/>
      <c r="L37" s="21"/>
      <c r="M37" s="21"/>
      <c r="X37" s="37"/>
    </row>
    <row r="38" spans="1:24" ht="13.5" thickBot="1" x14ac:dyDescent="0.25">
      <c r="A38" s="14">
        <f t="shared" si="0"/>
        <v>38</v>
      </c>
      <c r="B38" s="39" t="s">
        <v>222</v>
      </c>
      <c r="C38" s="202">
        <f>Gain!B56</f>
        <v>0.81</v>
      </c>
      <c r="D38" s="21">
        <f ca="1">$C$38*D35</f>
        <v>0</v>
      </c>
      <c r="E38" s="21">
        <f t="shared" ref="E38:W38" ca="1" si="13">$C$38*E35</f>
        <v>0</v>
      </c>
      <c r="F38" s="21">
        <f t="shared" ca="1" si="13"/>
        <v>0</v>
      </c>
      <c r="G38" s="21">
        <f t="shared" ca="1" si="13"/>
        <v>0</v>
      </c>
      <c r="H38" s="21">
        <f t="shared" ca="1" si="13"/>
        <v>22541.178981119094</v>
      </c>
      <c r="I38" s="21">
        <f t="shared" ca="1" si="13"/>
        <v>37872.398613349491</v>
      </c>
      <c r="J38" s="21">
        <f t="shared" ca="1" si="13"/>
        <v>58872.976722367552</v>
      </c>
      <c r="K38" s="21">
        <f t="shared" ca="1" si="13"/>
        <v>77432.761905026127</v>
      </c>
      <c r="L38" s="21">
        <f t="shared" ca="1" si="13"/>
        <v>98387.483906186855</v>
      </c>
      <c r="M38" s="21">
        <f t="shared" ca="1" si="13"/>
        <v>118054.76775428726</v>
      </c>
      <c r="N38" s="21">
        <f t="shared" ca="1" si="13"/>
        <v>132111.93338792416</v>
      </c>
      <c r="O38" s="21">
        <f t="shared" ca="1" si="13"/>
        <v>148391.40611211088</v>
      </c>
      <c r="P38" s="21">
        <f t="shared" ca="1" si="13"/>
        <v>163069.5640861179</v>
      </c>
      <c r="Q38" s="21">
        <f t="shared" ca="1" si="13"/>
        <v>179291.11533716135</v>
      </c>
      <c r="R38" s="21">
        <f t="shared" ca="1" si="13"/>
        <v>193769.51176926261</v>
      </c>
      <c r="S38" s="21">
        <f t="shared" ca="1" si="13"/>
        <v>207185.58049103388</v>
      </c>
      <c r="T38" s="21">
        <f t="shared" ca="1" si="13"/>
        <v>221129.29781473792</v>
      </c>
      <c r="U38" s="21">
        <f t="shared" ca="1" si="13"/>
        <v>240325.35709163293</v>
      </c>
      <c r="V38" s="21">
        <f t="shared" ca="1" si="13"/>
        <v>261033.71265552531</v>
      </c>
      <c r="W38" s="21">
        <f t="shared" ca="1" si="13"/>
        <v>282549.1190428377</v>
      </c>
      <c r="X38" s="37"/>
    </row>
    <row r="39" spans="1:24" x14ac:dyDescent="0.2">
      <c r="A39" s="14">
        <f t="shared" si="0"/>
        <v>39</v>
      </c>
      <c r="H39" s="21">
        <f ca="1">H36*0.99</f>
        <v>35685.875162429787</v>
      </c>
      <c r="I39" s="21">
        <f t="shared" ref="I39:W39" ca="1" si="14">I36*0.99</f>
        <v>46756.04767080184</v>
      </c>
      <c r="J39" s="21">
        <f t="shared" ca="1" si="14"/>
        <v>72682.687311564878</v>
      </c>
      <c r="K39" s="21">
        <f t="shared" ca="1" si="14"/>
        <v>95596.002351884104</v>
      </c>
      <c r="L39" s="21">
        <f t="shared" ca="1" si="14"/>
        <v>121466.02951381092</v>
      </c>
      <c r="M39" s="21">
        <f t="shared" ca="1" si="14"/>
        <v>145746.62685714476</v>
      </c>
      <c r="N39" s="21">
        <f t="shared" ca="1" si="14"/>
        <v>163101.15233077056</v>
      </c>
      <c r="O39" s="21">
        <f t="shared" ca="1" si="14"/>
        <v>183199.26680507517</v>
      </c>
      <c r="P39" s="21">
        <f t="shared" ca="1" si="14"/>
        <v>201320.44948903442</v>
      </c>
      <c r="Q39" s="21">
        <f t="shared" ca="1" si="14"/>
        <v>221347.0559718041</v>
      </c>
      <c r="R39" s="21">
        <f t="shared" ca="1" si="14"/>
        <v>239221.61946822543</v>
      </c>
      <c r="S39" s="21">
        <f t="shared" ca="1" si="14"/>
        <v>255784.66727288131</v>
      </c>
      <c r="T39" s="21">
        <f t="shared" ca="1" si="14"/>
        <v>272999.13310461468</v>
      </c>
      <c r="U39" s="21">
        <f t="shared" ca="1" si="14"/>
        <v>296697.97171806532</v>
      </c>
      <c r="V39" s="21">
        <f t="shared" ca="1" si="14"/>
        <v>322263.84278459911</v>
      </c>
      <c r="W39" s="21">
        <f t="shared" ca="1" si="14"/>
        <v>348826.07289239223</v>
      </c>
      <c r="X39" s="37"/>
    </row>
    <row r="40" spans="1:24" x14ac:dyDescent="0.2">
      <c r="A40" s="14">
        <f t="shared" si="0"/>
        <v>40</v>
      </c>
      <c r="C40" s="221"/>
    </row>
    <row r="41" spans="1:24" ht="13.5" thickBot="1" x14ac:dyDescent="0.25">
      <c r="A41" s="14">
        <f t="shared" si="0"/>
        <v>41</v>
      </c>
      <c r="B41" s="12" t="s">
        <v>213</v>
      </c>
      <c r="C41" s="1" t="s">
        <v>90</v>
      </c>
      <c r="D41" s="7" t="s">
        <v>207</v>
      </c>
      <c r="E41" s="7" t="s">
        <v>206</v>
      </c>
      <c r="G41" s="7" t="s">
        <v>223</v>
      </c>
    </row>
    <row r="42" spans="1:24" x14ac:dyDescent="0.2">
      <c r="A42" s="14">
        <f t="shared" si="0"/>
        <v>42</v>
      </c>
      <c r="B42" s="1" t="s">
        <v>116</v>
      </c>
      <c r="C42" s="86">
        <f ca="1">NPV(Disct,$D$36:$W$36)/1000</f>
        <v>133.30342036154809</v>
      </c>
      <c r="D42" s="73">
        <f ca="1">(NPV(Disct,$D$35:$W$35))/1000</f>
        <v>129.68362278034112</v>
      </c>
      <c r="E42" s="87">
        <f ca="1">(NPV(Disct,$D$34:$W$34))/1000</f>
        <v>3.6197975812069925</v>
      </c>
      <c r="G42" s="73">
        <f ca="1">(NPV(Disct,$D$38:$W$38))/1000</f>
        <v>105.04373445207629</v>
      </c>
    </row>
    <row r="43" spans="1:24" ht="13.5" thickBot="1" x14ac:dyDescent="0.25">
      <c r="A43" s="14">
        <f t="shared" si="0"/>
        <v>43</v>
      </c>
      <c r="B43" s="1" t="s">
        <v>112</v>
      </c>
      <c r="C43" s="107">
        <f ca="1">NPV(Disct,$D$36:$R$36)/1000</f>
        <v>115.1380000217948</v>
      </c>
      <c r="D43" s="74">
        <f ca="1">(NPV(Disct,$D$35:$R$35))/1000</f>
        <v>111.69985664398536</v>
      </c>
      <c r="E43" s="88">
        <f ca="1">(NPV(Disct,$D$34:$R$34))/1000</f>
        <v>3.4381433778094599</v>
      </c>
      <c r="G43" s="74">
        <f ca="1">(NPV(Disct,$D$38:$R$38))/1000</f>
        <v>90.476883881628154</v>
      </c>
    </row>
    <row r="44" spans="1:24" ht="13.5" thickBot="1" x14ac:dyDescent="0.25">
      <c r="A44" s="14">
        <f t="shared" si="0"/>
        <v>44</v>
      </c>
      <c r="B44" s="1" t="s">
        <v>113</v>
      </c>
      <c r="C44" s="99">
        <f ca="1">NPV(Disct,$D$36:$M$36)/1000</f>
        <v>73.443730344288099</v>
      </c>
      <c r="D44" s="98">
        <f ca="1">(NPV(Disct,$D$35:$M$35))/1000</f>
        <v>70.422529663253712</v>
      </c>
      <c r="E44" s="105">
        <f ca="1">(NPV(Disct,$D$34:$M$34))/1000</f>
        <v>3.0212006810343923</v>
      </c>
      <c r="G44" s="98">
        <f ca="1">(NPV(Disct,$D$38:$M$38))/1000</f>
        <v>57.042249027235506</v>
      </c>
    </row>
    <row r="45" spans="1:24" x14ac:dyDescent="0.2">
      <c r="A45" s="14">
        <f t="shared" si="0"/>
        <v>45</v>
      </c>
      <c r="B45" s="1" t="s">
        <v>142</v>
      </c>
      <c r="C45" s="107">
        <f ca="1">NPV(Disct,$D$36:$L$36)/1000</f>
        <v>60.973811667603236</v>
      </c>
      <c r="D45" s="74">
        <f ca="1">(NPV(Disct,$D$35:$L$35))/1000</f>
        <v>58.077310173335697</v>
      </c>
      <c r="E45" s="88">
        <f ca="1">(NPV(Disct,$D$34:$L$34))/1000</f>
        <v>2.896501494267544</v>
      </c>
      <c r="G45" s="74">
        <f ca="1">(NPV(Disct,$D$38:$L$38))/1000</f>
        <v>47.042621240401914</v>
      </c>
    </row>
    <row r="46" spans="1:24" x14ac:dyDescent="0.2">
      <c r="A46" s="14">
        <f t="shared" si="0"/>
        <v>46</v>
      </c>
      <c r="B46" s="1" t="s">
        <v>141</v>
      </c>
      <c r="C46" s="107">
        <f ca="1">NPV(Disct,$D$36:$K$36)/1000</f>
        <v>47.671414386586854</v>
      </c>
      <c r="D46" s="74">
        <f ca="1">(NPV(Disct,$D$35:$K$35))/1000</f>
        <v>44.907936865129471</v>
      </c>
      <c r="E46" s="88">
        <f ca="1">(NPV(Disct,$D$34:$K$34))/1000</f>
        <v>2.7634775214573803</v>
      </c>
      <c r="G46" s="74">
        <f ca="1">(NPV(Disct,$D$38:$K$38))/1000</f>
        <v>36.37542886075488</v>
      </c>
    </row>
    <row r="47" spans="1:24" x14ac:dyDescent="0.2">
      <c r="A47" s="14">
        <f t="shared" si="0"/>
        <v>47</v>
      </c>
      <c r="B47" s="1" t="s">
        <v>114</v>
      </c>
      <c r="C47" s="107">
        <f ca="1">NPV(Disct,$D$36:$J$36)/1000</f>
        <v>34.270797862195138</v>
      </c>
      <c r="D47" s="74">
        <f ca="1">(NPV(Disct,$D$35:$J$35))/1000</f>
        <v>31.641326505981681</v>
      </c>
      <c r="E47" s="88">
        <f ca="1">(NPV(Disct,$D$34:$J$34))/1000</f>
        <v>2.6294713562134628</v>
      </c>
      <c r="G47" s="74">
        <f ca="1">(NPV(Disct,$D$38:$J$38))/1000</f>
        <v>25.629474469845164</v>
      </c>
    </row>
    <row r="48" spans="1:24" x14ac:dyDescent="0.2">
      <c r="A48" s="14">
        <f t="shared" si="0"/>
        <v>48</v>
      </c>
      <c r="B48" s="1" t="s">
        <v>115</v>
      </c>
      <c r="C48" s="107">
        <f ca="1">NPV(Disct,$D$36:$H$36)/1000</f>
        <v>10.490865256843643</v>
      </c>
      <c r="D48" s="74">
        <f ca="1">(NPV(Disct,$D$35:$H$35))/1000</f>
        <v>8.0991932266836955</v>
      </c>
      <c r="E48" s="88">
        <f ca="1">(NPV(Disct,$D$34:$H$34))/1000</f>
        <v>2.3916720301599477</v>
      </c>
      <c r="G48" s="74">
        <f ca="1">(NPV(Disct,$D$38:$H$38))/1000</f>
        <v>6.5603465136137942</v>
      </c>
    </row>
    <row r="49" spans="1:7" ht="13.5" thickBot="1" x14ac:dyDescent="0.25">
      <c r="A49" s="14">
        <f t="shared" si="0"/>
        <v>49</v>
      </c>
      <c r="B49" s="1" t="s">
        <v>117</v>
      </c>
      <c r="C49" s="108">
        <f ca="1">NPV(Disct,$D$36:$F$36)/1000</f>
        <v>0</v>
      </c>
      <c r="D49" s="75">
        <f ca="1">(NPV(Disct,$D$35:$F$35))/1000</f>
        <v>0</v>
      </c>
      <c r="E49" s="104">
        <f ca="1">(NPV(Disct,$D$34:$F$34))/1000</f>
        <v>0</v>
      </c>
      <c r="G49" s="75">
        <f ca="1">(NPV(Disct,$D$38:$F$38))/1000</f>
        <v>0</v>
      </c>
    </row>
    <row r="50" spans="1:7" ht="13.5" thickBot="1" x14ac:dyDescent="0.25">
      <c r="A50" s="14">
        <f t="shared" si="0"/>
        <v>50</v>
      </c>
      <c r="C50" s="109"/>
      <c r="D50" s="110"/>
      <c r="E50" s="110"/>
      <c r="G50" s="110"/>
    </row>
    <row r="51" spans="1:7" x14ac:dyDescent="0.2">
      <c r="A51" s="14">
        <f t="shared" si="0"/>
        <v>51</v>
      </c>
      <c r="B51" s="12" t="s">
        <v>189</v>
      </c>
      <c r="C51" s="111">
        <f ca="1">C44</f>
        <v>73.443730344288099</v>
      </c>
      <c r="D51" s="73">
        <f ca="1">D44</f>
        <v>70.422529663253712</v>
      </c>
      <c r="E51" s="87">
        <f ca="1">E44</f>
        <v>3.0212006810343923</v>
      </c>
      <c r="G51" s="73">
        <f ca="1">G44</f>
        <v>57.042249027235506</v>
      </c>
    </row>
    <row r="52" spans="1:7" x14ac:dyDescent="0.2">
      <c r="A52" s="14">
        <f t="shared" si="0"/>
        <v>52</v>
      </c>
      <c r="B52" s="1" t="s">
        <v>235</v>
      </c>
      <c r="C52" s="107">
        <f ca="1">Assumptions!E87/1000</f>
        <v>10.092873372688027</v>
      </c>
      <c r="D52" s="74">
        <f ca="1">Assumptions!E88/1000</f>
        <v>7.7868179159325814</v>
      </c>
      <c r="E52" s="88">
        <f>Assumptions!E89/1000</f>
        <v>3.9794999999999998</v>
      </c>
      <c r="G52" s="74">
        <f ca="1">D52*$C$38</f>
        <v>6.3073225119053911</v>
      </c>
    </row>
    <row r="53" spans="1:7" ht="13.5" thickBot="1" x14ac:dyDescent="0.25">
      <c r="A53" s="14">
        <f t="shared" si="0"/>
        <v>53</v>
      </c>
      <c r="B53" s="1" t="s">
        <v>170</v>
      </c>
      <c r="C53" s="108">
        <v>0</v>
      </c>
      <c r="D53" s="75">
        <f>Assumptions!C103/1000</f>
        <v>0.25</v>
      </c>
      <c r="E53" s="104">
        <v>0</v>
      </c>
      <c r="G53" s="75">
        <f>D53</f>
        <v>0.25</v>
      </c>
    </row>
    <row r="54" spans="1:7" ht="13.5" thickBot="1" x14ac:dyDescent="0.25">
      <c r="A54" s="14">
        <f t="shared" si="0"/>
        <v>54</v>
      </c>
      <c r="C54" s="109"/>
      <c r="D54" s="110"/>
      <c r="E54" s="110"/>
      <c r="G54" s="110"/>
    </row>
    <row r="55" spans="1:7" ht="13.5" thickBot="1" x14ac:dyDescent="0.25">
      <c r="A55" s="14">
        <f t="shared" si="0"/>
        <v>55</v>
      </c>
      <c r="B55" s="12" t="s">
        <v>166</v>
      </c>
      <c r="C55"/>
      <c r="D55" s="98">
        <f ca="1">D51-D52-D53</f>
        <v>62.385711747321132</v>
      </c>
      <c r="E55"/>
      <c r="G55" s="98">
        <f ca="1">G51-G52-G53</f>
        <v>50.484926515330116</v>
      </c>
    </row>
    <row r="56" spans="1:7" x14ac:dyDescent="0.2">
      <c r="A56" s="14">
        <f t="shared" si="0"/>
        <v>56</v>
      </c>
    </row>
    <row r="57" spans="1:7" ht="13.5" x14ac:dyDescent="0.25">
      <c r="A57" s="14">
        <f t="shared" si="0"/>
        <v>57</v>
      </c>
      <c r="B57" s="19" t="s">
        <v>214</v>
      </c>
      <c r="C57" s="148">
        <f>Disct</f>
        <v>0.28000000000000003</v>
      </c>
      <c r="G57"/>
    </row>
    <row r="58" spans="1:7" x14ac:dyDescent="0.2">
      <c r="A58" s="14">
        <f t="shared" si="0"/>
        <v>58</v>
      </c>
    </row>
    <row r="59" spans="1:7" x14ac:dyDescent="0.2">
      <c r="E59" s="21"/>
    </row>
    <row r="60" spans="1:7" x14ac:dyDescent="0.2">
      <c r="D60"/>
    </row>
  </sheetData>
  <pageMargins left="0.75" right="0.75" top="1" bottom="1" header="0.5" footer="0.5"/>
  <pageSetup paperSize="5" scale="6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zoomScale="75" workbookViewId="0">
      <selection activeCell="C2" sqref="C2:M2"/>
    </sheetView>
  </sheetViews>
  <sheetFormatPr defaultRowHeight="12.75" x14ac:dyDescent="0.2"/>
  <cols>
    <col min="1" max="1" width="4.7109375" style="46" customWidth="1"/>
    <col min="2" max="2" width="36.28515625" style="39" customWidth="1"/>
    <col min="3" max="3" width="13.42578125" style="39" customWidth="1"/>
    <col min="4" max="4" width="9" style="41" customWidth="1"/>
    <col min="5" max="6" width="8.140625" style="41" customWidth="1"/>
    <col min="7" max="7" width="8.42578125" style="41" customWidth="1"/>
    <col min="8" max="8" width="9.7109375" style="41" customWidth="1"/>
    <col min="9" max="12" width="8.7109375" style="41" customWidth="1"/>
    <col min="13" max="13" width="9" style="41" customWidth="1"/>
    <col min="14" max="16384" width="9.140625" style="39"/>
  </cols>
  <sheetData>
    <row r="1" spans="1:13" x14ac:dyDescent="0.2">
      <c r="A1" s="45">
        <v>1</v>
      </c>
      <c r="B1" s="214" t="s">
        <v>216</v>
      </c>
      <c r="C1" s="211"/>
      <c r="D1" s="212"/>
      <c r="E1" s="212"/>
      <c r="F1" s="212"/>
      <c r="G1" s="212"/>
      <c r="H1" s="212"/>
      <c r="I1" s="212"/>
      <c r="J1" s="212"/>
      <c r="K1" s="212"/>
      <c r="L1" s="212"/>
      <c r="M1" s="215"/>
    </row>
    <row r="2" spans="1:13" s="112" customFormat="1" x14ac:dyDescent="0.2">
      <c r="A2" s="213">
        <f>A1+1</f>
        <v>2</v>
      </c>
      <c r="B2" s="216"/>
      <c r="C2" s="217" t="s">
        <v>158</v>
      </c>
      <c r="D2" s="218">
        <v>2001</v>
      </c>
      <c r="E2" s="218">
        <v>2002</v>
      </c>
      <c r="F2" s="218">
        <v>2003</v>
      </c>
      <c r="G2" s="218">
        <v>2004</v>
      </c>
      <c r="H2" s="218">
        <v>2005</v>
      </c>
      <c r="I2" s="218">
        <v>2006</v>
      </c>
      <c r="J2" s="218">
        <v>2007</v>
      </c>
      <c r="K2" s="218">
        <v>2008</v>
      </c>
      <c r="L2" s="218">
        <v>2009</v>
      </c>
      <c r="M2" s="219">
        <v>2010</v>
      </c>
    </row>
    <row r="3" spans="1:13" ht="13.5" x14ac:dyDescent="0.25">
      <c r="A3" s="14">
        <f t="shared" ref="A3:A40" si="0">A2+1</f>
        <v>3</v>
      </c>
      <c r="B3" s="19" t="s">
        <v>4</v>
      </c>
      <c r="C3" s="19"/>
      <c r="D3" s="7"/>
      <c r="E3" s="7"/>
      <c r="F3" s="7"/>
      <c r="G3" s="7"/>
      <c r="H3" s="7"/>
      <c r="I3" s="7"/>
      <c r="J3" s="7"/>
      <c r="K3" s="7"/>
      <c r="L3" s="7"/>
      <c r="M3" s="208"/>
    </row>
    <row r="4" spans="1:13" x14ac:dyDescent="0.2">
      <c r="A4" s="14">
        <f t="shared" si="0"/>
        <v>4</v>
      </c>
      <c r="B4" s="1" t="s">
        <v>121</v>
      </c>
      <c r="C4" s="1"/>
      <c r="D4" s="21">
        <f>'EBSCS IS'!D4</f>
        <v>557.56176967420447</v>
      </c>
      <c r="E4" s="21">
        <f>'EBSCS IS'!E4</f>
        <v>2825.1037741163063</v>
      </c>
      <c r="F4" s="21">
        <f>'EBSCS IS'!F4</f>
        <v>11132.307640446159</v>
      </c>
      <c r="G4" s="21">
        <f>'EBSCS IS'!G4</f>
        <v>38904.220200513257</v>
      </c>
      <c r="H4" s="21">
        <f>'EBSCS IS'!H4</f>
        <v>81719.382291567104</v>
      </c>
      <c r="I4" s="21">
        <f>'EBSCS IS'!I4</f>
        <v>129973.05170776145</v>
      </c>
      <c r="J4" s="21">
        <f>'EBSCS IS'!J4</f>
        <v>190159.04608115784</v>
      </c>
      <c r="K4" s="21">
        <f>'EBSCS IS'!K4</f>
        <v>252697.33565443582</v>
      </c>
      <c r="L4" s="21">
        <f>'EBSCS IS'!L4</f>
        <v>316880.13939426484</v>
      </c>
      <c r="M4" s="209">
        <f>'EBSCS IS'!M4</f>
        <v>382638.25975197327</v>
      </c>
    </row>
    <row r="5" spans="1:13" x14ac:dyDescent="0.2">
      <c r="A5" s="14">
        <f t="shared" si="0"/>
        <v>5</v>
      </c>
      <c r="B5" s="1" t="s">
        <v>46</v>
      </c>
      <c r="C5" s="1"/>
      <c r="D5" s="21">
        <f>'EBSCS IS'!D5</f>
        <v>869.44788458571281</v>
      </c>
      <c r="E5" s="21">
        <f>'EBSCS IS'!E5</f>
        <v>3158.3429247972504</v>
      </c>
      <c r="F5" s="21">
        <f>'EBSCS IS'!F5</f>
        <v>10590.68685530818</v>
      </c>
      <c r="G5" s="21">
        <f>'EBSCS IS'!G5</f>
        <v>0</v>
      </c>
      <c r="H5" s="21">
        <f>'EBSCS IS'!H5</f>
        <v>0</v>
      </c>
      <c r="I5" s="21">
        <f>'EBSCS IS'!I5</f>
        <v>0</v>
      </c>
      <c r="J5" s="21">
        <f>'EBSCS IS'!J5</f>
        <v>0</v>
      </c>
      <c r="K5" s="21">
        <f>'EBSCS IS'!K5</f>
        <v>0</v>
      </c>
      <c r="L5" s="21">
        <f>'EBSCS IS'!L5</f>
        <v>0</v>
      </c>
      <c r="M5" s="209">
        <f>'EBSCS IS'!M5</f>
        <v>0</v>
      </c>
    </row>
    <row r="6" spans="1:13" x14ac:dyDescent="0.2">
      <c r="A6" s="14">
        <f t="shared" si="0"/>
        <v>6</v>
      </c>
      <c r="B6" s="20" t="s">
        <v>48</v>
      </c>
      <c r="C6" s="89"/>
      <c r="D6" s="23">
        <f>'EBSCS IS'!D6</f>
        <v>145.19837751932411</v>
      </c>
      <c r="E6" s="23">
        <f>'EBSCS IS'!E6</f>
        <v>672.64375574197777</v>
      </c>
      <c r="F6" s="23">
        <f>'EBSCS IS'!F6</f>
        <v>2441.2955351855617</v>
      </c>
      <c r="G6" s="23">
        <f>'EBSCS IS'!G6</f>
        <v>7907.3618293726149</v>
      </c>
      <c r="H6" s="23">
        <f>'EBSCS IS'!H6</f>
        <v>15477.155737039224</v>
      </c>
      <c r="I6" s="23">
        <f>'EBSCS IS'!I6</f>
        <v>24616.108277985124</v>
      </c>
      <c r="J6" s="23">
        <f>'EBSCS IS'!J6</f>
        <v>36014.970848704135</v>
      </c>
      <c r="K6" s="23">
        <f>'EBSCS IS'!K6</f>
        <v>47859.343873946185</v>
      </c>
      <c r="L6" s="23">
        <f>'EBSCS IS'!L6</f>
        <v>60015.177915580454</v>
      </c>
      <c r="M6" s="210">
        <f>'EBSCS IS'!M6</f>
        <v>72469.367377267656</v>
      </c>
    </row>
    <row r="7" spans="1:13" x14ac:dyDescent="0.2">
      <c r="A7" s="14">
        <f t="shared" si="0"/>
        <v>7</v>
      </c>
      <c r="B7" s="9" t="s">
        <v>20</v>
      </c>
      <c r="C7" s="90"/>
      <c r="D7" s="29">
        <f>SUM(D4:D6)</f>
        <v>1572.2080317792413</v>
      </c>
      <c r="E7" s="29">
        <f t="shared" ref="E7:M7" si="1">SUM(E4:E6)</f>
        <v>6656.0904546555339</v>
      </c>
      <c r="F7" s="29">
        <f t="shared" si="1"/>
        <v>24164.290030939905</v>
      </c>
      <c r="G7" s="29">
        <f t="shared" si="1"/>
        <v>46811.582029885874</v>
      </c>
      <c r="H7" s="29">
        <f t="shared" si="1"/>
        <v>97196.53802860633</v>
      </c>
      <c r="I7" s="29">
        <f t="shared" si="1"/>
        <v>154589.15998574658</v>
      </c>
      <c r="J7" s="29">
        <f t="shared" si="1"/>
        <v>226174.01692986197</v>
      </c>
      <c r="K7" s="29">
        <f t="shared" si="1"/>
        <v>300556.67952838202</v>
      </c>
      <c r="L7" s="29">
        <f t="shared" si="1"/>
        <v>376895.3173098453</v>
      </c>
      <c r="M7" s="36">
        <f t="shared" si="1"/>
        <v>455107.62712924089</v>
      </c>
    </row>
    <row r="8" spans="1:13" ht="13.5" x14ac:dyDescent="0.25">
      <c r="A8" s="14">
        <f t="shared" si="0"/>
        <v>8</v>
      </c>
      <c r="B8" s="19" t="s">
        <v>45</v>
      </c>
      <c r="C8" s="19"/>
      <c r="D8" s="7"/>
      <c r="E8" s="7"/>
      <c r="F8" s="7"/>
      <c r="G8" s="7"/>
      <c r="H8" s="7"/>
      <c r="I8" s="7"/>
      <c r="J8" s="7"/>
      <c r="K8" s="7"/>
      <c r="L8" s="7"/>
      <c r="M8" s="208"/>
    </row>
    <row r="9" spans="1:13" x14ac:dyDescent="0.2">
      <c r="A9" s="14">
        <f t="shared" si="0"/>
        <v>9</v>
      </c>
      <c r="B9" s="1" t="s">
        <v>47</v>
      </c>
      <c r="C9" s="1"/>
      <c r="D9" s="21">
        <f>'EBSCS IS'!D9</f>
        <v>313.54822153782857</v>
      </c>
      <c r="E9" s="21">
        <f>'EBSCS IS'!E9</f>
        <v>338.98178555226912</v>
      </c>
      <c r="F9" s="21">
        <f>'EBSCS IS'!F9</f>
        <v>615.33476750550892</v>
      </c>
      <c r="G9" s="21">
        <f>'EBSCS IS'!G9</f>
        <v>1539.2137253370747</v>
      </c>
      <c r="H9" s="21">
        <f>'EBSCS IS'!H9</f>
        <v>2963.5314508994657</v>
      </c>
      <c r="I9" s="21">
        <f>'EBSCS IS'!I9</f>
        <v>4568.7701868115309</v>
      </c>
      <c r="J9" s="21">
        <f>'EBSCS IS'!J9</f>
        <v>6570.9575996331841</v>
      </c>
      <c r="K9" s="21">
        <f>'EBSCS IS'!K9</f>
        <v>8651.3980327708978</v>
      </c>
      <c r="L9" s="21">
        <f>'EBSCS IS'!L9</f>
        <v>10786.545970515877</v>
      </c>
      <c r="M9" s="209">
        <f>'EBSCS IS'!M9</f>
        <v>12974.099441082311</v>
      </c>
    </row>
    <row r="10" spans="1:13" x14ac:dyDescent="0.2">
      <c r="A10" s="14">
        <f t="shared" si="0"/>
        <v>10</v>
      </c>
      <c r="B10" s="1" t="s">
        <v>175</v>
      </c>
      <c r="C10" s="1"/>
      <c r="D10" s="21">
        <f>'EBSCS IS'!D10</f>
        <v>394.93958685256149</v>
      </c>
      <c r="E10" s="21">
        <f>'EBSCS IS'!E10</f>
        <v>1829.5910156181794</v>
      </c>
      <c r="F10" s="21">
        <f>'EBSCS IS'!F10</f>
        <v>6640.3238557047271</v>
      </c>
      <c r="G10" s="21">
        <f>'EBSCS IS'!G10</f>
        <v>21508.024175893512</v>
      </c>
      <c r="H10" s="21">
        <f>'EBSCS IS'!H10</f>
        <v>42097.863604746686</v>
      </c>
      <c r="I10" s="21">
        <f>'EBSCS IS'!I10</f>
        <v>66955.814516119543</v>
      </c>
      <c r="J10" s="21">
        <f>'EBSCS IS'!J10</f>
        <v>97960.720708475259</v>
      </c>
      <c r="K10" s="21">
        <f>'EBSCS IS'!K10</f>
        <v>130177.41533713361</v>
      </c>
      <c r="L10" s="21">
        <f>'EBSCS IS'!L10</f>
        <v>163241.28393037885</v>
      </c>
      <c r="M10" s="209">
        <f>'EBSCS IS'!M10</f>
        <v>197116.67926616807</v>
      </c>
    </row>
    <row r="11" spans="1:13" x14ac:dyDescent="0.2">
      <c r="A11" s="14">
        <f t="shared" si="0"/>
        <v>11</v>
      </c>
      <c r="B11" s="1" t="s">
        <v>46</v>
      </c>
      <c r="C11" s="1"/>
      <c r="D11" s="21">
        <f>'EBSCS IS'!D12</f>
        <v>2342.5338239784287</v>
      </c>
      <c r="E11" s="21">
        <f>'EBSCS IS'!E12</f>
        <v>6841.8456311781883</v>
      </c>
      <c r="F11" s="21">
        <f>'EBSCS IS'!F12</f>
        <v>18174.518297913975</v>
      </c>
      <c r="G11" s="21">
        <f>'EBSCS IS'!G12</f>
        <v>0</v>
      </c>
      <c r="H11" s="21">
        <f>'EBSCS IS'!H12</f>
        <v>0</v>
      </c>
      <c r="I11" s="21">
        <f>'EBSCS IS'!I12</f>
        <v>0</v>
      </c>
      <c r="J11" s="21">
        <f>'EBSCS IS'!J12</f>
        <v>0</v>
      </c>
      <c r="K11" s="21">
        <f>'EBSCS IS'!K12</f>
        <v>0</v>
      </c>
      <c r="L11" s="21">
        <f>'EBSCS IS'!L12</f>
        <v>0</v>
      </c>
      <c r="M11" s="209">
        <f>'EBSCS IS'!M12</f>
        <v>0</v>
      </c>
    </row>
    <row r="12" spans="1:13" x14ac:dyDescent="0.2">
      <c r="A12" s="14">
        <f t="shared" si="0"/>
        <v>12</v>
      </c>
      <c r="B12" s="1" t="s">
        <v>226</v>
      </c>
      <c r="C12" s="1"/>
      <c r="D12" s="21">
        <f>Assumptions!D32</f>
        <v>375</v>
      </c>
      <c r="E12" s="21">
        <f>Assumptions!E32</f>
        <v>386.25</v>
      </c>
      <c r="F12" s="21">
        <f>Assumptions!F32</f>
        <v>397.83749999999998</v>
      </c>
      <c r="G12" s="21">
        <f>Assumptions!G32</f>
        <v>409.77262500000001</v>
      </c>
      <c r="H12" s="21">
        <f>Assumptions!H32</f>
        <v>422.06580374999999</v>
      </c>
      <c r="I12" s="21">
        <f>Assumptions!I32</f>
        <v>434.72777786249998</v>
      </c>
      <c r="J12" s="21">
        <f>Assumptions!J32</f>
        <v>447.769611198375</v>
      </c>
      <c r="K12" s="21">
        <f>Assumptions!K32</f>
        <v>461.20269953432626</v>
      </c>
      <c r="L12" s="21">
        <f>Assumptions!L32</f>
        <v>475.03878052035611</v>
      </c>
      <c r="M12" s="209">
        <f>Assumptions!M32</f>
        <v>489.28994393596673</v>
      </c>
    </row>
    <row r="13" spans="1:13" x14ac:dyDescent="0.2">
      <c r="A13" s="14">
        <f t="shared" si="0"/>
        <v>13</v>
      </c>
      <c r="B13" s="1" t="s">
        <v>163</v>
      </c>
      <c r="C13" s="1"/>
      <c r="D13" s="21">
        <f>'EBSCS IS'!D13</f>
        <v>50</v>
      </c>
      <c r="E13" s="21">
        <f>'EBSCS IS'!E13</f>
        <v>0</v>
      </c>
      <c r="F13" s="21">
        <f>'EBSCS IS'!F13</f>
        <v>0</v>
      </c>
      <c r="G13" s="21">
        <f>'EBSCS IS'!G13</f>
        <v>0</v>
      </c>
      <c r="H13" s="21">
        <f>'EBSCS IS'!H13</f>
        <v>0</v>
      </c>
      <c r="I13" s="21">
        <f>'EBSCS IS'!I13</f>
        <v>0</v>
      </c>
      <c r="J13" s="21">
        <f>'EBSCS IS'!J13</f>
        <v>0</v>
      </c>
      <c r="K13" s="21">
        <f>'EBSCS IS'!K13</f>
        <v>0</v>
      </c>
      <c r="L13" s="21">
        <f>'EBSCS IS'!L13</f>
        <v>0</v>
      </c>
      <c r="M13" s="209">
        <f>'EBSCS IS'!M13</f>
        <v>0</v>
      </c>
    </row>
    <row r="14" spans="1:13" x14ac:dyDescent="0.2">
      <c r="A14" s="14">
        <f t="shared" si="0"/>
        <v>14</v>
      </c>
      <c r="B14" s="9" t="s">
        <v>21</v>
      </c>
      <c r="C14" s="90"/>
      <c r="D14" s="29">
        <f>SUM(D9:D13)</f>
        <v>3476.0216323688187</v>
      </c>
      <c r="E14" s="29">
        <f t="shared" ref="E14:M14" si="2">SUM(E9:E13)</f>
        <v>9396.668432348637</v>
      </c>
      <c r="F14" s="29">
        <f t="shared" si="2"/>
        <v>25828.014421124215</v>
      </c>
      <c r="G14" s="29">
        <f t="shared" si="2"/>
        <v>23457.010526230588</v>
      </c>
      <c r="H14" s="29">
        <f t="shared" si="2"/>
        <v>45483.460859396153</v>
      </c>
      <c r="I14" s="29">
        <f t="shared" si="2"/>
        <v>71959.312480793567</v>
      </c>
      <c r="J14" s="29">
        <f t="shared" si="2"/>
        <v>104979.44791930681</v>
      </c>
      <c r="K14" s="29">
        <f t="shared" si="2"/>
        <v>139290.01606943883</v>
      </c>
      <c r="L14" s="29">
        <f t="shared" si="2"/>
        <v>174502.86868141507</v>
      </c>
      <c r="M14" s="36">
        <f t="shared" si="2"/>
        <v>210580.06865118633</v>
      </c>
    </row>
    <row r="15" spans="1:13" x14ac:dyDescent="0.2">
      <c r="A15" s="14">
        <f t="shared" si="0"/>
        <v>15</v>
      </c>
      <c r="B15" s="35" t="s">
        <v>5</v>
      </c>
      <c r="C15" s="91"/>
      <c r="D15" s="29">
        <f>D7-D14</f>
        <v>-1903.8136005895774</v>
      </c>
      <c r="E15" s="29">
        <f t="shared" ref="E15:M15" si="3">E7-E14</f>
        <v>-2740.5779776931031</v>
      </c>
      <c r="F15" s="29">
        <f t="shared" si="3"/>
        <v>-1663.7243901843103</v>
      </c>
      <c r="G15" s="29">
        <f t="shared" si="3"/>
        <v>23354.571503655287</v>
      </c>
      <c r="H15" s="29">
        <f t="shared" si="3"/>
        <v>51713.077169210177</v>
      </c>
      <c r="I15" s="29">
        <f t="shared" si="3"/>
        <v>82629.84750495301</v>
      </c>
      <c r="J15" s="29">
        <f t="shared" si="3"/>
        <v>121194.56901055516</v>
      </c>
      <c r="K15" s="29">
        <f t="shared" si="3"/>
        <v>161266.66345894319</v>
      </c>
      <c r="L15" s="29">
        <f t="shared" si="3"/>
        <v>202392.44862843023</v>
      </c>
      <c r="M15" s="36">
        <f t="shared" si="3"/>
        <v>244527.55847805456</v>
      </c>
    </row>
    <row r="16" spans="1:13" x14ac:dyDescent="0.2">
      <c r="A16" s="14">
        <f t="shared" si="0"/>
        <v>16</v>
      </c>
      <c r="B16" s="1" t="s">
        <v>6</v>
      </c>
      <c r="C16" s="1"/>
      <c r="D16" s="21">
        <f>'EBSCS IS'!D16</f>
        <v>3793.0967135395849</v>
      </c>
      <c r="E16" s="21">
        <f>'EBSCS IS'!E16</f>
        <v>4050.2902920552096</v>
      </c>
      <c r="F16" s="21">
        <f>'EBSCS IS'!F16</f>
        <v>4270.3717064106786</v>
      </c>
      <c r="G16" s="21">
        <f>'EBSCS IS'!G16</f>
        <v>5039.1725706929046</v>
      </c>
      <c r="H16" s="21">
        <f>'EBSCS IS'!H16</f>
        <v>5828.467798762973</v>
      </c>
      <c r="I16" s="21">
        <f>'EBSCS IS'!I16</f>
        <v>2894.8500019607536</v>
      </c>
      <c r="J16" s="21">
        <f>'EBSCS IS'!J16</f>
        <v>2973.2361365670004</v>
      </c>
      <c r="K16" s="21">
        <f>'EBSCS IS'!K16</f>
        <v>3397.6098769804257</v>
      </c>
      <c r="L16" s="21">
        <f>'EBSCS IS'!L16</f>
        <v>3037.9223372135225</v>
      </c>
      <c r="M16" s="209">
        <f>'EBSCS IS'!M16</f>
        <v>2867.8281902574449</v>
      </c>
    </row>
    <row r="17" spans="1:13" x14ac:dyDescent="0.2">
      <c r="A17" s="14">
        <f t="shared" si="0"/>
        <v>17</v>
      </c>
      <c r="B17" s="8" t="s">
        <v>2</v>
      </c>
      <c r="C17" s="8"/>
      <c r="D17" s="21">
        <f>D15-D16</f>
        <v>-5696.9103141291625</v>
      </c>
      <c r="E17" s="21">
        <f t="shared" ref="E17:M17" si="4">E15-E16</f>
        <v>-6790.8682697483127</v>
      </c>
      <c r="F17" s="21">
        <f t="shared" si="4"/>
        <v>-5934.0960965949889</v>
      </c>
      <c r="G17" s="21">
        <f t="shared" si="4"/>
        <v>18315.39893296238</v>
      </c>
      <c r="H17" s="21">
        <f t="shared" si="4"/>
        <v>45884.6093704472</v>
      </c>
      <c r="I17" s="21">
        <f t="shared" si="4"/>
        <v>79734.99750299225</v>
      </c>
      <c r="J17" s="21">
        <f t="shared" si="4"/>
        <v>118221.33287398817</v>
      </c>
      <c r="K17" s="21">
        <f t="shared" si="4"/>
        <v>157869.05358196277</v>
      </c>
      <c r="L17" s="21">
        <f t="shared" si="4"/>
        <v>199354.52629121669</v>
      </c>
      <c r="M17" s="209">
        <f t="shared" si="4"/>
        <v>241659.73028779711</v>
      </c>
    </row>
    <row r="18" spans="1:13" x14ac:dyDescent="0.2">
      <c r="A18" s="14">
        <f t="shared" si="0"/>
        <v>18</v>
      </c>
      <c r="B18" s="1" t="s">
        <v>7</v>
      </c>
      <c r="C18" s="1"/>
      <c r="D18" s="21">
        <f ca="1">'EBSCS IS'!D18</f>
        <v>340.48506647209246</v>
      </c>
      <c r="E18" s="21">
        <f ca="1">'EBSCS IS'!E18</f>
        <v>1334.2728688730135</v>
      </c>
      <c r="F18" s="21">
        <f ca="1">'EBSCS IS'!F18</f>
        <v>3046.5358780576057</v>
      </c>
      <c r="G18" s="21">
        <f ca="1">'EBSCS IS'!G18</f>
        <v>2059.5084790065921</v>
      </c>
      <c r="H18" s="21">
        <f ca="1">'EBSCS IS'!H18</f>
        <v>6.7604033499074285</v>
      </c>
      <c r="I18" s="21">
        <f ca="1">'EBSCS IS'!I18</f>
        <v>0</v>
      </c>
      <c r="J18" s="21">
        <f ca="1">'EBSCS IS'!J18</f>
        <v>0</v>
      </c>
      <c r="K18" s="21">
        <f ca="1">'EBSCS IS'!K18</f>
        <v>0</v>
      </c>
      <c r="L18" s="21">
        <f ca="1">'EBSCS IS'!L18</f>
        <v>0</v>
      </c>
      <c r="M18" s="209">
        <f ca="1">'EBSCS IS'!M18</f>
        <v>0</v>
      </c>
    </row>
    <row r="19" spans="1:13" x14ac:dyDescent="0.2">
      <c r="A19" s="14">
        <f t="shared" si="0"/>
        <v>19</v>
      </c>
      <c r="B19" s="8" t="s">
        <v>8</v>
      </c>
      <c r="C19" s="8"/>
      <c r="D19" s="21">
        <f ca="1">D17-D18</f>
        <v>-6037.3953806012551</v>
      </c>
      <c r="E19" s="21">
        <f t="shared" ref="E19:M19" ca="1" si="5">E17-E18</f>
        <v>-8125.1411386213258</v>
      </c>
      <c r="F19" s="21">
        <f t="shared" ca="1" si="5"/>
        <v>-8980.6319746525951</v>
      </c>
      <c r="G19" s="21">
        <f t="shared" ca="1" si="5"/>
        <v>16255.890453955788</v>
      </c>
      <c r="H19" s="21">
        <f t="shared" ca="1" si="5"/>
        <v>45877.848967097292</v>
      </c>
      <c r="I19" s="21">
        <f t="shared" ca="1" si="5"/>
        <v>79734.99750299225</v>
      </c>
      <c r="J19" s="21">
        <f t="shared" ca="1" si="5"/>
        <v>118221.33287398817</v>
      </c>
      <c r="K19" s="21">
        <f t="shared" ca="1" si="5"/>
        <v>157869.05358196277</v>
      </c>
      <c r="L19" s="21">
        <f t="shared" ca="1" si="5"/>
        <v>199354.52629121669</v>
      </c>
      <c r="M19" s="209">
        <f t="shared" ca="1" si="5"/>
        <v>241659.73028779711</v>
      </c>
    </row>
    <row r="20" spans="1:13" x14ac:dyDescent="0.2">
      <c r="A20" s="14">
        <f t="shared" si="0"/>
        <v>20</v>
      </c>
      <c r="B20" s="1" t="s">
        <v>134</v>
      </c>
      <c r="C20" s="1"/>
      <c r="D20" s="21">
        <f ca="1">'EBSCS IS'!D20</f>
        <v>-2354.5841984344897</v>
      </c>
      <c r="E20" s="21">
        <f ca="1">'EBSCS IS'!E20</f>
        <v>-3168.8050440623174</v>
      </c>
      <c r="F20" s="21">
        <f ca="1">'EBSCS IS'!F20</f>
        <v>-3502.4464701145107</v>
      </c>
      <c r="G20" s="21">
        <f ca="1">'EBSCS IS'!G20</f>
        <v>6339.7972770427577</v>
      </c>
      <c r="H20" s="21">
        <f ca="1">'EBSCS IS'!H20</f>
        <v>17892.361097167945</v>
      </c>
      <c r="I20" s="21">
        <f ca="1">'EBSCS IS'!I20</f>
        <v>31096.649026166979</v>
      </c>
      <c r="J20" s="21">
        <f ca="1">'EBSCS IS'!J20</f>
        <v>46106.319820855388</v>
      </c>
      <c r="K20" s="21">
        <f ca="1">'EBSCS IS'!K20</f>
        <v>61568.930896965481</v>
      </c>
      <c r="L20" s="21">
        <f ca="1">'EBSCS IS'!L20</f>
        <v>77748.265253574515</v>
      </c>
      <c r="M20" s="209">
        <f ca="1">'EBSCS IS'!M20</f>
        <v>94247.294812240871</v>
      </c>
    </row>
    <row r="21" spans="1:13" x14ac:dyDescent="0.2">
      <c r="A21" s="14">
        <f t="shared" si="0"/>
        <v>21</v>
      </c>
      <c r="B21" s="1" t="s">
        <v>3</v>
      </c>
      <c r="C21" s="1"/>
      <c r="D21" s="21">
        <f ca="1">D19-D20</f>
        <v>-3682.8111821667653</v>
      </c>
      <c r="E21" s="21">
        <f t="shared" ref="E21:M21" ca="1" si="6">E19-E20</f>
        <v>-4956.3360945590084</v>
      </c>
      <c r="F21" s="21">
        <f t="shared" ca="1" si="6"/>
        <v>-5478.1855045380844</v>
      </c>
      <c r="G21" s="21">
        <f t="shared" ca="1" si="6"/>
        <v>9916.0931769130293</v>
      </c>
      <c r="H21" s="21">
        <f t="shared" ca="1" si="6"/>
        <v>27985.487869929348</v>
      </c>
      <c r="I21" s="21">
        <f t="shared" ca="1" si="6"/>
        <v>48638.348476825267</v>
      </c>
      <c r="J21" s="21">
        <f t="shared" ca="1" si="6"/>
        <v>72115.013053132774</v>
      </c>
      <c r="K21" s="21">
        <f t="shared" ca="1" si="6"/>
        <v>96300.122684997288</v>
      </c>
      <c r="L21" s="21">
        <f t="shared" ca="1" si="6"/>
        <v>121606.26103764218</v>
      </c>
      <c r="M21" s="209">
        <f t="shared" ca="1" si="6"/>
        <v>147412.43547555624</v>
      </c>
    </row>
    <row r="22" spans="1:13" x14ac:dyDescent="0.2">
      <c r="A22" s="14">
        <f t="shared" si="0"/>
        <v>22</v>
      </c>
      <c r="B22" s="1"/>
      <c r="C22" s="1"/>
      <c r="D22" s="21"/>
      <c r="E22" s="7"/>
      <c r="F22" s="7"/>
      <c r="G22" s="7"/>
      <c r="H22" s="7"/>
      <c r="I22" s="7"/>
      <c r="J22" s="7"/>
      <c r="K22" s="7"/>
      <c r="L22" s="7"/>
      <c r="M22" s="208"/>
    </row>
    <row r="23" spans="1:13" x14ac:dyDescent="0.2">
      <c r="A23" s="14">
        <f t="shared" si="0"/>
        <v>23</v>
      </c>
      <c r="B23" s="1" t="s">
        <v>51</v>
      </c>
      <c r="C23" s="1"/>
      <c r="D23" s="21">
        <f ca="1">'EBSCS IS'!D23</f>
        <v>0</v>
      </c>
      <c r="E23" s="21">
        <f ca="1">'EBSCS IS'!E23</f>
        <v>0</v>
      </c>
      <c r="F23" s="21">
        <f ca="1">'EBSCS IS'!F23</f>
        <v>0</v>
      </c>
      <c r="G23" s="21">
        <f ca="1">'EBSCS IS'!G23</f>
        <v>0</v>
      </c>
      <c r="H23" s="21">
        <f ca="1">'EBSCS IS'!H23</f>
        <v>17728.354264998692</v>
      </c>
      <c r="I23" s="21">
        <f ca="1">'EBSCS IS'!I23</f>
        <v>47228.33098060792</v>
      </c>
      <c r="J23" s="21">
        <f ca="1">'EBSCS IS'!J23</f>
        <v>73416.855870267551</v>
      </c>
      <c r="K23" s="21">
        <f ca="1">'EBSCS IS'!K23</f>
        <v>96561.618537256669</v>
      </c>
      <c r="L23" s="21">
        <f ca="1">'EBSCS IS'!L23</f>
        <v>122692.95910485952</v>
      </c>
      <c r="M23" s="209">
        <f ca="1">'EBSCS IS'!M23</f>
        <v>147218.81500721694</v>
      </c>
    </row>
    <row r="24" spans="1:13" x14ac:dyDescent="0.2">
      <c r="A24" s="14">
        <f t="shared" si="0"/>
        <v>24</v>
      </c>
      <c r="B24" s="8" t="s">
        <v>52</v>
      </c>
      <c r="C24" s="8"/>
      <c r="D24" s="21">
        <f ca="1">D21-D23</f>
        <v>-3682.8111821667653</v>
      </c>
      <c r="E24" s="21">
        <f t="shared" ref="E24:M24" ca="1" si="7">E21-E23</f>
        <v>-4956.3360945590084</v>
      </c>
      <c r="F24" s="21">
        <f t="shared" ca="1" si="7"/>
        <v>-5478.1855045380844</v>
      </c>
      <c r="G24" s="21">
        <f t="shared" ca="1" si="7"/>
        <v>9916.0931769130293</v>
      </c>
      <c r="H24" s="21">
        <f t="shared" ca="1" si="7"/>
        <v>10257.133604930656</v>
      </c>
      <c r="I24" s="21">
        <f t="shared" ca="1" si="7"/>
        <v>1410.0174962173478</v>
      </c>
      <c r="J24" s="21">
        <f t="shared" ca="1" si="7"/>
        <v>-1301.8428171347769</v>
      </c>
      <c r="K24" s="21">
        <f t="shared" ca="1" si="7"/>
        <v>-261.49585225938063</v>
      </c>
      <c r="L24" s="21">
        <f t="shared" ca="1" si="7"/>
        <v>-1086.6980672173377</v>
      </c>
      <c r="M24" s="209">
        <f t="shared" ca="1" si="7"/>
        <v>193.62046833930071</v>
      </c>
    </row>
    <row r="25" spans="1:13" x14ac:dyDescent="0.2">
      <c r="A25" s="14">
        <f t="shared" si="0"/>
        <v>25</v>
      </c>
      <c r="B25" s="8"/>
      <c r="C25" s="8"/>
      <c r="D25" s="21"/>
      <c r="E25" s="21"/>
      <c r="F25" s="21"/>
      <c r="G25" s="21"/>
      <c r="H25" s="21"/>
      <c r="I25" s="21"/>
      <c r="J25" s="21"/>
      <c r="K25" s="21"/>
      <c r="L25" s="21"/>
      <c r="M25" s="209"/>
    </row>
    <row r="26" spans="1:13" x14ac:dyDescent="0.2">
      <c r="A26" s="14">
        <f t="shared" si="0"/>
        <v>26</v>
      </c>
      <c r="B26" s="1" t="s">
        <v>133</v>
      </c>
      <c r="C26" s="1"/>
      <c r="D26" s="21">
        <f ca="1">D21</f>
        <v>-3682.8111821667653</v>
      </c>
      <c r="E26" s="21">
        <f t="shared" ref="E26:M26" ca="1" si="8">E21</f>
        <v>-4956.3360945590084</v>
      </c>
      <c r="F26" s="21">
        <f t="shared" ca="1" si="8"/>
        <v>-5478.1855045380844</v>
      </c>
      <c r="G26" s="21">
        <f t="shared" ca="1" si="8"/>
        <v>9916.0931769130293</v>
      </c>
      <c r="H26" s="21">
        <f t="shared" ca="1" si="8"/>
        <v>27985.487869929348</v>
      </c>
      <c r="I26" s="21">
        <f t="shared" ca="1" si="8"/>
        <v>48638.348476825267</v>
      </c>
      <c r="J26" s="21">
        <f t="shared" ca="1" si="8"/>
        <v>72115.013053132774</v>
      </c>
      <c r="K26" s="21">
        <f t="shared" ca="1" si="8"/>
        <v>96300.122684997288</v>
      </c>
      <c r="L26" s="21">
        <f t="shared" ca="1" si="8"/>
        <v>121606.26103764218</v>
      </c>
      <c r="M26" s="209">
        <f t="shared" ca="1" si="8"/>
        <v>147412.43547555624</v>
      </c>
    </row>
    <row r="27" spans="1:13" x14ac:dyDescent="0.2">
      <c r="A27" s="14">
        <f t="shared" si="0"/>
        <v>27</v>
      </c>
      <c r="B27" s="1" t="s">
        <v>135</v>
      </c>
      <c r="C27" s="1"/>
      <c r="D27" s="21">
        <f>D16</f>
        <v>3793.0967135395849</v>
      </c>
      <c r="E27" s="21">
        <f t="shared" ref="E27:M27" si="9">E16</f>
        <v>4050.2902920552096</v>
      </c>
      <c r="F27" s="21">
        <f t="shared" si="9"/>
        <v>4270.3717064106786</v>
      </c>
      <c r="G27" s="21">
        <f t="shared" si="9"/>
        <v>5039.1725706929046</v>
      </c>
      <c r="H27" s="21">
        <f t="shared" si="9"/>
        <v>5828.467798762973</v>
      </c>
      <c r="I27" s="21">
        <f t="shared" si="9"/>
        <v>2894.8500019607536</v>
      </c>
      <c r="J27" s="21">
        <f t="shared" si="9"/>
        <v>2973.2361365670004</v>
      </c>
      <c r="K27" s="21">
        <f t="shared" si="9"/>
        <v>3397.6098769804257</v>
      </c>
      <c r="L27" s="21">
        <f t="shared" si="9"/>
        <v>3037.9223372135225</v>
      </c>
      <c r="M27" s="209">
        <f t="shared" si="9"/>
        <v>2867.8281902574449</v>
      </c>
    </row>
    <row r="28" spans="1:13" x14ac:dyDescent="0.2">
      <c r="A28" s="14">
        <f t="shared" si="0"/>
        <v>28</v>
      </c>
      <c r="B28" s="1" t="s">
        <v>136</v>
      </c>
      <c r="C28" s="1"/>
      <c r="D28" s="21">
        <f ca="1">'EBSCS IS'!D28</f>
        <v>-2354.5841984344897</v>
      </c>
      <c r="E28" s="21">
        <f ca="1">'EBSCS IS'!E28</f>
        <v>-3168.8050440623174</v>
      </c>
      <c r="F28" s="21">
        <f ca="1">'EBSCS IS'!F28</f>
        <v>-3502.4464701145107</v>
      </c>
      <c r="G28" s="21">
        <f ca="1">'EBSCS IS'!G28</f>
        <v>6339.7972770427577</v>
      </c>
      <c r="H28" s="21">
        <f ca="1">'EBSCS IS'!H28</f>
        <v>2686.0384355685601</v>
      </c>
      <c r="I28" s="21">
        <f ca="1">'EBSCS IS'!I28</f>
        <v>0</v>
      </c>
      <c r="J28" s="21">
        <f ca="1">'EBSCS IS'!J28</f>
        <v>0</v>
      </c>
      <c r="K28" s="21">
        <f ca="1">'EBSCS IS'!K28</f>
        <v>0</v>
      </c>
      <c r="L28" s="21">
        <f ca="1">'EBSCS IS'!L28</f>
        <v>0</v>
      </c>
      <c r="M28" s="209">
        <f ca="1">'EBSCS IS'!M28</f>
        <v>0</v>
      </c>
    </row>
    <row r="29" spans="1:13" x14ac:dyDescent="0.2">
      <c r="A29" s="14">
        <f t="shared" si="0"/>
        <v>29</v>
      </c>
      <c r="B29" s="1" t="s">
        <v>137</v>
      </c>
      <c r="C29" s="1"/>
      <c r="D29" s="21">
        <f>'EBSCS IS'!D29</f>
        <v>5941.3198962010683</v>
      </c>
      <c r="E29" s="21">
        <f>'EBSCS IS'!E29</f>
        <v>1249.4105195312497</v>
      </c>
      <c r="F29" s="21">
        <f>'EBSCS IS'!F29</f>
        <v>991.43035058593728</v>
      </c>
      <c r="G29" s="21">
        <f>'EBSCS IS'!G29</f>
        <v>3732.5891779785147</v>
      </c>
      <c r="H29" s="21">
        <f>'EBSCS IS'!H29</f>
        <v>3899.3794662475566</v>
      </c>
      <c r="I29" s="21">
        <f>'EBSCS IS'!I29</f>
        <v>4304.8674981780996</v>
      </c>
      <c r="J29" s="21">
        <f>'EBSCS IS'!J29</f>
        <v>1671.3933194322201</v>
      </c>
      <c r="K29" s="21">
        <f>'EBSCS IS'!K29</f>
        <v>3136.1140247210451</v>
      </c>
      <c r="L29" s="21">
        <f>'EBSCS IS'!L29</f>
        <v>1951.2242699961844</v>
      </c>
      <c r="M29" s="209">
        <f>'EBSCS IS'!M29</f>
        <v>3061.4486585967652</v>
      </c>
    </row>
    <row r="30" spans="1:13" x14ac:dyDescent="0.2">
      <c r="A30" s="14">
        <f t="shared" si="0"/>
        <v>30</v>
      </c>
      <c r="B30" s="1" t="s">
        <v>138</v>
      </c>
      <c r="C30" s="1"/>
      <c r="D30" s="23">
        <f>'EBSCS IS'!D30</f>
        <v>579.63192305714188</v>
      </c>
      <c r="E30" s="23">
        <f>'EBSCS IS'!E30</f>
        <v>1815.7459883362628</v>
      </c>
      <c r="F30" s="23">
        <f>'EBSCS IS'!F30</f>
        <v>5717.8609670777987</v>
      </c>
      <c r="G30" s="23">
        <f>'EBSCS IS'!G30</f>
        <v>-4583.0099267018104</v>
      </c>
      <c r="H30" s="23">
        <f>'EBSCS IS'!H30</f>
        <v>-3530.2289517693935</v>
      </c>
      <c r="I30" s="23">
        <f>'EBSCS IS'!I30</f>
        <v>0</v>
      </c>
      <c r="J30" s="23">
        <f>'EBSCS IS'!J30</f>
        <v>0</v>
      </c>
      <c r="K30" s="23">
        <f>'EBSCS IS'!K30</f>
        <v>0</v>
      </c>
      <c r="L30" s="23">
        <f>'EBSCS IS'!L30</f>
        <v>0</v>
      </c>
      <c r="M30" s="210">
        <f>'EBSCS IS'!M30</f>
        <v>0</v>
      </c>
    </row>
    <row r="31" spans="1:13" x14ac:dyDescent="0.2">
      <c r="A31" s="14">
        <f t="shared" si="0"/>
        <v>31</v>
      </c>
      <c r="B31" s="9" t="s">
        <v>111</v>
      </c>
      <c r="C31" s="90"/>
      <c r="D31" s="29">
        <f ca="1">D26+D27+D28-D29-D30</f>
        <v>-8765.250486319881</v>
      </c>
      <c r="E31" s="29">
        <f t="shared" ref="E31:M31" ca="1" si="10">E26+E27+E28-E29-E30</f>
        <v>-7140.0073544336283</v>
      </c>
      <c r="F31" s="29">
        <f t="shared" ca="1" si="10"/>
        <v>-11419.551585905652</v>
      </c>
      <c r="G31" s="29">
        <f t="shared" ca="1" si="10"/>
        <v>22145.483773371983</v>
      </c>
      <c r="H31" s="29">
        <f t="shared" ca="1" si="10"/>
        <v>36130.843589782715</v>
      </c>
      <c r="I31" s="29">
        <f t="shared" ca="1" si="10"/>
        <v>47228.33098060792</v>
      </c>
      <c r="J31" s="29">
        <f t="shared" ca="1" si="10"/>
        <v>73416.855870267551</v>
      </c>
      <c r="K31" s="29">
        <f t="shared" ca="1" si="10"/>
        <v>96561.618537256669</v>
      </c>
      <c r="L31" s="29">
        <f t="shared" ca="1" si="10"/>
        <v>122692.95910485952</v>
      </c>
      <c r="M31" s="36">
        <f t="shared" ca="1" si="10"/>
        <v>147218.81500721694</v>
      </c>
    </row>
    <row r="32" spans="1:13" x14ac:dyDescent="0.2">
      <c r="A32" s="14">
        <f t="shared" si="0"/>
        <v>32</v>
      </c>
      <c r="M32" s="209"/>
    </row>
    <row r="33" spans="1:13" x14ac:dyDescent="0.2">
      <c r="A33" s="14">
        <f t="shared" si="0"/>
        <v>33</v>
      </c>
      <c r="B33" s="39" t="s">
        <v>215</v>
      </c>
      <c r="D33" s="41">
        <f ca="1">'EBSCS IS'!D35</f>
        <v>0</v>
      </c>
      <c r="E33" s="41">
        <f ca="1">'EBSCS IS'!E35</f>
        <v>0</v>
      </c>
      <c r="F33" s="41">
        <f ca="1">'EBSCS IS'!F35</f>
        <v>0</v>
      </c>
      <c r="G33" s="41">
        <f ca="1">'EBSCS IS'!G35</f>
        <v>0</v>
      </c>
      <c r="H33" s="41">
        <f ca="1">'EBSCS IS'!H35</f>
        <v>27828.616026072956</v>
      </c>
      <c r="I33" s="41">
        <f ca="1">'EBSCS IS'!I35</f>
        <v>46756.04767080184</v>
      </c>
      <c r="J33" s="41">
        <f ca="1">'EBSCS IS'!J35</f>
        <v>72682.687311564878</v>
      </c>
      <c r="K33" s="41">
        <f ca="1">'EBSCS IS'!K35</f>
        <v>95596.002351884104</v>
      </c>
      <c r="L33" s="41">
        <f ca="1">'EBSCS IS'!L35</f>
        <v>121466.02951381092</v>
      </c>
      <c r="M33" s="209">
        <f ca="1">'EBSCS IS'!M35</f>
        <v>145746.62685714476</v>
      </c>
    </row>
    <row r="34" spans="1:13" ht="13.5" thickBot="1" x14ac:dyDescent="0.25">
      <c r="A34" s="14">
        <f t="shared" si="0"/>
        <v>34</v>
      </c>
      <c r="B34" s="139" t="s">
        <v>222</v>
      </c>
      <c r="C34" s="140">
        <f>'EBSCS IS'!C38</f>
        <v>0.81</v>
      </c>
      <c r="M34" s="209"/>
    </row>
    <row r="35" spans="1:13" ht="13.5" thickBot="1" x14ac:dyDescent="0.25">
      <c r="A35" s="14">
        <f t="shared" si="0"/>
        <v>35</v>
      </c>
      <c r="B35" s="139" t="s">
        <v>245</v>
      </c>
      <c r="C35" s="141"/>
      <c r="D35" s="135">
        <f ca="1">D33*$C$34</f>
        <v>0</v>
      </c>
      <c r="E35" s="136">
        <f t="shared" ref="E35:M35" ca="1" si="11">E33*$C$34</f>
        <v>0</v>
      </c>
      <c r="F35" s="136">
        <f t="shared" ca="1" si="11"/>
        <v>0</v>
      </c>
      <c r="G35" s="136">
        <f t="shared" ca="1" si="11"/>
        <v>0</v>
      </c>
      <c r="H35" s="136">
        <f t="shared" ca="1" si="11"/>
        <v>22541.178981119094</v>
      </c>
      <c r="I35" s="136">
        <f t="shared" ca="1" si="11"/>
        <v>37872.398613349491</v>
      </c>
      <c r="J35" s="136">
        <f t="shared" ca="1" si="11"/>
        <v>58872.976722367552</v>
      </c>
      <c r="K35" s="136">
        <f t="shared" ca="1" si="11"/>
        <v>77432.761905026127</v>
      </c>
      <c r="L35" s="136">
        <f t="shared" ca="1" si="11"/>
        <v>98387.483906186855</v>
      </c>
      <c r="M35" s="207">
        <f t="shared" ca="1" si="11"/>
        <v>118054.76775428726</v>
      </c>
    </row>
    <row r="36" spans="1:13" x14ac:dyDescent="0.2">
      <c r="A36" s="14">
        <f t="shared" si="0"/>
        <v>36</v>
      </c>
    </row>
    <row r="37" spans="1:13" ht="13.5" thickBot="1" x14ac:dyDescent="0.25">
      <c r="A37" s="14">
        <f t="shared" si="0"/>
        <v>37</v>
      </c>
      <c r="B37" s="39" t="s">
        <v>221</v>
      </c>
      <c r="C37" s="137">
        <f ca="1">NPV(C40,D33:M33)/1000</f>
        <v>70.422529663253712</v>
      </c>
      <c r="D37"/>
    </row>
    <row r="38" spans="1:13" ht="13.5" thickBot="1" x14ac:dyDescent="0.25">
      <c r="A38" s="14">
        <f t="shared" si="0"/>
        <v>38</v>
      </c>
      <c r="B38" s="139" t="s">
        <v>330</v>
      </c>
      <c r="C38" s="138">
        <f ca="1">C37*C34</f>
        <v>57.042249027235513</v>
      </c>
      <c r="D38"/>
    </row>
    <row r="39" spans="1:13" ht="13.5" thickBot="1" x14ac:dyDescent="0.25">
      <c r="A39" s="14">
        <f t="shared" si="0"/>
        <v>39</v>
      </c>
      <c r="B39" s="57" t="s">
        <v>331</v>
      </c>
      <c r="C39" s="206">
        <f ca="1">C38*1000000</f>
        <v>57042249.027235515</v>
      </c>
      <c r="D39"/>
    </row>
    <row r="40" spans="1:13" x14ac:dyDescent="0.2">
      <c r="A40" s="14">
        <f t="shared" si="0"/>
        <v>40</v>
      </c>
      <c r="B40" s="113" t="s">
        <v>212</v>
      </c>
      <c r="C40" s="134">
        <f>'EBSCS IS'!C57</f>
        <v>0.28000000000000003</v>
      </c>
    </row>
    <row r="41" spans="1:13" x14ac:dyDescent="0.2">
      <c r="A41"/>
      <c r="B41"/>
    </row>
    <row r="42" spans="1:13" x14ac:dyDescent="0.2">
      <c r="A42"/>
      <c r="B42"/>
    </row>
    <row r="43" spans="1:13" x14ac:dyDescent="0.2">
      <c r="A43"/>
      <c r="B43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"/>
  <sheetViews>
    <sheetView tabSelected="1" zoomScale="75" workbookViewId="0">
      <pane xSplit="2" ySplit="2" topLeftCell="C3" activePane="bottomRight" state="frozenSplit"/>
      <selection activeCell="C41" sqref="C41"/>
      <selection pane="topRight" activeCell="C41" sqref="C41"/>
      <selection pane="bottomLeft" activeCell="C41" sqref="C41"/>
      <selection pane="bottomRight" activeCell="A20" sqref="A20"/>
    </sheetView>
  </sheetViews>
  <sheetFormatPr defaultRowHeight="12.75" x14ac:dyDescent="0.2"/>
  <cols>
    <col min="1" max="1" width="4.7109375" style="10" bestFit="1" customWidth="1"/>
    <col min="2" max="2" width="28.7109375" style="1" customWidth="1"/>
    <col min="3" max="3" width="11.42578125" style="1" customWidth="1"/>
    <col min="4" max="4" width="11" style="7" bestFit="1" customWidth="1"/>
    <col min="5" max="5" width="10" style="7" customWidth="1"/>
    <col min="6" max="6" width="8.140625" style="7" customWidth="1"/>
    <col min="7" max="9" width="8.28515625" style="7" customWidth="1"/>
    <col min="10" max="10" width="9.140625" style="7"/>
    <col min="11" max="11" width="9.5703125" style="7" customWidth="1"/>
    <col min="12" max="12" width="9.42578125" style="7" customWidth="1"/>
    <col min="13" max="13" width="9.5703125" style="7" customWidth="1"/>
    <col min="14" max="18" width="10.7109375" style="7" customWidth="1"/>
    <col min="19" max="19" width="9.85546875" style="7" customWidth="1"/>
    <col min="20" max="20" width="10" style="7" customWidth="1"/>
    <col min="21" max="21" width="10.7109375" style="7" customWidth="1"/>
    <col min="22" max="22" width="9.28515625" style="7" customWidth="1"/>
    <col min="23" max="23" width="10.7109375" style="7" customWidth="1"/>
    <col min="24" max="24" width="9.140625" style="10"/>
    <col min="25" max="16384" width="9.140625" style="1"/>
  </cols>
  <sheetData>
    <row r="1" spans="1:24" x14ac:dyDescent="0.2">
      <c r="A1" s="2">
        <v>1</v>
      </c>
      <c r="B1" s="3" t="s">
        <v>198</v>
      </c>
      <c r="C1" s="3"/>
      <c r="X1" s="4" t="s">
        <v>9</v>
      </c>
    </row>
    <row r="2" spans="1:24" s="13" customFormat="1" x14ac:dyDescent="0.2">
      <c r="A2" s="14">
        <f>A1+1</f>
        <v>2</v>
      </c>
      <c r="C2" s="92" t="s">
        <v>158</v>
      </c>
      <c r="D2" s="15">
        <v>2001</v>
      </c>
      <c r="E2" s="15">
        <f t="shared" ref="E2:W2" si="0">D2+1</f>
        <v>2002</v>
      </c>
      <c r="F2" s="15">
        <f t="shared" si="0"/>
        <v>2003</v>
      </c>
      <c r="G2" s="15">
        <f t="shared" si="0"/>
        <v>2004</v>
      </c>
      <c r="H2" s="15">
        <f t="shared" si="0"/>
        <v>2005</v>
      </c>
      <c r="I2" s="15">
        <f t="shared" si="0"/>
        <v>2006</v>
      </c>
      <c r="J2" s="15">
        <f t="shared" si="0"/>
        <v>2007</v>
      </c>
      <c r="K2" s="15">
        <f t="shared" si="0"/>
        <v>2008</v>
      </c>
      <c r="L2" s="15">
        <f t="shared" si="0"/>
        <v>2009</v>
      </c>
      <c r="M2" s="15">
        <f t="shared" si="0"/>
        <v>2010</v>
      </c>
      <c r="N2" s="15">
        <f t="shared" si="0"/>
        <v>2011</v>
      </c>
      <c r="O2" s="15">
        <f t="shared" si="0"/>
        <v>2012</v>
      </c>
      <c r="P2" s="15">
        <f t="shared" si="0"/>
        <v>2013</v>
      </c>
      <c r="Q2" s="15">
        <f t="shared" si="0"/>
        <v>2014</v>
      </c>
      <c r="R2" s="15">
        <f t="shared" si="0"/>
        <v>2015</v>
      </c>
      <c r="S2" s="15">
        <f t="shared" si="0"/>
        <v>2016</v>
      </c>
      <c r="T2" s="15">
        <f t="shared" si="0"/>
        <v>2017</v>
      </c>
      <c r="U2" s="15">
        <f t="shared" si="0"/>
        <v>2018</v>
      </c>
      <c r="V2" s="15">
        <f t="shared" si="0"/>
        <v>2019</v>
      </c>
      <c r="W2" s="15">
        <f t="shared" si="0"/>
        <v>2020</v>
      </c>
      <c r="X2" s="16"/>
    </row>
    <row r="3" spans="1:24" ht="13.5" x14ac:dyDescent="0.25">
      <c r="A3" s="14">
        <f t="shared" ref="A3:A22" si="1">A2+1</f>
        <v>3</v>
      </c>
      <c r="B3" s="19" t="s">
        <v>4</v>
      </c>
      <c r="C3" s="19"/>
      <c r="X3" s="6"/>
    </row>
    <row r="4" spans="1:24" x14ac:dyDescent="0.2">
      <c r="A4" s="14">
        <f t="shared" si="1"/>
        <v>4</v>
      </c>
      <c r="B4" s="1" t="s">
        <v>121</v>
      </c>
      <c r="D4" s="21">
        <f>Assumptions!D11</f>
        <v>557.56176967420447</v>
      </c>
      <c r="E4" s="21">
        <f>Assumptions!E11</f>
        <v>2825.1037741163063</v>
      </c>
      <c r="F4" s="21">
        <f>Assumptions!F11</f>
        <v>11132.307640446159</v>
      </c>
      <c r="G4" s="21">
        <f>Assumptions!G11</f>
        <v>38904.220200513257</v>
      </c>
      <c r="H4" s="21">
        <f>Assumptions!H11</f>
        <v>81719.382291567104</v>
      </c>
      <c r="I4" s="21">
        <f>Assumptions!I11</f>
        <v>129973.05170776145</v>
      </c>
      <c r="J4" s="21">
        <f>Assumptions!J11</f>
        <v>190159.04608115784</v>
      </c>
      <c r="K4" s="21">
        <f>Assumptions!K11</f>
        <v>252697.33565443582</v>
      </c>
      <c r="L4" s="21">
        <f>Assumptions!L11</f>
        <v>316880.13939426484</v>
      </c>
      <c r="M4" s="21">
        <f>Assumptions!M11</f>
        <v>382638.25975197327</v>
      </c>
      <c r="N4" s="21">
        <f>Assumptions!N11</f>
        <v>424905.58533235407</v>
      </c>
      <c r="O4" s="21">
        <f>Assumptions!O11</f>
        <v>475059.1822277875</v>
      </c>
      <c r="P4" s="21">
        <f>Assumptions!P11</f>
        <v>522921.74043209507</v>
      </c>
      <c r="Q4" s="21">
        <f>Assumptions!Q11</f>
        <v>573997.32412502158</v>
      </c>
      <c r="R4" s="21">
        <f>Assumptions!R11</f>
        <v>621133.76680552575</v>
      </c>
      <c r="S4" s="21">
        <f>Assumptions!S11</f>
        <v>663337.54035898682</v>
      </c>
      <c r="T4" s="21">
        <f>Assumptions!T11</f>
        <v>707421.60460320313</v>
      </c>
      <c r="U4" s="21">
        <f>Assumptions!U11</f>
        <v>769460.34974210861</v>
      </c>
      <c r="V4" s="21">
        <f>Assumptions!V11</f>
        <v>834841.88553152699</v>
      </c>
      <c r="W4" s="21">
        <f>Assumptions!W11</f>
        <v>903730.00779236271</v>
      </c>
      <c r="X4" s="22"/>
    </row>
    <row r="5" spans="1:24" x14ac:dyDescent="0.2">
      <c r="A5" s="14">
        <f t="shared" si="1"/>
        <v>5</v>
      </c>
      <c r="B5" s="1" t="s">
        <v>46</v>
      </c>
      <c r="D5" s="21">
        <f>Assumptions!D21</f>
        <v>869.44788458571281</v>
      </c>
      <c r="E5" s="21">
        <f>Assumptions!E21</f>
        <v>3158.3429247972504</v>
      </c>
      <c r="F5" s="21">
        <f>Assumptions!F21</f>
        <v>10590.68685530818</v>
      </c>
      <c r="G5" s="21">
        <f>Assumptions!G21</f>
        <v>0</v>
      </c>
      <c r="H5" s="21">
        <f>Assumptions!H21</f>
        <v>0</v>
      </c>
      <c r="I5" s="21">
        <f>Assumptions!I21</f>
        <v>0</v>
      </c>
      <c r="J5" s="21">
        <f>Assumptions!J21</f>
        <v>0</v>
      </c>
      <c r="K5" s="21">
        <f>Assumptions!K21</f>
        <v>0</v>
      </c>
      <c r="L5" s="21">
        <f>Assumptions!L21</f>
        <v>0</v>
      </c>
      <c r="M5" s="21">
        <f>Assumptions!M21</f>
        <v>0</v>
      </c>
      <c r="N5" s="21">
        <f>Assumptions!N21</f>
        <v>0</v>
      </c>
      <c r="O5" s="21">
        <f>Assumptions!O21</f>
        <v>0</v>
      </c>
      <c r="P5" s="21">
        <f>Assumptions!P21</f>
        <v>0</v>
      </c>
      <c r="Q5" s="21">
        <f>Assumptions!Q21</f>
        <v>0</v>
      </c>
      <c r="R5" s="21">
        <f>Assumptions!R21</f>
        <v>0</v>
      </c>
      <c r="S5" s="21">
        <f>Assumptions!S21</f>
        <v>0</v>
      </c>
      <c r="T5" s="21">
        <f>Assumptions!T21</f>
        <v>0</v>
      </c>
      <c r="U5" s="21">
        <f>Assumptions!U21</f>
        <v>0</v>
      </c>
      <c r="V5" s="21">
        <f>Assumptions!V21</f>
        <v>0</v>
      </c>
      <c r="W5" s="21">
        <f>Assumptions!W21</f>
        <v>0</v>
      </c>
      <c r="X5" s="6"/>
    </row>
    <row r="6" spans="1:24" x14ac:dyDescent="0.2">
      <c r="A6" s="14">
        <f t="shared" si="1"/>
        <v>6</v>
      </c>
      <c r="B6" s="20" t="s">
        <v>48</v>
      </c>
      <c r="C6" s="89"/>
      <c r="D6" s="23">
        <f>Assumptions!D18</f>
        <v>145.19837751932411</v>
      </c>
      <c r="E6" s="23">
        <f>Assumptions!E18</f>
        <v>672.64375574197777</v>
      </c>
      <c r="F6" s="23">
        <f>Assumptions!F18</f>
        <v>2441.2955351855617</v>
      </c>
      <c r="G6" s="23">
        <f>Assumptions!G18</f>
        <v>7907.3618293726149</v>
      </c>
      <c r="H6" s="23">
        <f>Assumptions!H18</f>
        <v>15477.155737039224</v>
      </c>
      <c r="I6" s="23">
        <f>Assumptions!I18</f>
        <v>24616.108277985124</v>
      </c>
      <c r="J6" s="23">
        <f>Assumptions!J18</f>
        <v>36014.970848704135</v>
      </c>
      <c r="K6" s="23">
        <f>Assumptions!K18</f>
        <v>47859.343873946185</v>
      </c>
      <c r="L6" s="23">
        <f>Assumptions!L18</f>
        <v>60015.177915580454</v>
      </c>
      <c r="M6" s="23">
        <f>Assumptions!M18</f>
        <v>72469.367377267656</v>
      </c>
      <c r="N6" s="23">
        <f>Assumptions!N18</f>
        <v>80474.542676582219</v>
      </c>
      <c r="O6" s="23">
        <f>Assumptions!O18</f>
        <v>89973.329967384008</v>
      </c>
      <c r="P6" s="23">
        <f>Assumptions!P18</f>
        <v>99038.208415169516</v>
      </c>
      <c r="Q6" s="23">
        <f>Assumptions!Q18</f>
        <v>108711.61441761772</v>
      </c>
      <c r="R6" s="23">
        <f>Assumptions!R18</f>
        <v>117638.97098589505</v>
      </c>
      <c r="S6" s="23">
        <f>Assumptions!S18</f>
        <v>125632.1099164748</v>
      </c>
      <c r="T6" s="23">
        <f>Assumptions!T18</f>
        <v>133981.36450818245</v>
      </c>
      <c r="U6" s="23">
        <f>Assumptions!U18</f>
        <v>145731.12684509633</v>
      </c>
      <c r="V6" s="23">
        <f>Assumptions!V18</f>
        <v>158113.99347188015</v>
      </c>
      <c r="W6" s="23">
        <f>Assumptions!W18</f>
        <v>171160.98632431112</v>
      </c>
      <c r="X6" s="6"/>
    </row>
    <row r="7" spans="1:24" x14ac:dyDescent="0.2">
      <c r="A7" s="14">
        <f t="shared" si="1"/>
        <v>7</v>
      </c>
      <c r="B7" s="9" t="s">
        <v>20</v>
      </c>
      <c r="C7" s="90"/>
      <c r="D7" s="29">
        <f t="shared" ref="D7:W7" si="2">SUM(D4:D6)</f>
        <v>1572.2080317792413</v>
      </c>
      <c r="E7" s="29">
        <f t="shared" si="2"/>
        <v>6656.0904546555339</v>
      </c>
      <c r="F7" s="29">
        <f t="shared" si="2"/>
        <v>24164.290030939905</v>
      </c>
      <c r="G7" s="29">
        <f t="shared" si="2"/>
        <v>46811.582029885874</v>
      </c>
      <c r="H7" s="29">
        <f t="shared" si="2"/>
        <v>97196.53802860633</v>
      </c>
      <c r="I7" s="29">
        <f t="shared" si="2"/>
        <v>154589.15998574658</v>
      </c>
      <c r="J7" s="29">
        <f t="shared" si="2"/>
        <v>226174.01692986197</v>
      </c>
      <c r="K7" s="29">
        <f t="shared" si="2"/>
        <v>300556.67952838202</v>
      </c>
      <c r="L7" s="29">
        <f t="shared" si="2"/>
        <v>376895.3173098453</v>
      </c>
      <c r="M7" s="29">
        <f t="shared" si="2"/>
        <v>455107.62712924089</v>
      </c>
      <c r="N7" s="29">
        <f t="shared" si="2"/>
        <v>505380.1280089363</v>
      </c>
      <c r="O7" s="29">
        <f t="shared" si="2"/>
        <v>565032.51219517156</v>
      </c>
      <c r="P7" s="29">
        <f t="shared" si="2"/>
        <v>621959.94884726463</v>
      </c>
      <c r="Q7" s="29">
        <f t="shared" si="2"/>
        <v>682708.93854263925</v>
      </c>
      <c r="R7" s="29">
        <f t="shared" si="2"/>
        <v>738772.73779142078</v>
      </c>
      <c r="S7" s="29">
        <f t="shared" si="2"/>
        <v>788969.65027546161</v>
      </c>
      <c r="T7" s="29">
        <f t="shared" si="2"/>
        <v>841402.96911138552</v>
      </c>
      <c r="U7" s="29">
        <f t="shared" si="2"/>
        <v>915191.47658720496</v>
      </c>
      <c r="V7" s="29">
        <f t="shared" si="2"/>
        <v>992955.8790034072</v>
      </c>
      <c r="W7" s="36">
        <f t="shared" si="2"/>
        <v>1074890.9941166737</v>
      </c>
      <c r="X7" s="6"/>
    </row>
    <row r="8" spans="1:24" ht="13.5" x14ac:dyDescent="0.25">
      <c r="A8" s="14">
        <f t="shared" si="1"/>
        <v>8</v>
      </c>
      <c r="B8" s="19" t="s">
        <v>45</v>
      </c>
      <c r="C8" s="19"/>
      <c r="X8" s="6"/>
    </row>
    <row r="9" spans="1:24" x14ac:dyDescent="0.2">
      <c r="A9" s="14">
        <f t="shared" si="1"/>
        <v>9</v>
      </c>
      <c r="B9" s="1" t="s">
        <v>47</v>
      </c>
      <c r="D9" s="21">
        <f>Assumptions!D25</f>
        <v>313.54822153782857</v>
      </c>
      <c r="E9" s="21">
        <f>Assumptions!E25</f>
        <v>338.98178555226912</v>
      </c>
      <c r="F9" s="21">
        <f>Assumptions!F25</f>
        <v>615.33476750550892</v>
      </c>
      <c r="G9" s="21">
        <f>Assumptions!G25</f>
        <v>1539.2137253370747</v>
      </c>
      <c r="H9" s="21">
        <f>Assumptions!H25</f>
        <v>2963.5314508994657</v>
      </c>
      <c r="I9" s="21">
        <f>Assumptions!I25</f>
        <v>4568.7701868115309</v>
      </c>
      <c r="J9" s="21">
        <f>Assumptions!J25</f>
        <v>6570.9575996331841</v>
      </c>
      <c r="K9" s="21">
        <f>Assumptions!K25</f>
        <v>8651.3980327708978</v>
      </c>
      <c r="L9" s="21">
        <f>Assumptions!L25</f>
        <v>10786.545970515877</v>
      </c>
      <c r="M9" s="21">
        <f>Assumptions!M25</f>
        <v>12974.099441082311</v>
      </c>
      <c r="N9" s="21">
        <f>Assumptions!N25</f>
        <v>14380.192472056315</v>
      </c>
      <c r="O9" s="21">
        <f>Assumptions!O25</f>
        <v>16048.635462111066</v>
      </c>
      <c r="P9" s="21">
        <f>Assumptions!P25</f>
        <v>17640.863231707699</v>
      </c>
      <c r="Q9" s="21">
        <f>Assumptions!Q25</f>
        <v>19339.977649225719</v>
      </c>
      <c r="R9" s="21">
        <f>Assumptions!R25</f>
        <v>20908.04997573049</v>
      </c>
      <c r="S9" s="21">
        <f>Assumptions!S25</f>
        <v>22312.028842608968</v>
      </c>
      <c r="T9" s="21">
        <f>Assumptions!T25</f>
        <v>23778.558713133229</v>
      </c>
      <c r="U9" s="21">
        <f>Assumptions!U25</f>
        <v>25842.38096808748</v>
      </c>
      <c r="V9" s="21">
        <f>Assumptions!V25</f>
        <v>28017.406725348803</v>
      </c>
      <c r="W9" s="21">
        <f>Assumptions!W25</f>
        <v>30309.084925892603</v>
      </c>
      <c r="X9" s="6"/>
    </row>
    <row r="10" spans="1:24" x14ac:dyDescent="0.2">
      <c r="A10" s="14">
        <f t="shared" si="1"/>
        <v>10</v>
      </c>
      <c r="B10" s="1" t="s">
        <v>175</v>
      </c>
      <c r="D10" s="21">
        <f>Assumptions!D58</f>
        <v>394.93958685256149</v>
      </c>
      <c r="E10" s="21">
        <f>Assumptions!E58</f>
        <v>1829.5910156181794</v>
      </c>
      <c r="F10" s="21">
        <f>Assumptions!F58</f>
        <v>6640.3238557047271</v>
      </c>
      <c r="G10" s="21">
        <f>Assumptions!G58</f>
        <v>21508.024175893512</v>
      </c>
      <c r="H10" s="21">
        <f>Assumptions!H58</f>
        <v>42097.863604746686</v>
      </c>
      <c r="I10" s="21">
        <f>Assumptions!I58</f>
        <v>66955.814516119543</v>
      </c>
      <c r="J10" s="21">
        <f>Assumptions!J58</f>
        <v>97960.720708475259</v>
      </c>
      <c r="K10" s="21">
        <f>Assumptions!K58</f>
        <v>130177.41533713361</v>
      </c>
      <c r="L10" s="21">
        <f>Assumptions!L58</f>
        <v>163241.28393037885</v>
      </c>
      <c r="M10" s="21">
        <f>Assumptions!M58</f>
        <v>197116.67926616807</v>
      </c>
      <c r="N10" s="21">
        <f>Assumptions!N58</f>
        <v>218890.7560803036</v>
      </c>
      <c r="O10" s="21">
        <f>Assumptions!O58</f>
        <v>244727.45751128448</v>
      </c>
      <c r="P10" s="21">
        <f>Assumptions!P58</f>
        <v>269383.92688926111</v>
      </c>
      <c r="Q10" s="21">
        <f>Assumptions!Q58</f>
        <v>295695.59121592023</v>
      </c>
      <c r="R10" s="21">
        <f>Assumptions!R58</f>
        <v>319978.00108163455</v>
      </c>
      <c r="S10" s="21">
        <f>Assumptions!S58</f>
        <v>341719.33897281147</v>
      </c>
      <c r="T10" s="21">
        <f>Assumptions!T58</f>
        <v>364429.31146225624</v>
      </c>
      <c r="U10" s="21">
        <f>Assumptions!U58</f>
        <v>396388.665018662</v>
      </c>
      <c r="V10" s="21">
        <f>Assumptions!V58</f>
        <v>430070.06224351388</v>
      </c>
      <c r="W10" s="21">
        <f>Assumptions!W58</f>
        <v>465557.88280212611</v>
      </c>
      <c r="X10" s="6"/>
    </row>
    <row r="11" spans="1:24" x14ac:dyDescent="0.2">
      <c r="A11" s="14">
        <f t="shared" si="1"/>
        <v>11</v>
      </c>
      <c r="B11" s="1" t="s">
        <v>226</v>
      </c>
      <c r="D11" s="21">
        <f>Assumptions!D32</f>
        <v>375</v>
      </c>
      <c r="E11" s="21">
        <f>Assumptions!E32</f>
        <v>386.25</v>
      </c>
      <c r="F11" s="21">
        <f>Assumptions!F32</f>
        <v>397.83749999999998</v>
      </c>
      <c r="G11" s="21">
        <f>Assumptions!G32</f>
        <v>409.77262500000001</v>
      </c>
      <c r="H11" s="21">
        <f>Assumptions!H32</f>
        <v>422.06580374999999</v>
      </c>
      <c r="I11" s="21">
        <f>Assumptions!I32</f>
        <v>434.72777786249998</v>
      </c>
      <c r="J11" s="21">
        <f>Assumptions!J32</f>
        <v>447.769611198375</v>
      </c>
      <c r="K11" s="21">
        <f>Assumptions!K32</f>
        <v>461.20269953432626</v>
      </c>
      <c r="L11" s="21">
        <f>Assumptions!L32</f>
        <v>475.03878052035611</v>
      </c>
      <c r="M11" s="21">
        <f>Assumptions!M32</f>
        <v>489.28994393596673</v>
      </c>
      <c r="N11" s="21">
        <f>Assumptions!N32</f>
        <v>503.96864225404585</v>
      </c>
      <c r="O11" s="21">
        <f>Assumptions!O32</f>
        <v>519.08770152166721</v>
      </c>
      <c r="P11" s="21">
        <f>Assumptions!P32</f>
        <v>534.66033256731725</v>
      </c>
      <c r="Q11" s="21">
        <f>Assumptions!Q32</f>
        <v>550.7001425443367</v>
      </c>
      <c r="R11" s="21">
        <f>Assumptions!R32</f>
        <v>567.22114682066683</v>
      </c>
      <c r="S11" s="21">
        <f>Assumptions!S32</f>
        <v>584.23778122528688</v>
      </c>
      <c r="T11" s="21">
        <f>Assumptions!T32</f>
        <v>601.7649146620455</v>
      </c>
      <c r="U11" s="21">
        <f>Assumptions!U32</f>
        <v>619.81786210190671</v>
      </c>
      <c r="V11" s="21">
        <f>Assumptions!V32</f>
        <v>638.41239796496404</v>
      </c>
      <c r="W11" s="21">
        <f>Assumptions!W32</f>
        <v>657.56476990391297</v>
      </c>
      <c r="X11" s="6"/>
    </row>
    <row r="12" spans="1:24" x14ac:dyDescent="0.2">
      <c r="A12" s="14">
        <f t="shared" si="1"/>
        <v>12</v>
      </c>
      <c r="B12" s="1" t="s">
        <v>46</v>
      </c>
      <c r="D12" s="21">
        <f>Assumptions!D26</f>
        <v>2342.5338239784287</v>
      </c>
      <c r="E12" s="21">
        <f>Assumptions!E26</f>
        <v>6841.8456311781883</v>
      </c>
      <c r="F12" s="21">
        <f>Assumptions!F26</f>
        <v>18174.518297913975</v>
      </c>
      <c r="G12" s="21">
        <f>Assumptions!G26</f>
        <v>0</v>
      </c>
      <c r="H12" s="21">
        <f>Assumptions!H26</f>
        <v>0</v>
      </c>
      <c r="I12" s="21">
        <f>Assumptions!I26</f>
        <v>0</v>
      </c>
      <c r="J12" s="21">
        <f>Assumptions!J26</f>
        <v>0</v>
      </c>
      <c r="K12" s="21">
        <f>Assumptions!K26</f>
        <v>0</v>
      </c>
      <c r="L12" s="21">
        <f>Assumptions!L26</f>
        <v>0</v>
      </c>
      <c r="M12" s="21">
        <f>Assumptions!M26</f>
        <v>0</v>
      </c>
      <c r="N12" s="21">
        <f>Assumptions!N26</f>
        <v>0</v>
      </c>
      <c r="O12" s="21">
        <f>Assumptions!O26</f>
        <v>0</v>
      </c>
      <c r="P12" s="21">
        <f>Assumptions!P26</f>
        <v>0</v>
      </c>
      <c r="Q12" s="21">
        <f>Assumptions!Q26</f>
        <v>0</v>
      </c>
      <c r="R12" s="21">
        <f>Assumptions!R26</f>
        <v>0</v>
      </c>
      <c r="S12" s="21">
        <f>Assumptions!S26</f>
        <v>0</v>
      </c>
      <c r="T12" s="21">
        <f>Assumptions!T26</f>
        <v>0</v>
      </c>
      <c r="U12" s="21">
        <f>Assumptions!U26</f>
        <v>0</v>
      </c>
      <c r="V12" s="21">
        <f>Assumptions!V26</f>
        <v>0</v>
      </c>
      <c r="W12" s="21">
        <f>Assumptions!W26</f>
        <v>0</v>
      </c>
      <c r="X12" s="6"/>
    </row>
    <row r="13" spans="1:24" x14ac:dyDescent="0.2">
      <c r="A13" s="14">
        <f t="shared" si="1"/>
        <v>13</v>
      </c>
      <c r="B13" s="1" t="s">
        <v>163</v>
      </c>
      <c r="D13" s="21">
        <f>Assumptions!D38</f>
        <v>50</v>
      </c>
      <c r="E13" s="21">
        <f>Assumptions!E38</f>
        <v>0</v>
      </c>
      <c r="F13" s="21">
        <f>Assumptions!F38</f>
        <v>0</v>
      </c>
      <c r="G13" s="21">
        <f>Assumptions!G38</f>
        <v>0</v>
      </c>
      <c r="H13" s="21">
        <f>Assumptions!H38</f>
        <v>0</v>
      </c>
      <c r="I13" s="21">
        <f>Assumptions!I38</f>
        <v>0</v>
      </c>
      <c r="J13" s="21">
        <f>Assumptions!J38</f>
        <v>0</v>
      </c>
      <c r="K13" s="21">
        <f>Assumptions!K38</f>
        <v>0</v>
      </c>
      <c r="L13" s="21">
        <f>Assumptions!L38</f>
        <v>0</v>
      </c>
      <c r="M13" s="21">
        <f>Assumptions!M38</f>
        <v>0</v>
      </c>
      <c r="N13" s="21">
        <f>Assumptions!N38</f>
        <v>0</v>
      </c>
      <c r="O13" s="21">
        <f>Assumptions!O38</f>
        <v>0</v>
      </c>
      <c r="P13" s="21">
        <f>Assumptions!P38</f>
        <v>0</v>
      </c>
      <c r="Q13" s="21">
        <f>Assumptions!Q38</f>
        <v>0</v>
      </c>
      <c r="R13" s="21">
        <f>Assumptions!R38</f>
        <v>0</v>
      </c>
      <c r="S13" s="21">
        <f>Assumptions!S38</f>
        <v>0</v>
      </c>
      <c r="T13" s="21">
        <f>Assumptions!T38</f>
        <v>0</v>
      </c>
      <c r="U13" s="21">
        <f>Assumptions!U38</f>
        <v>0</v>
      </c>
      <c r="V13" s="21">
        <f>Assumptions!V38</f>
        <v>0</v>
      </c>
      <c r="W13" s="21">
        <f>Assumptions!W38</f>
        <v>0</v>
      </c>
      <c r="X13" s="6"/>
    </row>
    <row r="14" spans="1:24" x14ac:dyDescent="0.2">
      <c r="A14" s="14">
        <f t="shared" si="1"/>
        <v>14</v>
      </c>
      <c r="B14" s="9" t="s">
        <v>21</v>
      </c>
      <c r="C14" s="90"/>
      <c r="D14" s="29">
        <f>SUM(D9:D13)</f>
        <v>3476.0216323688187</v>
      </c>
      <c r="E14" s="29">
        <f t="shared" ref="E14:W14" si="3">SUM(E9:E13)</f>
        <v>9396.668432348637</v>
      </c>
      <c r="F14" s="29">
        <f t="shared" si="3"/>
        <v>25828.014421124211</v>
      </c>
      <c r="G14" s="29">
        <f t="shared" si="3"/>
        <v>23457.010526230588</v>
      </c>
      <c r="H14" s="29">
        <f t="shared" si="3"/>
        <v>45483.460859396153</v>
      </c>
      <c r="I14" s="29">
        <f t="shared" si="3"/>
        <v>71959.312480793567</v>
      </c>
      <c r="J14" s="29">
        <f t="shared" si="3"/>
        <v>104979.44791930681</v>
      </c>
      <c r="K14" s="29">
        <f t="shared" si="3"/>
        <v>139290.01606943883</v>
      </c>
      <c r="L14" s="29">
        <f t="shared" si="3"/>
        <v>174502.86868141507</v>
      </c>
      <c r="M14" s="29">
        <f t="shared" si="3"/>
        <v>210580.06865118633</v>
      </c>
      <c r="N14" s="29">
        <f t="shared" si="3"/>
        <v>233774.91719461395</v>
      </c>
      <c r="O14" s="29">
        <f t="shared" si="3"/>
        <v>261295.18067491721</v>
      </c>
      <c r="P14" s="29">
        <f t="shared" si="3"/>
        <v>287559.45045353612</v>
      </c>
      <c r="Q14" s="29">
        <f t="shared" si="3"/>
        <v>315586.26900769031</v>
      </c>
      <c r="R14" s="29">
        <f t="shared" si="3"/>
        <v>341453.27220418572</v>
      </c>
      <c r="S14" s="29">
        <f t="shared" si="3"/>
        <v>364615.60559664574</v>
      </c>
      <c r="T14" s="29">
        <f t="shared" si="3"/>
        <v>388809.63509005151</v>
      </c>
      <c r="U14" s="29">
        <f t="shared" si="3"/>
        <v>422850.86384885135</v>
      </c>
      <c r="V14" s="29">
        <f t="shared" si="3"/>
        <v>458725.88136682764</v>
      </c>
      <c r="W14" s="29">
        <f t="shared" si="3"/>
        <v>496524.5324979226</v>
      </c>
      <c r="X14" s="6"/>
    </row>
    <row r="15" spans="1:24" x14ac:dyDescent="0.2">
      <c r="A15" s="14">
        <f t="shared" si="1"/>
        <v>15</v>
      </c>
      <c r="B15" s="35" t="s">
        <v>5</v>
      </c>
      <c r="C15" s="91"/>
      <c r="D15" s="29">
        <f t="shared" ref="D15:W15" si="4">D7-D14</f>
        <v>-1903.8136005895774</v>
      </c>
      <c r="E15" s="29">
        <f t="shared" si="4"/>
        <v>-2740.5779776931031</v>
      </c>
      <c r="F15" s="29">
        <f t="shared" si="4"/>
        <v>-1663.7243901843067</v>
      </c>
      <c r="G15" s="29">
        <f t="shared" si="4"/>
        <v>23354.571503655287</v>
      </c>
      <c r="H15" s="29">
        <f t="shared" si="4"/>
        <v>51713.077169210177</v>
      </c>
      <c r="I15" s="29">
        <f t="shared" si="4"/>
        <v>82629.84750495301</v>
      </c>
      <c r="J15" s="29">
        <f t="shared" si="4"/>
        <v>121194.56901055516</v>
      </c>
      <c r="K15" s="29">
        <f t="shared" si="4"/>
        <v>161266.66345894319</v>
      </c>
      <c r="L15" s="29">
        <f t="shared" si="4"/>
        <v>202392.44862843023</v>
      </c>
      <c r="M15" s="29">
        <f t="shared" si="4"/>
        <v>244527.55847805456</v>
      </c>
      <c r="N15" s="29">
        <f t="shared" si="4"/>
        <v>271605.21081432234</v>
      </c>
      <c r="O15" s="29">
        <f t="shared" si="4"/>
        <v>303737.33152025437</v>
      </c>
      <c r="P15" s="29">
        <f t="shared" si="4"/>
        <v>334400.49839372851</v>
      </c>
      <c r="Q15" s="29">
        <f t="shared" si="4"/>
        <v>367122.66953494895</v>
      </c>
      <c r="R15" s="29">
        <f t="shared" si="4"/>
        <v>397319.46558723506</v>
      </c>
      <c r="S15" s="29">
        <f t="shared" si="4"/>
        <v>424354.04467881587</v>
      </c>
      <c r="T15" s="29">
        <f t="shared" si="4"/>
        <v>452593.33402133401</v>
      </c>
      <c r="U15" s="29">
        <f t="shared" si="4"/>
        <v>492340.61273835361</v>
      </c>
      <c r="V15" s="29">
        <f t="shared" si="4"/>
        <v>534229.99763657956</v>
      </c>
      <c r="W15" s="36">
        <f t="shared" si="4"/>
        <v>578366.46161875105</v>
      </c>
      <c r="X15" s="11"/>
    </row>
    <row r="16" spans="1:24" x14ac:dyDescent="0.2">
      <c r="A16" s="14">
        <f t="shared" si="1"/>
        <v>16</v>
      </c>
      <c r="B16" s="1" t="s">
        <v>6</v>
      </c>
      <c r="D16" s="21">
        <f>Assumptions!D116</f>
        <v>3793.0967135395849</v>
      </c>
      <c r="E16" s="21">
        <f>Assumptions!E116</f>
        <v>4050.2902920552096</v>
      </c>
      <c r="F16" s="21">
        <f>Assumptions!F116</f>
        <v>4270.3717064106786</v>
      </c>
      <c r="G16" s="21">
        <f>Assumptions!G116</f>
        <v>5039.1725706929046</v>
      </c>
      <c r="H16" s="21">
        <f>Assumptions!H116</f>
        <v>5828.467798762973</v>
      </c>
      <c r="I16" s="21">
        <f>Assumptions!I116</f>
        <v>2894.8500019607536</v>
      </c>
      <c r="J16" s="21">
        <f>Assumptions!J116</f>
        <v>2973.2361365670004</v>
      </c>
      <c r="K16" s="21">
        <f>Assumptions!K116</f>
        <v>3397.6098769804257</v>
      </c>
      <c r="L16" s="21">
        <f>Assumptions!L116</f>
        <v>3037.9223372135225</v>
      </c>
      <c r="M16" s="21">
        <f>Assumptions!M116</f>
        <v>2867.8281902574449</v>
      </c>
      <c r="N16" s="21">
        <f>Assumptions!N116</f>
        <v>2376.5359104481608</v>
      </c>
      <c r="O16" s="21">
        <f>Assumptions!O116</f>
        <v>2263.5755691764966</v>
      </c>
      <c r="P16" s="21">
        <f>Assumptions!P116</f>
        <v>1910.6313314681747</v>
      </c>
      <c r="Q16" s="21">
        <f>Assumptions!Q116</f>
        <v>1726.9951266767168</v>
      </c>
      <c r="R16" s="21">
        <f>Assumptions!R116</f>
        <v>1366.4234925017327</v>
      </c>
      <c r="S16" s="21">
        <f>Assumptions!S116</f>
        <v>1184.8325235179809</v>
      </c>
      <c r="T16" s="21">
        <f>Assumptions!T116</f>
        <v>1114.3165129630777</v>
      </c>
      <c r="U16" s="21">
        <f>Assumptions!U116</f>
        <v>1047.6911563545955</v>
      </c>
      <c r="V16" s="21">
        <f>Assumptions!V116</f>
        <v>990.3374603237678</v>
      </c>
      <c r="W16" s="21">
        <f>Assumptions!W116</f>
        <v>899.62994965790995</v>
      </c>
      <c r="X16" s="6"/>
    </row>
    <row r="17" spans="1:24" x14ac:dyDescent="0.2">
      <c r="A17" s="14">
        <f t="shared" si="1"/>
        <v>17</v>
      </c>
      <c r="B17" s="8" t="s">
        <v>2</v>
      </c>
      <c r="C17" s="8"/>
      <c r="D17" s="21">
        <f t="shared" ref="D17:W17" si="5">D15-D16</f>
        <v>-5696.9103141291625</v>
      </c>
      <c r="E17" s="21">
        <f t="shared" si="5"/>
        <v>-6790.8682697483127</v>
      </c>
      <c r="F17" s="21">
        <f t="shared" si="5"/>
        <v>-5934.0960965949853</v>
      </c>
      <c r="G17" s="21">
        <f t="shared" si="5"/>
        <v>18315.39893296238</v>
      </c>
      <c r="H17" s="21">
        <f t="shared" si="5"/>
        <v>45884.6093704472</v>
      </c>
      <c r="I17" s="21">
        <f t="shared" si="5"/>
        <v>79734.99750299225</v>
      </c>
      <c r="J17" s="21">
        <f t="shared" si="5"/>
        <v>118221.33287398817</v>
      </c>
      <c r="K17" s="21">
        <f t="shared" si="5"/>
        <v>157869.05358196277</v>
      </c>
      <c r="L17" s="21">
        <f t="shared" si="5"/>
        <v>199354.52629121669</v>
      </c>
      <c r="M17" s="21">
        <f t="shared" si="5"/>
        <v>241659.73028779711</v>
      </c>
      <c r="N17" s="21">
        <f t="shared" si="5"/>
        <v>269228.67490387417</v>
      </c>
      <c r="O17" s="21">
        <f t="shared" si="5"/>
        <v>301473.75595107785</v>
      </c>
      <c r="P17" s="21">
        <f t="shared" si="5"/>
        <v>332489.86706226034</v>
      </c>
      <c r="Q17" s="21">
        <f t="shared" si="5"/>
        <v>365395.6744082722</v>
      </c>
      <c r="R17" s="21">
        <f t="shared" si="5"/>
        <v>395953.04209473333</v>
      </c>
      <c r="S17" s="21">
        <f t="shared" si="5"/>
        <v>423169.21215529786</v>
      </c>
      <c r="T17" s="21">
        <f t="shared" si="5"/>
        <v>451479.01750837092</v>
      </c>
      <c r="U17" s="21">
        <f t="shared" si="5"/>
        <v>491292.92158199899</v>
      </c>
      <c r="V17" s="21">
        <f t="shared" si="5"/>
        <v>533239.66017625574</v>
      </c>
      <c r="W17" s="21">
        <f t="shared" si="5"/>
        <v>577466.83166909311</v>
      </c>
      <c r="X17" s="6"/>
    </row>
    <row r="18" spans="1:24" x14ac:dyDescent="0.2">
      <c r="A18" s="14">
        <f t="shared" si="1"/>
        <v>18</v>
      </c>
      <c r="B18" s="1" t="s">
        <v>7</v>
      </c>
      <c r="D18" s="21">
        <f ca="1">'EBSCS Cap'!D22</f>
        <v>340.48506647209246</v>
      </c>
      <c r="E18" s="21">
        <f ca="1">'EBSCS Cap'!E22</f>
        <v>1334.2728688730135</v>
      </c>
      <c r="F18" s="21">
        <f ca="1">'EBSCS Cap'!F22</f>
        <v>3046.5358780576057</v>
      </c>
      <c r="G18" s="21">
        <f ca="1">'EBSCS Cap'!G22</f>
        <v>2059.5084790065921</v>
      </c>
      <c r="H18" s="21">
        <f ca="1">'EBSCS Cap'!H22</f>
        <v>6.7604033499074285</v>
      </c>
      <c r="I18" s="21">
        <f ca="1">'EBSCS Cap'!I22</f>
        <v>0</v>
      </c>
      <c r="J18" s="21">
        <f ca="1">'EBSCS Cap'!J22</f>
        <v>0</v>
      </c>
      <c r="K18" s="21">
        <f ca="1">'EBSCS Cap'!K22</f>
        <v>0</v>
      </c>
      <c r="L18" s="21">
        <f ca="1">'EBSCS Cap'!L22</f>
        <v>0</v>
      </c>
      <c r="M18" s="21">
        <f ca="1">'EBSCS Cap'!M22</f>
        <v>0</v>
      </c>
      <c r="N18" s="21">
        <f ca="1">'EBSCS Cap'!N22</f>
        <v>0</v>
      </c>
      <c r="O18" s="21">
        <f ca="1">'EBSCS Cap'!O22</f>
        <v>0</v>
      </c>
      <c r="P18" s="21">
        <f ca="1">'EBSCS Cap'!P22</f>
        <v>0</v>
      </c>
      <c r="Q18" s="21">
        <f ca="1">'EBSCS Cap'!Q22</f>
        <v>0</v>
      </c>
      <c r="R18" s="21">
        <f ca="1">'EBSCS Cap'!R22</f>
        <v>0</v>
      </c>
      <c r="S18" s="21">
        <f ca="1">'EBSCS Cap'!S22</f>
        <v>0</v>
      </c>
      <c r="T18" s="21">
        <f ca="1">'EBSCS Cap'!T22</f>
        <v>0</v>
      </c>
      <c r="U18" s="21">
        <f ca="1">'EBSCS Cap'!U22</f>
        <v>0</v>
      </c>
      <c r="V18" s="21">
        <f ca="1">'EBSCS Cap'!V22</f>
        <v>0</v>
      </c>
      <c r="W18" s="21">
        <f ca="1">'EBSCS Cap'!W22</f>
        <v>0</v>
      </c>
      <c r="X18" s="6"/>
    </row>
    <row r="19" spans="1:24" x14ac:dyDescent="0.2">
      <c r="A19" s="14">
        <f t="shared" si="1"/>
        <v>19</v>
      </c>
      <c r="B19" s="8" t="s">
        <v>8</v>
      </c>
      <c r="C19" s="8"/>
      <c r="D19" s="21">
        <f t="shared" ref="D19:W19" ca="1" si="6">D17-D18</f>
        <v>-6037.3953806012551</v>
      </c>
      <c r="E19" s="21">
        <f t="shared" ca="1" si="6"/>
        <v>-8125.1411386213258</v>
      </c>
      <c r="F19" s="21">
        <f t="shared" ca="1" si="6"/>
        <v>-8980.6319746525915</v>
      </c>
      <c r="G19" s="21">
        <f t="shared" ca="1" si="6"/>
        <v>16255.890453955788</v>
      </c>
      <c r="H19" s="21">
        <f t="shared" ca="1" si="6"/>
        <v>45877.848967097292</v>
      </c>
      <c r="I19" s="21">
        <f t="shared" ca="1" si="6"/>
        <v>79734.99750299225</v>
      </c>
      <c r="J19" s="21">
        <f t="shared" ca="1" si="6"/>
        <v>118221.33287398817</v>
      </c>
      <c r="K19" s="21">
        <f t="shared" ca="1" si="6"/>
        <v>157869.05358196277</v>
      </c>
      <c r="L19" s="21">
        <f t="shared" ca="1" si="6"/>
        <v>199354.52629121669</v>
      </c>
      <c r="M19" s="21">
        <f t="shared" ca="1" si="6"/>
        <v>241659.73028779711</v>
      </c>
      <c r="N19" s="21">
        <f t="shared" ca="1" si="6"/>
        <v>269228.67490387417</v>
      </c>
      <c r="O19" s="21">
        <f t="shared" ca="1" si="6"/>
        <v>301473.75595107785</v>
      </c>
      <c r="P19" s="21">
        <f t="shared" ca="1" si="6"/>
        <v>332489.86706226034</v>
      </c>
      <c r="Q19" s="21">
        <f t="shared" ca="1" si="6"/>
        <v>365395.6744082722</v>
      </c>
      <c r="R19" s="21">
        <f t="shared" ca="1" si="6"/>
        <v>395953.04209473333</v>
      </c>
      <c r="S19" s="21">
        <f t="shared" ca="1" si="6"/>
        <v>423169.21215529786</v>
      </c>
      <c r="T19" s="21">
        <f t="shared" ca="1" si="6"/>
        <v>451479.01750837092</v>
      </c>
      <c r="U19" s="21">
        <f t="shared" ca="1" si="6"/>
        <v>491292.92158199899</v>
      </c>
      <c r="V19" s="21">
        <f t="shared" ca="1" si="6"/>
        <v>533239.66017625574</v>
      </c>
      <c r="W19" s="21">
        <f t="shared" ca="1" si="6"/>
        <v>577466.83166909311</v>
      </c>
      <c r="X19" s="6"/>
    </row>
    <row r="20" spans="1:24" x14ac:dyDescent="0.2">
      <c r="A20" s="14">
        <f t="shared" si="1"/>
        <v>20</v>
      </c>
      <c r="B20" s="1" t="s">
        <v>134</v>
      </c>
      <c r="D20" s="21">
        <f ca="1">'EBSCS Tax'!D11</f>
        <v>-2354.5841984344897</v>
      </c>
      <c r="E20" s="21">
        <f ca="1">'EBSCS Tax'!E11</f>
        <v>-3168.8050440623174</v>
      </c>
      <c r="F20" s="21">
        <f ca="1">'EBSCS Tax'!F11</f>
        <v>-3502.4464701145107</v>
      </c>
      <c r="G20" s="21">
        <f ca="1">'EBSCS Tax'!G11</f>
        <v>6339.7972770427577</v>
      </c>
      <c r="H20" s="21">
        <f ca="1">'EBSCS Tax'!H11</f>
        <v>17892.361097167945</v>
      </c>
      <c r="I20" s="21">
        <f ca="1">'EBSCS Tax'!I11</f>
        <v>31096.649026166979</v>
      </c>
      <c r="J20" s="21">
        <f ca="1">'EBSCS Tax'!J11</f>
        <v>46106.319820855388</v>
      </c>
      <c r="K20" s="21">
        <f ca="1">'EBSCS Tax'!K11</f>
        <v>61568.930896965481</v>
      </c>
      <c r="L20" s="21">
        <f ca="1">'EBSCS Tax'!L11</f>
        <v>77748.265253574515</v>
      </c>
      <c r="M20" s="21">
        <f ca="1">'EBSCS Tax'!M11</f>
        <v>94247.294812240871</v>
      </c>
      <c r="N20" s="21">
        <f ca="1">'EBSCS Tax'!N11</f>
        <v>104999.18321251094</v>
      </c>
      <c r="O20" s="21">
        <f ca="1">'EBSCS Tax'!O11</f>
        <v>117574.76482092036</v>
      </c>
      <c r="P20" s="21">
        <f ca="1">'EBSCS Tax'!P11</f>
        <v>129671.04815428154</v>
      </c>
      <c r="Q20" s="21">
        <f ca="1">'EBSCS Tax'!Q11</f>
        <v>142504.31301922616</v>
      </c>
      <c r="R20" s="21">
        <f ca="1">'EBSCS Tax'!R11</f>
        <v>154421.686416946</v>
      </c>
      <c r="S20" s="21">
        <f ca="1">'EBSCS Tax'!S11</f>
        <v>165035.99274056617</v>
      </c>
      <c r="T20" s="21">
        <f ca="1">'EBSCS Tax'!T11</f>
        <v>176076.81682826465</v>
      </c>
      <c r="U20" s="21">
        <f ca="1">'EBSCS Tax'!U11</f>
        <v>191604.2394169796</v>
      </c>
      <c r="V20" s="21">
        <f ca="1">'EBSCS Tax'!V11</f>
        <v>207963.46746873975</v>
      </c>
      <c r="W20" s="21">
        <f ca="1">'EBSCS Tax'!W11</f>
        <v>225212.06435094631</v>
      </c>
      <c r="X20" s="6"/>
    </row>
    <row r="21" spans="1:24" x14ac:dyDescent="0.2">
      <c r="A21" s="14">
        <f t="shared" si="1"/>
        <v>21</v>
      </c>
      <c r="B21" s="1" t="s">
        <v>3</v>
      </c>
      <c r="D21" s="21">
        <f t="shared" ref="D21:W21" ca="1" si="7">D19-D20</f>
        <v>-3682.8111821667653</v>
      </c>
      <c r="E21" s="21">
        <f t="shared" ca="1" si="7"/>
        <v>-4956.3360945590084</v>
      </c>
      <c r="F21" s="21">
        <f t="shared" ca="1" si="7"/>
        <v>-5478.1855045380807</v>
      </c>
      <c r="G21" s="21">
        <f t="shared" ca="1" si="7"/>
        <v>9916.0931769130293</v>
      </c>
      <c r="H21" s="21">
        <f t="shared" ca="1" si="7"/>
        <v>27985.487869929348</v>
      </c>
      <c r="I21" s="21">
        <f t="shared" ca="1" si="7"/>
        <v>48638.348476825267</v>
      </c>
      <c r="J21" s="21">
        <f t="shared" ca="1" si="7"/>
        <v>72115.013053132774</v>
      </c>
      <c r="K21" s="21">
        <f t="shared" ca="1" si="7"/>
        <v>96300.122684997288</v>
      </c>
      <c r="L21" s="21">
        <f t="shared" ca="1" si="7"/>
        <v>121606.26103764218</v>
      </c>
      <c r="M21" s="21">
        <f t="shared" ca="1" si="7"/>
        <v>147412.43547555624</v>
      </c>
      <c r="N21" s="21">
        <f t="shared" ca="1" si="7"/>
        <v>164229.49169136322</v>
      </c>
      <c r="O21" s="21">
        <f t="shared" ca="1" si="7"/>
        <v>183898.99113015749</v>
      </c>
      <c r="P21" s="21">
        <f t="shared" ca="1" si="7"/>
        <v>202818.8189079788</v>
      </c>
      <c r="Q21" s="21">
        <f t="shared" ca="1" si="7"/>
        <v>222891.36138904604</v>
      </c>
      <c r="R21" s="21">
        <f t="shared" ca="1" si="7"/>
        <v>241531.35567778733</v>
      </c>
      <c r="S21" s="21">
        <f t="shared" ca="1" si="7"/>
        <v>258133.21941473169</v>
      </c>
      <c r="T21" s="21">
        <f t="shared" ca="1" si="7"/>
        <v>275402.2006801063</v>
      </c>
      <c r="U21" s="21">
        <f t="shared" ca="1" si="7"/>
        <v>299688.68216501939</v>
      </c>
      <c r="V21" s="21">
        <f t="shared" ca="1" si="7"/>
        <v>325276.19270751602</v>
      </c>
      <c r="W21" s="21">
        <f t="shared" ca="1" si="7"/>
        <v>352254.76731814677</v>
      </c>
      <c r="X21" s="6"/>
    </row>
    <row r="22" spans="1:24" x14ac:dyDescent="0.2">
      <c r="A22" s="14">
        <f t="shared" si="1"/>
        <v>22</v>
      </c>
    </row>
  </sheetData>
  <pageMargins left="0.75" right="0.75" top="1" bottom="1" header="0.5" footer="0.5"/>
  <pageSetup paperSize="5" scale="6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5"/>
  <sheetViews>
    <sheetView zoomScale="75" workbookViewId="0">
      <pane xSplit="2" ySplit="2" topLeftCell="C3" activePane="bottomRight" state="frozenSplit"/>
      <selection activeCell="C41" sqref="C41"/>
      <selection pane="topRight" activeCell="C41" sqref="C41"/>
      <selection pane="bottomLeft" activeCell="C41" sqref="C41"/>
      <selection pane="bottomRight" activeCell="C22" sqref="C22"/>
    </sheetView>
  </sheetViews>
  <sheetFormatPr defaultRowHeight="12.75" x14ac:dyDescent="0.2"/>
  <cols>
    <col min="1" max="1" width="4.7109375" style="10" bestFit="1" customWidth="1"/>
    <col min="2" max="2" width="28.7109375" style="1" customWidth="1"/>
    <col min="3" max="3" width="11.140625" style="1" customWidth="1"/>
    <col min="4" max="4" width="11" style="7" bestFit="1" customWidth="1"/>
    <col min="5" max="5" width="10" style="7" customWidth="1"/>
    <col min="6" max="6" width="8.140625" style="7" customWidth="1"/>
    <col min="7" max="9" width="8.28515625" style="7" customWidth="1"/>
    <col min="10" max="10" width="9.140625" style="7"/>
    <col min="11" max="11" width="9.5703125" style="7" customWidth="1"/>
    <col min="12" max="12" width="9.42578125" style="7" customWidth="1"/>
    <col min="13" max="13" width="9.5703125" style="7" customWidth="1"/>
    <col min="14" max="18" width="10.7109375" style="7" customWidth="1"/>
    <col min="19" max="19" width="9.85546875" style="7" customWidth="1"/>
    <col min="20" max="20" width="10" style="7" customWidth="1"/>
    <col min="21" max="21" width="10.7109375" style="7" customWidth="1"/>
    <col min="22" max="22" width="9.28515625" style="7" customWidth="1"/>
    <col min="23" max="23" width="10.7109375" style="7" customWidth="1"/>
    <col min="24" max="24" width="9.140625" style="10"/>
    <col min="25" max="16384" width="9.140625" style="1"/>
  </cols>
  <sheetData>
    <row r="1" spans="1:24" x14ac:dyDescent="0.2">
      <c r="A1" s="2">
        <v>1</v>
      </c>
      <c r="B1" s="3" t="s">
        <v>210</v>
      </c>
      <c r="C1" s="3"/>
      <c r="X1" s="4" t="s">
        <v>9</v>
      </c>
    </row>
    <row r="2" spans="1:24" s="13" customFormat="1" x14ac:dyDescent="0.2">
      <c r="A2" s="14">
        <f t="shared" ref="A2:A25" si="0">A1+1</f>
        <v>2</v>
      </c>
      <c r="C2" s="92" t="s">
        <v>158</v>
      </c>
      <c r="D2" s="15">
        <v>2001</v>
      </c>
      <c r="E2" s="15">
        <f t="shared" ref="E2:W2" si="1">D2+1</f>
        <v>2002</v>
      </c>
      <c r="F2" s="15">
        <f t="shared" si="1"/>
        <v>2003</v>
      </c>
      <c r="G2" s="15">
        <f t="shared" si="1"/>
        <v>2004</v>
      </c>
      <c r="H2" s="15">
        <f t="shared" si="1"/>
        <v>2005</v>
      </c>
      <c r="I2" s="15">
        <f t="shared" si="1"/>
        <v>2006</v>
      </c>
      <c r="J2" s="15">
        <f t="shared" si="1"/>
        <v>2007</v>
      </c>
      <c r="K2" s="15">
        <f t="shared" si="1"/>
        <v>2008</v>
      </c>
      <c r="L2" s="15">
        <f t="shared" si="1"/>
        <v>2009</v>
      </c>
      <c r="M2" s="15">
        <f t="shared" si="1"/>
        <v>2010</v>
      </c>
      <c r="N2" s="15">
        <f t="shared" si="1"/>
        <v>2011</v>
      </c>
      <c r="O2" s="15">
        <f t="shared" si="1"/>
        <v>2012</v>
      </c>
      <c r="P2" s="15">
        <f t="shared" si="1"/>
        <v>2013</v>
      </c>
      <c r="Q2" s="15">
        <f t="shared" si="1"/>
        <v>2014</v>
      </c>
      <c r="R2" s="15">
        <f t="shared" si="1"/>
        <v>2015</v>
      </c>
      <c r="S2" s="15">
        <f t="shared" si="1"/>
        <v>2016</v>
      </c>
      <c r="T2" s="15">
        <f t="shared" si="1"/>
        <v>2017</v>
      </c>
      <c r="U2" s="15">
        <f t="shared" si="1"/>
        <v>2018</v>
      </c>
      <c r="V2" s="15">
        <f t="shared" si="1"/>
        <v>2019</v>
      </c>
      <c r="W2" s="15">
        <f t="shared" si="1"/>
        <v>2020</v>
      </c>
      <c r="X2" s="16"/>
    </row>
    <row r="3" spans="1:24" ht="13.5" x14ac:dyDescent="0.25">
      <c r="A3" s="14">
        <f t="shared" si="0"/>
        <v>3</v>
      </c>
      <c r="B3" s="19" t="s">
        <v>4</v>
      </c>
      <c r="C3" s="19"/>
      <c r="X3" s="6"/>
    </row>
    <row r="4" spans="1:24" x14ac:dyDescent="0.2">
      <c r="A4" s="14">
        <f t="shared" si="0"/>
        <v>4</v>
      </c>
      <c r="B4" s="1" t="s">
        <v>121</v>
      </c>
      <c r="D4" s="21">
        <f>Assumptions!D11</f>
        <v>557.56176967420447</v>
      </c>
      <c r="E4" s="21">
        <f>Assumptions!E11</f>
        <v>2825.1037741163063</v>
      </c>
      <c r="F4" s="21">
        <f>Assumptions!F11</f>
        <v>11132.307640446159</v>
      </c>
      <c r="G4" s="21">
        <f>Assumptions!G11</f>
        <v>38904.220200513257</v>
      </c>
      <c r="H4" s="21">
        <f>Assumptions!H11</f>
        <v>81719.382291567104</v>
      </c>
      <c r="I4" s="21">
        <f>Assumptions!I11</f>
        <v>129973.05170776145</v>
      </c>
      <c r="J4" s="21">
        <f>Assumptions!J11</f>
        <v>190159.04608115784</v>
      </c>
      <c r="K4" s="21">
        <f>Assumptions!K11</f>
        <v>252697.33565443582</v>
      </c>
      <c r="L4" s="21">
        <f>Assumptions!L11</f>
        <v>316880.13939426484</v>
      </c>
      <c r="M4" s="21">
        <f>Assumptions!M11</f>
        <v>382638.25975197327</v>
      </c>
      <c r="N4" s="21">
        <f>Assumptions!N11</f>
        <v>424905.58533235407</v>
      </c>
      <c r="O4" s="21">
        <f>Assumptions!O11</f>
        <v>475059.1822277875</v>
      </c>
      <c r="P4" s="21">
        <f>Assumptions!P11</f>
        <v>522921.74043209507</v>
      </c>
      <c r="Q4" s="21">
        <f>Assumptions!Q11</f>
        <v>573997.32412502158</v>
      </c>
      <c r="R4" s="21">
        <f>Assumptions!R11</f>
        <v>621133.76680552575</v>
      </c>
      <c r="S4" s="21">
        <f>Assumptions!S11</f>
        <v>663337.54035898682</v>
      </c>
      <c r="T4" s="21">
        <f>Assumptions!T11</f>
        <v>707421.60460320313</v>
      </c>
      <c r="U4" s="21">
        <f>Assumptions!U11</f>
        <v>769460.34974210861</v>
      </c>
      <c r="V4" s="21">
        <f>Assumptions!V11</f>
        <v>834841.88553152699</v>
      </c>
      <c r="W4" s="21">
        <f>Assumptions!W11</f>
        <v>903730.00779236271</v>
      </c>
      <c r="X4" s="22"/>
    </row>
    <row r="5" spans="1:24" x14ac:dyDescent="0.2">
      <c r="A5" s="14">
        <f t="shared" si="0"/>
        <v>5</v>
      </c>
      <c r="B5" s="1" t="s">
        <v>46</v>
      </c>
      <c r="D5" s="21">
        <f>Assumptions!D21</f>
        <v>869.44788458571281</v>
      </c>
      <c r="E5" s="21">
        <f>Assumptions!E21</f>
        <v>3158.3429247972504</v>
      </c>
      <c r="F5" s="21">
        <f>Assumptions!F21</f>
        <v>10590.68685530818</v>
      </c>
      <c r="G5" s="21">
        <f>Assumptions!G21</f>
        <v>0</v>
      </c>
      <c r="H5" s="21">
        <f>Assumptions!H21</f>
        <v>0</v>
      </c>
      <c r="I5" s="21">
        <f>Assumptions!I21</f>
        <v>0</v>
      </c>
      <c r="J5" s="21">
        <f>Assumptions!J21</f>
        <v>0</v>
      </c>
      <c r="K5" s="21">
        <f>Assumptions!K21</f>
        <v>0</v>
      </c>
      <c r="L5" s="21">
        <f>Assumptions!L21</f>
        <v>0</v>
      </c>
      <c r="M5" s="21">
        <f>Assumptions!M21</f>
        <v>0</v>
      </c>
      <c r="N5" s="21">
        <f>Assumptions!N21</f>
        <v>0</v>
      </c>
      <c r="O5" s="21">
        <f>Assumptions!O21</f>
        <v>0</v>
      </c>
      <c r="P5" s="21">
        <f>Assumptions!P21</f>
        <v>0</v>
      </c>
      <c r="Q5" s="21">
        <f>Assumptions!Q21</f>
        <v>0</v>
      </c>
      <c r="R5" s="21">
        <f>Assumptions!R21</f>
        <v>0</v>
      </c>
      <c r="S5" s="21">
        <f>Assumptions!S21</f>
        <v>0</v>
      </c>
      <c r="T5" s="21">
        <f>Assumptions!T21</f>
        <v>0</v>
      </c>
      <c r="U5" s="21">
        <f>Assumptions!U21</f>
        <v>0</v>
      </c>
      <c r="V5" s="21">
        <f>Assumptions!V21</f>
        <v>0</v>
      </c>
      <c r="W5" s="21">
        <f>Assumptions!W21</f>
        <v>0</v>
      </c>
      <c r="X5" s="6"/>
    </row>
    <row r="6" spans="1:24" x14ac:dyDescent="0.2">
      <c r="A6" s="14">
        <f t="shared" si="0"/>
        <v>6</v>
      </c>
      <c r="B6" s="20" t="s">
        <v>48</v>
      </c>
      <c r="C6" s="89"/>
      <c r="D6" s="23">
        <f>Assumptions!D18</f>
        <v>145.19837751932411</v>
      </c>
      <c r="E6" s="23">
        <f>Assumptions!E18</f>
        <v>672.64375574197777</v>
      </c>
      <c r="F6" s="23">
        <f>Assumptions!F18</f>
        <v>2441.2955351855617</v>
      </c>
      <c r="G6" s="23">
        <f>Assumptions!G18</f>
        <v>7907.3618293726149</v>
      </c>
      <c r="H6" s="23">
        <f>Assumptions!H18</f>
        <v>15477.155737039224</v>
      </c>
      <c r="I6" s="23">
        <f>Assumptions!I18</f>
        <v>24616.108277985124</v>
      </c>
      <c r="J6" s="23">
        <f>Assumptions!J18</f>
        <v>36014.970848704135</v>
      </c>
      <c r="K6" s="23">
        <f>Assumptions!K18</f>
        <v>47859.343873946185</v>
      </c>
      <c r="L6" s="23">
        <f>Assumptions!L18</f>
        <v>60015.177915580454</v>
      </c>
      <c r="M6" s="23">
        <f>Assumptions!M18</f>
        <v>72469.367377267656</v>
      </c>
      <c r="N6" s="23">
        <f>Assumptions!N18</f>
        <v>80474.542676582219</v>
      </c>
      <c r="O6" s="23">
        <f>Assumptions!O18</f>
        <v>89973.329967384008</v>
      </c>
      <c r="P6" s="23">
        <f>Assumptions!P18</f>
        <v>99038.208415169516</v>
      </c>
      <c r="Q6" s="23">
        <f>Assumptions!Q18</f>
        <v>108711.61441761772</v>
      </c>
      <c r="R6" s="23">
        <f>Assumptions!R18</f>
        <v>117638.97098589505</v>
      </c>
      <c r="S6" s="23">
        <f>Assumptions!S18</f>
        <v>125632.1099164748</v>
      </c>
      <c r="T6" s="23">
        <f>Assumptions!T18</f>
        <v>133981.36450818245</v>
      </c>
      <c r="U6" s="23">
        <f>Assumptions!U18</f>
        <v>145731.12684509633</v>
      </c>
      <c r="V6" s="23">
        <f>Assumptions!V18</f>
        <v>158113.99347188015</v>
      </c>
      <c r="W6" s="23">
        <f>Assumptions!W18</f>
        <v>171160.98632431112</v>
      </c>
      <c r="X6" s="6"/>
    </row>
    <row r="7" spans="1:24" x14ac:dyDescent="0.2">
      <c r="A7" s="14">
        <f t="shared" si="0"/>
        <v>7</v>
      </c>
      <c r="B7" s="9" t="s">
        <v>20</v>
      </c>
      <c r="C7" s="90"/>
      <c r="D7" s="29">
        <f t="shared" ref="D7:W7" si="2">SUM(D4:D6)</f>
        <v>1572.2080317792413</v>
      </c>
      <c r="E7" s="29">
        <f t="shared" si="2"/>
        <v>6656.0904546555339</v>
      </c>
      <c r="F7" s="29">
        <f t="shared" si="2"/>
        <v>24164.290030939905</v>
      </c>
      <c r="G7" s="29">
        <f t="shared" si="2"/>
        <v>46811.582029885874</v>
      </c>
      <c r="H7" s="29">
        <f t="shared" si="2"/>
        <v>97196.53802860633</v>
      </c>
      <c r="I7" s="29">
        <f t="shared" si="2"/>
        <v>154589.15998574658</v>
      </c>
      <c r="J7" s="29">
        <f t="shared" si="2"/>
        <v>226174.01692986197</v>
      </c>
      <c r="K7" s="29">
        <f t="shared" si="2"/>
        <v>300556.67952838202</v>
      </c>
      <c r="L7" s="29">
        <f t="shared" si="2"/>
        <v>376895.3173098453</v>
      </c>
      <c r="M7" s="29">
        <f t="shared" si="2"/>
        <v>455107.62712924089</v>
      </c>
      <c r="N7" s="29">
        <f t="shared" si="2"/>
        <v>505380.1280089363</v>
      </c>
      <c r="O7" s="29">
        <f t="shared" si="2"/>
        <v>565032.51219517156</v>
      </c>
      <c r="P7" s="29">
        <f t="shared" si="2"/>
        <v>621959.94884726463</v>
      </c>
      <c r="Q7" s="29">
        <f t="shared" si="2"/>
        <v>682708.93854263925</v>
      </c>
      <c r="R7" s="29">
        <f t="shared" si="2"/>
        <v>738772.73779142078</v>
      </c>
      <c r="S7" s="29">
        <f t="shared" si="2"/>
        <v>788969.65027546161</v>
      </c>
      <c r="T7" s="29">
        <f t="shared" si="2"/>
        <v>841402.96911138552</v>
      </c>
      <c r="U7" s="29">
        <f t="shared" si="2"/>
        <v>915191.47658720496</v>
      </c>
      <c r="V7" s="29">
        <f t="shared" si="2"/>
        <v>992955.8790034072</v>
      </c>
      <c r="W7" s="36">
        <f t="shared" si="2"/>
        <v>1074890.9941166737</v>
      </c>
      <c r="X7" s="6"/>
    </row>
    <row r="8" spans="1:24" ht="13.5" x14ac:dyDescent="0.25">
      <c r="A8" s="14">
        <f t="shared" si="0"/>
        <v>8</v>
      </c>
      <c r="B8" s="19" t="s">
        <v>45</v>
      </c>
      <c r="C8" s="19"/>
      <c r="X8" s="6"/>
    </row>
    <row r="9" spans="1:24" x14ac:dyDescent="0.2">
      <c r="A9" s="14">
        <f t="shared" si="0"/>
        <v>9</v>
      </c>
      <c r="B9" s="1" t="s">
        <v>47</v>
      </c>
      <c r="D9" s="21">
        <f>Assumptions!D25</f>
        <v>313.54822153782857</v>
      </c>
      <c r="E9" s="21">
        <f>Assumptions!E25</f>
        <v>338.98178555226912</v>
      </c>
      <c r="F9" s="21">
        <f>Assumptions!F25</f>
        <v>615.33476750550892</v>
      </c>
      <c r="G9" s="21">
        <f>Assumptions!G25</f>
        <v>1539.2137253370747</v>
      </c>
      <c r="H9" s="21">
        <f>Assumptions!H25</f>
        <v>2963.5314508994657</v>
      </c>
      <c r="I9" s="21">
        <f>Assumptions!I25</f>
        <v>4568.7701868115309</v>
      </c>
      <c r="J9" s="21">
        <f>Assumptions!J25</f>
        <v>6570.9575996331841</v>
      </c>
      <c r="K9" s="21">
        <f>Assumptions!K25</f>
        <v>8651.3980327708978</v>
      </c>
      <c r="L9" s="21">
        <f>Assumptions!L25</f>
        <v>10786.545970515877</v>
      </c>
      <c r="M9" s="21">
        <f>Assumptions!M25</f>
        <v>12974.099441082311</v>
      </c>
      <c r="N9" s="21">
        <f>Assumptions!N25</f>
        <v>14380.192472056315</v>
      </c>
      <c r="O9" s="21">
        <f>Assumptions!O25</f>
        <v>16048.635462111066</v>
      </c>
      <c r="P9" s="21">
        <f>Assumptions!P25</f>
        <v>17640.863231707699</v>
      </c>
      <c r="Q9" s="21">
        <f>Assumptions!Q25</f>
        <v>19339.977649225719</v>
      </c>
      <c r="R9" s="21">
        <f>Assumptions!R25</f>
        <v>20908.04997573049</v>
      </c>
      <c r="S9" s="21">
        <f>Assumptions!S25</f>
        <v>22312.028842608968</v>
      </c>
      <c r="T9" s="21">
        <f>Assumptions!T25</f>
        <v>23778.558713133229</v>
      </c>
      <c r="U9" s="21">
        <f>Assumptions!U25</f>
        <v>25842.38096808748</v>
      </c>
      <c r="V9" s="21">
        <f>Assumptions!V25</f>
        <v>28017.406725348803</v>
      </c>
      <c r="W9" s="21">
        <f>Assumptions!W25</f>
        <v>30309.084925892603</v>
      </c>
      <c r="X9" s="6"/>
    </row>
    <row r="10" spans="1:24" x14ac:dyDescent="0.2">
      <c r="A10" s="14">
        <f t="shared" si="0"/>
        <v>10</v>
      </c>
      <c r="B10" s="1" t="s">
        <v>175</v>
      </c>
      <c r="D10" s="21">
        <f>Assumptions!D58</f>
        <v>394.93958685256149</v>
      </c>
      <c r="E10" s="21">
        <f>Assumptions!E58</f>
        <v>1829.5910156181794</v>
      </c>
      <c r="F10" s="21">
        <f>Assumptions!F58</f>
        <v>6640.3238557047271</v>
      </c>
      <c r="G10" s="21">
        <f>Assumptions!G58</f>
        <v>21508.024175893512</v>
      </c>
      <c r="H10" s="21">
        <f>Assumptions!H58</f>
        <v>42097.863604746686</v>
      </c>
      <c r="I10" s="21">
        <f>Assumptions!I58</f>
        <v>66955.814516119543</v>
      </c>
      <c r="J10" s="21">
        <f>Assumptions!J58</f>
        <v>97960.720708475259</v>
      </c>
      <c r="K10" s="21">
        <f>Assumptions!K58</f>
        <v>130177.41533713361</v>
      </c>
      <c r="L10" s="21">
        <f>Assumptions!L58</f>
        <v>163241.28393037885</v>
      </c>
      <c r="M10" s="21">
        <f>Assumptions!M58</f>
        <v>197116.67926616807</v>
      </c>
      <c r="N10" s="21">
        <f>Assumptions!N58</f>
        <v>218890.7560803036</v>
      </c>
      <c r="O10" s="21">
        <f>Assumptions!O58</f>
        <v>244727.45751128448</v>
      </c>
      <c r="P10" s="21">
        <f>Assumptions!P58</f>
        <v>269383.92688926111</v>
      </c>
      <c r="Q10" s="21">
        <f>Assumptions!Q58</f>
        <v>295695.59121592023</v>
      </c>
      <c r="R10" s="21">
        <f>Assumptions!R58</f>
        <v>319978.00108163455</v>
      </c>
      <c r="S10" s="21">
        <f>Assumptions!S58</f>
        <v>341719.33897281147</v>
      </c>
      <c r="T10" s="21">
        <f>Assumptions!T58</f>
        <v>364429.31146225624</v>
      </c>
      <c r="U10" s="21">
        <f>Assumptions!U58</f>
        <v>396388.665018662</v>
      </c>
      <c r="V10" s="21">
        <f>Assumptions!V58</f>
        <v>430070.06224351388</v>
      </c>
      <c r="W10" s="21">
        <f>Assumptions!W58</f>
        <v>465557.88280212611</v>
      </c>
      <c r="X10" s="6"/>
    </row>
    <row r="11" spans="1:24" x14ac:dyDescent="0.2">
      <c r="A11" s="14">
        <f t="shared" si="0"/>
        <v>11</v>
      </c>
      <c r="B11" s="1" t="s">
        <v>226</v>
      </c>
      <c r="D11" s="21">
        <f>Assumptions!D32</f>
        <v>375</v>
      </c>
      <c r="E11" s="21">
        <f>Assumptions!E32</f>
        <v>386.25</v>
      </c>
      <c r="F11" s="21">
        <f>Assumptions!F32</f>
        <v>397.83749999999998</v>
      </c>
      <c r="G11" s="21">
        <f>Assumptions!G32</f>
        <v>409.77262500000001</v>
      </c>
      <c r="H11" s="21">
        <f>Assumptions!H32</f>
        <v>422.06580374999999</v>
      </c>
      <c r="I11" s="21">
        <f>Assumptions!I32</f>
        <v>434.72777786249998</v>
      </c>
      <c r="J11" s="21">
        <f>Assumptions!J32</f>
        <v>447.769611198375</v>
      </c>
      <c r="K11" s="21">
        <f>Assumptions!K32</f>
        <v>461.20269953432626</v>
      </c>
      <c r="L11" s="21">
        <f>Assumptions!L32</f>
        <v>475.03878052035611</v>
      </c>
      <c r="M11" s="21">
        <f>Assumptions!M32</f>
        <v>489.28994393596673</v>
      </c>
      <c r="N11" s="21">
        <f>Assumptions!N32</f>
        <v>503.96864225404585</v>
      </c>
      <c r="O11" s="21">
        <f>Assumptions!O32</f>
        <v>519.08770152166721</v>
      </c>
      <c r="P11" s="21">
        <f>Assumptions!P32</f>
        <v>534.66033256731725</v>
      </c>
      <c r="Q11" s="21">
        <f>Assumptions!Q32</f>
        <v>550.7001425443367</v>
      </c>
      <c r="R11" s="21">
        <f>Assumptions!R32</f>
        <v>567.22114682066683</v>
      </c>
      <c r="S11" s="21">
        <f>Assumptions!S32</f>
        <v>584.23778122528688</v>
      </c>
      <c r="T11" s="21">
        <f>Assumptions!T32</f>
        <v>601.7649146620455</v>
      </c>
      <c r="U11" s="21">
        <f>Assumptions!U32</f>
        <v>619.81786210190671</v>
      </c>
      <c r="V11" s="21">
        <f>Assumptions!V32</f>
        <v>638.41239796496404</v>
      </c>
      <c r="W11" s="21">
        <f>Assumptions!W32</f>
        <v>657.56476990391297</v>
      </c>
      <c r="X11" s="6"/>
    </row>
    <row r="12" spans="1:24" x14ac:dyDescent="0.2">
      <c r="A12" s="14">
        <f t="shared" si="0"/>
        <v>12</v>
      </c>
      <c r="B12" s="1" t="s">
        <v>46</v>
      </c>
      <c r="D12" s="21">
        <f>Assumptions!D26</f>
        <v>2342.5338239784287</v>
      </c>
      <c r="E12" s="21">
        <f>Assumptions!E26</f>
        <v>6841.8456311781883</v>
      </c>
      <c r="F12" s="21">
        <f>Assumptions!F26</f>
        <v>18174.518297913975</v>
      </c>
      <c r="G12" s="21">
        <f>Assumptions!G26</f>
        <v>0</v>
      </c>
      <c r="H12" s="21">
        <f>Assumptions!H26</f>
        <v>0</v>
      </c>
      <c r="I12" s="21">
        <f>Assumptions!I26</f>
        <v>0</v>
      </c>
      <c r="J12" s="21">
        <f>Assumptions!J26</f>
        <v>0</v>
      </c>
      <c r="K12" s="21">
        <f>Assumptions!K26</f>
        <v>0</v>
      </c>
      <c r="L12" s="21">
        <f>Assumptions!L26</f>
        <v>0</v>
      </c>
      <c r="M12" s="21">
        <f>Assumptions!M26</f>
        <v>0</v>
      </c>
      <c r="N12" s="21">
        <f>Assumptions!N26</f>
        <v>0</v>
      </c>
      <c r="O12" s="21">
        <f>Assumptions!O26</f>
        <v>0</v>
      </c>
      <c r="P12" s="21">
        <f>Assumptions!P26</f>
        <v>0</v>
      </c>
      <c r="Q12" s="21">
        <f>Assumptions!Q26</f>
        <v>0</v>
      </c>
      <c r="R12" s="21">
        <f>Assumptions!R26</f>
        <v>0</v>
      </c>
      <c r="S12" s="21">
        <f>Assumptions!S26</f>
        <v>0</v>
      </c>
      <c r="T12" s="21">
        <f>Assumptions!T26</f>
        <v>0</v>
      </c>
      <c r="U12" s="21">
        <f>Assumptions!U26</f>
        <v>0</v>
      </c>
      <c r="V12" s="21">
        <f>Assumptions!V26</f>
        <v>0</v>
      </c>
      <c r="W12" s="21">
        <f>Assumptions!W26</f>
        <v>0</v>
      </c>
      <c r="X12" s="6"/>
    </row>
    <row r="13" spans="1:24" x14ac:dyDescent="0.2">
      <c r="A13" s="14">
        <f t="shared" si="0"/>
        <v>13</v>
      </c>
      <c r="B13" s="1" t="s">
        <v>163</v>
      </c>
      <c r="D13" s="21">
        <f>Assumptions!D38</f>
        <v>50</v>
      </c>
      <c r="E13" s="21">
        <f>Assumptions!E38</f>
        <v>0</v>
      </c>
      <c r="F13" s="21">
        <f>Assumptions!F38</f>
        <v>0</v>
      </c>
      <c r="G13" s="21">
        <f>Assumptions!G38</f>
        <v>0</v>
      </c>
      <c r="H13" s="21">
        <f>Assumptions!H38</f>
        <v>0</v>
      </c>
      <c r="I13" s="21">
        <f>Assumptions!I38</f>
        <v>0</v>
      </c>
      <c r="J13" s="21">
        <f>Assumptions!J38</f>
        <v>0</v>
      </c>
      <c r="K13" s="21">
        <f>Assumptions!K38</f>
        <v>0</v>
      </c>
      <c r="L13" s="21">
        <f>Assumptions!L38</f>
        <v>0</v>
      </c>
      <c r="M13" s="21">
        <f>Assumptions!M38</f>
        <v>0</v>
      </c>
      <c r="N13" s="21">
        <f>Assumptions!N38</f>
        <v>0</v>
      </c>
      <c r="O13" s="21">
        <f>Assumptions!O38</f>
        <v>0</v>
      </c>
      <c r="P13" s="21">
        <f>Assumptions!P38</f>
        <v>0</v>
      </c>
      <c r="Q13" s="21">
        <f>Assumptions!Q38</f>
        <v>0</v>
      </c>
      <c r="R13" s="21">
        <f>Assumptions!R38</f>
        <v>0</v>
      </c>
      <c r="S13" s="21">
        <f>Assumptions!S38</f>
        <v>0</v>
      </c>
      <c r="T13" s="21">
        <f>Assumptions!T38</f>
        <v>0</v>
      </c>
      <c r="U13" s="21">
        <f>Assumptions!U38</f>
        <v>0</v>
      </c>
      <c r="V13" s="21">
        <f>Assumptions!V38</f>
        <v>0</v>
      </c>
      <c r="W13" s="21">
        <f>Assumptions!W38</f>
        <v>0</v>
      </c>
      <c r="X13" s="6"/>
    </row>
    <row r="14" spans="1:24" x14ac:dyDescent="0.2">
      <c r="A14" s="14">
        <f t="shared" si="0"/>
        <v>14</v>
      </c>
      <c r="B14" s="9" t="s">
        <v>21</v>
      </c>
      <c r="C14" s="90"/>
      <c r="D14" s="29">
        <f>SUM(D9:D13)</f>
        <v>3476.0216323688187</v>
      </c>
      <c r="E14" s="29">
        <f t="shared" ref="E14:W14" si="3">SUM(E9:E13)</f>
        <v>9396.668432348637</v>
      </c>
      <c r="F14" s="29">
        <f t="shared" si="3"/>
        <v>25828.014421124211</v>
      </c>
      <c r="G14" s="29">
        <f t="shared" si="3"/>
        <v>23457.010526230588</v>
      </c>
      <c r="H14" s="29">
        <f t="shared" si="3"/>
        <v>45483.460859396153</v>
      </c>
      <c r="I14" s="29">
        <f t="shared" si="3"/>
        <v>71959.312480793567</v>
      </c>
      <c r="J14" s="29">
        <f t="shared" si="3"/>
        <v>104979.44791930681</v>
      </c>
      <c r="K14" s="29">
        <f t="shared" si="3"/>
        <v>139290.01606943883</v>
      </c>
      <c r="L14" s="29">
        <f t="shared" si="3"/>
        <v>174502.86868141507</v>
      </c>
      <c r="M14" s="29">
        <f t="shared" si="3"/>
        <v>210580.06865118633</v>
      </c>
      <c r="N14" s="29">
        <f t="shared" si="3"/>
        <v>233774.91719461395</v>
      </c>
      <c r="O14" s="29">
        <f t="shared" si="3"/>
        <v>261295.18067491721</v>
      </c>
      <c r="P14" s="29">
        <f t="shared" si="3"/>
        <v>287559.45045353612</v>
      </c>
      <c r="Q14" s="29">
        <f t="shared" si="3"/>
        <v>315586.26900769031</v>
      </c>
      <c r="R14" s="29">
        <f t="shared" si="3"/>
        <v>341453.27220418572</v>
      </c>
      <c r="S14" s="29">
        <f t="shared" si="3"/>
        <v>364615.60559664574</v>
      </c>
      <c r="T14" s="29">
        <f t="shared" si="3"/>
        <v>388809.63509005151</v>
      </c>
      <c r="U14" s="29">
        <f t="shared" si="3"/>
        <v>422850.86384885135</v>
      </c>
      <c r="V14" s="29">
        <f t="shared" si="3"/>
        <v>458725.88136682764</v>
      </c>
      <c r="W14" s="29">
        <f t="shared" si="3"/>
        <v>496524.5324979226</v>
      </c>
      <c r="X14" s="6"/>
    </row>
    <row r="15" spans="1:24" x14ac:dyDescent="0.2">
      <c r="A15" s="14">
        <f t="shared" si="0"/>
        <v>15</v>
      </c>
      <c r="B15" s="35" t="s">
        <v>5</v>
      </c>
      <c r="C15" s="91"/>
      <c r="D15" s="29">
        <f t="shared" ref="D15:W15" si="4">D7-D14</f>
        <v>-1903.8136005895774</v>
      </c>
      <c r="E15" s="29">
        <f t="shared" si="4"/>
        <v>-2740.5779776931031</v>
      </c>
      <c r="F15" s="29">
        <f t="shared" si="4"/>
        <v>-1663.7243901843067</v>
      </c>
      <c r="G15" s="29">
        <f t="shared" si="4"/>
        <v>23354.571503655287</v>
      </c>
      <c r="H15" s="29">
        <f t="shared" si="4"/>
        <v>51713.077169210177</v>
      </c>
      <c r="I15" s="29">
        <f t="shared" si="4"/>
        <v>82629.84750495301</v>
      </c>
      <c r="J15" s="29">
        <f t="shared" si="4"/>
        <v>121194.56901055516</v>
      </c>
      <c r="K15" s="29">
        <f t="shared" si="4"/>
        <v>161266.66345894319</v>
      </c>
      <c r="L15" s="29">
        <f t="shared" si="4"/>
        <v>202392.44862843023</v>
      </c>
      <c r="M15" s="29">
        <f t="shared" si="4"/>
        <v>244527.55847805456</v>
      </c>
      <c r="N15" s="29">
        <f t="shared" si="4"/>
        <v>271605.21081432234</v>
      </c>
      <c r="O15" s="29">
        <f t="shared" si="4"/>
        <v>303737.33152025437</v>
      </c>
      <c r="P15" s="29">
        <f t="shared" si="4"/>
        <v>334400.49839372851</v>
      </c>
      <c r="Q15" s="29">
        <f t="shared" si="4"/>
        <v>367122.66953494895</v>
      </c>
      <c r="R15" s="29">
        <f t="shared" si="4"/>
        <v>397319.46558723506</v>
      </c>
      <c r="S15" s="29">
        <f t="shared" si="4"/>
        <v>424354.04467881587</v>
      </c>
      <c r="T15" s="29">
        <f t="shared" si="4"/>
        <v>452593.33402133401</v>
      </c>
      <c r="U15" s="29">
        <f t="shared" si="4"/>
        <v>492340.61273835361</v>
      </c>
      <c r="V15" s="29">
        <f t="shared" si="4"/>
        <v>534229.99763657956</v>
      </c>
      <c r="W15" s="36">
        <f t="shared" si="4"/>
        <v>578366.46161875105</v>
      </c>
      <c r="X15" s="11"/>
    </row>
    <row r="16" spans="1:24" x14ac:dyDescent="0.2">
      <c r="A16" s="14">
        <f t="shared" si="0"/>
        <v>16</v>
      </c>
      <c r="B16" s="1" t="s">
        <v>6</v>
      </c>
      <c r="D16" s="21">
        <f>Assumptions!D116</f>
        <v>3793.0967135395849</v>
      </c>
      <c r="E16" s="21">
        <f>Assumptions!E116</f>
        <v>4050.2902920552096</v>
      </c>
      <c r="F16" s="21">
        <f>Assumptions!F116</f>
        <v>4270.3717064106786</v>
      </c>
      <c r="G16" s="21">
        <f>Assumptions!G116</f>
        <v>5039.1725706929046</v>
      </c>
      <c r="H16" s="21">
        <f>Assumptions!H116</f>
        <v>5828.467798762973</v>
      </c>
      <c r="I16" s="21">
        <f>Assumptions!I116</f>
        <v>2894.8500019607536</v>
      </c>
      <c r="J16" s="21">
        <f>Assumptions!J116</f>
        <v>2973.2361365670004</v>
      </c>
      <c r="K16" s="21">
        <f>Assumptions!K116</f>
        <v>3397.6098769804257</v>
      </c>
      <c r="L16" s="21">
        <f>Assumptions!L116</f>
        <v>3037.9223372135225</v>
      </c>
      <c r="M16" s="21">
        <f>Assumptions!M116</f>
        <v>2867.8281902574449</v>
      </c>
      <c r="N16" s="21">
        <f>Assumptions!N116</f>
        <v>2376.5359104481608</v>
      </c>
      <c r="O16" s="21">
        <f>Assumptions!O116</f>
        <v>2263.5755691764966</v>
      </c>
      <c r="P16" s="21">
        <f>Assumptions!P116</f>
        <v>1910.6313314681747</v>
      </c>
      <c r="Q16" s="21">
        <f>Assumptions!Q116</f>
        <v>1726.9951266767168</v>
      </c>
      <c r="R16" s="21">
        <f>Assumptions!R116</f>
        <v>1366.4234925017327</v>
      </c>
      <c r="S16" s="21">
        <f>Assumptions!S116</f>
        <v>1184.8325235179809</v>
      </c>
      <c r="T16" s="21">
        <f>Assumptions!T116</f>
        <v>1114.3165129630777</v>
      </c>
      <c r="U16" s="21">
        <f>Assumptions!U116</f>
        <v>1047.6911563545955</v>
      </c>
      <c r="V16" s="21">
        <f>Assumptions!V116</f>
        <v>990.3374603237678</v>
      </c>
      <c r="W16" s="21">
        <f>Assumptions!W116</f>
        <v>899.62994965790995</v>
      </c>
      <c r="X16" s="6"/>
    </row>
    <row r="17" spans="1:24" x14ac:dyDescent="0.2">
      <c r="A17" s="14">
        <f t="shared" si="0"/>
        <v>17</v>
      </c>
      <c r="B17" s="8" t="s">
        <v>2</v>
      </c>
      <c r="C17" s="8"/>
      <c r="D17" s="21">
        <f t="shared" ref="D17:W17" si="5">D15-D16</f>
        <v>-5696.9103141291625</v>
      </c>
      <c r="E17" s="21">
        <f t="shared" si="5"/>
        <v>-6790.8682697483127</v>
      </c>
      <c r="F17" s="21">
        <f t="shared" si="5"/>
        <v>-5934.0960965949853</v>
      </c>
      <c r="G17" s="21">
        <f t="shared" si="5"/>
        <v>18315.39893296238</v>
      </c>
      <c r="H17" s="21">
        <f t="shared" si="5"/>
        <v>45884.6093704472</v>
      </c>
      <c r="I17" s="21">
        <f t="shared" si="5"/>
        <v>79734.99750299225</v>
      </c>
      <c r="J17" s="21">
        <f t="shared" si="5"/>
        <v>118221.33287398817</v>
      </c>
      <c r="K17" s="21">
        <f t="shared" si="5"/>
        <v>157869.05358196277</v>
      </c>
      <c r="L17" s="21">
        <f t="shared" si="5"/>
        <v>199354.52629121669</v>
      </c>
      <c r="M17" s="21">
        <f t="shared" si="5"/>
        <v>241659.73028779711</v>
      </c>
      <c r="N17" s="21">
        <f t="shared" si="5"/>
        <v>269228.67490387417</v>
      </c>
      <c r="O17" s="21">
        <f t="shared" si="5"/>
        <v>301473.75595107785</v>
      </c>
      <c r="P17" s="21">
        <f t="shared" si="5"/>
        <v>332489.86706226034</v>
      </c>
      <c r="Q17" s="21">
        <f t="shared" si="5"/>
        <v>365395.6744082722</v>
      </c>
      <c r="R17" s="21">
        <f t="shared" si="5"/>
        <v>395953.04209473333</v>
      </c>
      <c r="S17" s="21">
        <f t="shared" si="5"/>
        <v>423169.21215529786</v>
      </c>
      <c r="T17" s="21">
        <f t="shared" si="5"/>
        <v>451479.01750837092</v>
      </c>
      <c r="U17" s="21">
        <f t="shared" si="5"/>
        <v>491292.92158199899</v>
      </c>
      <c r="V17" s="21">
        <f t="shared" si="5"/>
        <v>533239.66017625574</v>
      </c>
      <c r="W17" s="21">
        <f t="shared" si="5"/>
        <v>577466.83166909311</v>
      </c>
      <c r="X17" s="6"/>
    </row>
    <row r="18" spans="1:24" x14ac:dyDescent="0.2">
      <c r="A18" s="14">
        <f t="shared" si="0"/>
        <v>18</v>
      </c>
      <c r="B18" s="1" t="s">
        <v>134</v>
      </c>
      <c r="D18" s="21">
        <f>'EBSCS Tax'!D31</f>
        <v>0</v>
      </c>
      <c r="E18" s="21">
        <f>'EBSCS Tax'!E31</f>
        <v>0</v>
      </c>
      <c r="F18" s="21">
        <f>'EBSCS Tax'!F31</f>
        <v>0</v>
      </c>
      <c r="G18" s="21">
        <f>'EBSCS Tax'!G31</f>
        <v>0</v>
      </c>
      <c r="H18" s="21">
        <f>'EBSCS Tax'!H31</f>
        <v>17853.472112945477</v>
      </c>
      <c r="I18" s="21">
        <f>'EBSCS Tax'!I31</f>
        <v>31096.649026166979</v>
      </c>
      <c r="J18" s="21">
        <f>'EBSCS Tax'!J31</f>
        <v>46106.319820855388</v>
      </c>
      <c r="K18" s="21">
        <f>'EBSCS Tax'!K31</f>
        <v>61568.930896965481</v>
      </c>
      <c r="L18" s="21">
        <f>'EBSCS Tax'!L31</f>
        <v>77748.265253574515</v>
      </c>
      <c r="M18" s="21">
        <f>'EBSCS Tax'!M31</f>
        <v>94247.294812240871</v>
      </c>
      <c r="N18" s="21">
        <f>'EBSCS Tax'!N31</f>
        <v>104999.18321251094</v>
      </c>
      <c r="O18" s="21">
        <f>'EBSCS Tax'!O31</f>
        <v>117574.76482092036</v>
      </c>
      <c r="P18" s="21">
        <f>'EBSCS Tax'!P31</f>
        <v>129671.04815428154</v>
      </c>
      <c r="Q18" s="21">
        <f>'EBSCS Tax'!Q31</f>
        <v>142504.31301922616</v>
      </c>
      <c r="R18" s="21">
        <f>'EBSCS Tax'!R31</f>
        <v>154421.686416946</v>
      </c>
      <c r="S18" s="21">
        <f>'EBSCS Tax'!S31</f>
        <v>165035.99274056617</v>
      </c>
      <c r="T18" s="21">
        <f>'EBSCS Tax'!T31</f>
        <v>176076.81682826465</v>
      </c>
      <c r="U18" s="21">
        <f>'EBSCS Tax'!U31</f>
        <v>191604.2394169796</v>
      </c>
      <c r="V18" s="21">
        <f>'EBSCS Tax'!V31</f>
        <v>207963.46746873975</v>
      </c>
      <c r="W18" s="21">
        <f>'EBSCS Tax'!W31</f>
        <v>225212.06435094631</v>
      </c>
      <c r="X18" s="6"/>
    </row>
    <row r="19" spans="1:24" x14ac:dyDescent="0.2">
      <c r="A19" s="14">
        <f t="shared" si="0"/>
        <v>19</v>
      </c>
      <c r="B19" s="8" t="s">
        <v>243</v>
      </c>
      <c r="D19" s="21">
        <f>D17-D18</f>
        <v>-5696.9103141291625</v>
      </c>
      <c r="E19" s="21">
        <f t="shared" ref="E19:W19" si="6">E17-E18</f>
        <v>-6790.8682697483127</v>
      </c>
      <c r="F19" s="21">
        <f t="shared" si="6"/>
        <v>-5934.0960965949853</v>
      </c>
      <c r="G19" s="21">
        <f t="shared" si="6"/>
        <v>18315.39893296238</v>
      </c>
      <c r="H19" s="21">
        <f t="shared" si="6"/>
        <v>28031.137257501723</v>
      </c>
      <c r="I19" s="21">
        <f t="shared" si="6"/>
        <v>48638.348476825267</v>
      </c>
      <c r="J19" s="21">
        <f t="shared" si="6"/>
        <v>72115.013053132774</v>
      </c>
      <c r="K19" s="21">
        <f t="shared" si="6"/>
        <v>96300.122684997288</v>
      </c>
      <c r="L19" s="21">
        <f t="shared" si="6"/>
        <v>121606.26103764218</v>
      </c>
      <c r="M19" s="21">
        <f t="shared" si="6"/>
        <v>147412.43547555624</v>
      </c>
      <c r="N19" s="21">
        <f t="shared" si="6"/>
        <v>164229.49169136322</v>
      </c>
      <c r="O19" s="21">
        <f t="shared" si="6"/>
        <v>183898.99113015749</v>
      </c>
      <c r="P19" s="21">
        <f t="shared" si="6"/>
        <v>202818.8189079788</v>
      </c>
      <c r="Q19" s="21">
        <f t="shared" si="6"/>
        <v>222891.36138904604</v>
      </c>
      <c r="R19" s="21">
        <f t="shared" si="6"/>
        <v>241531.35567778733</v>
      </c>
      <c r="S19" s="21">
        <f t="shared" si="6"/>
        <v>258133.21941473169</v>
      </c>
      <c r="T19" s="21">
        <f t="shared" si="6"/>
        <v>275402.2006801063</v>
      </c>
      <c r="U19" s="21">
        <f t="shared" si="6"/>
        <v>299688.68216501939</v>
      </c>
      <c r="V19" s="21">
        <f t="shared" si="6"/>
        <v>325276.19270751602</v>
      </c>
      <c r="W19" s="21">
        <f t="shared" si="6"/>
        <v>352254.76731814677</v>
      </c>
      <c r="X19" s="6"/>
    </row>
    <row r="20" spans="1:24" x14ac:dyDescent="0.2">
      <c r="A20" s="14">
        <f t="shared" si="0"/>
        <v>20</v>
      </c>
      <c r="B20" s="8"/>
      <c r="C20" s="8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6"/>
    </row>
    <row r="21" spans="1:24" x14ac:dyDescent="0.2">
      <c r="A21" s="14">
        <f t="shared" si="0"/>
        <v>21</v>
      </c>
      <c r="B21" s="1" t="s">
        <v>135</v>
      </c>
      <c r="D21" s="21">
        <f t="shared" ref="D21:W21" si="7">D16</f>
        <v>3793.0967135395849</v>
      </c>
      <c r="E21" s="21">
        <f t="shared" si="7"/>
        <v>4050.2902920552096</v>
      </c>
      <c r="F21" s="21">
        <f t="shared" si="7"/>
        <v>4270.3717064106786</v>
      </c>
      <c r="G21" s="21">
        <f t="shared" si="7"/>
        <v>5039.1725706929046</v>
      </c>
      <c r="H21" s="21">
        <f t="shared" si="7"/>
        <v>5828.467798762973</v>
      </c>
      <c r="I21" s="21">
        <f t="shared" si="7"/>
        <v>2894.8500019607536</v>
      </c>
      <c r="J21" s="21">
        <f t="shared" si="7"/>
        <v>2973.2361365670004</v>
      </c>
      <c r="K21" s="21">
        <f t="shared" si="7"/>
        <v>3397.6098769804257</v>
      </c>
      <c r="L21" s="21">
        <f t="shared" si="7"/>
        <v>3037.9223372135225</v>
      </c>
      <c r="M21" s="21">
        <f t="shared" si="7"/>
        <v>2867.8281902574449</v>
      </c>
      <c r="N21" s="21">
        <f t="shared" si="7"/>
        <v>2376.5359104481608</v>
      </c>
      <c r="O21" s="21">
        <f t="shared" si="7"/>
        <v>2263.5755691764966</v>
      </c>
      <c r="P21" s="21">
        <f t="shared" si="7"/>
        <v>1910.6313314681747</v>
      </c>
      <c r="Q21" s="21">
        <f t="shared" si="7"/>
        <v>1726.9951266767168</v>
      </c>
      <c r="R21" s="21">
        <f t="shared" si="7"/>
        <v>1366.4234925017327</v>
      </c>
      <c r="S21" s="21">
        <f t="shared" si="7"/>
        <v>1184.8325235179809</v>
      </c>
      <c r="T21" s="21">
        <f t="shared" si="7"/>
        <v>1114.3165129630777</v>
      </c>
      <c r="U21" s="21">
        <f t="shared" si="7"/>
        <v>1047.6911563545955</v>
      </c>
      <c r="V21" s="21">
        <f t="shared" si="7"/>
        <v>990.3374603237678</v>
      </c>
      <c r="W21" s="21">
        <f t="shared" si="7"/>
        <v>899.62994965790995</v>
      </c>
      <c r="X21" s="6"/>
    </row>
    <row r="22" spans="1:24" x14ac:dyDescent="0.2">
      <c r="A22" s="14">
        <f t="shared" si="0"/>
        <v>22</v>
      </c>
      <c r="B22" s="1" t="s">
        <v>137</v>
      </c>
      <c r="D22" s="21">
        <f>Assumptions!D62</f>
        <v>5941.3198962010683</v>
      </c>
      <c r="E22" s="21">
        <f>Assumptions!E62</f>
        <v>1249.4105195312497</v>
      </c>
      <c r="F22" s="21">
        <f>Assumptions!F62</f>
        <v>991.43035058593728</v>
      </c>
      <c r="G22" s="21">
        <f>Assumptions!G62</f>
        <v>3732.5891779785147</v>
      </c>
      <c r="H22" s="21">
        <f>Assumptions!H62</f>
        <v>3899.3794662475566</v>
      </c>
      <c r="I22" s="21">
        <f>Assumptions!I62</f>
        <v>4304.8674981780996</v>
      </c>
      <c r="J22" s="21">
        <f>Assumptions!J62</f>
        <v>1671.3933194322201</v>
      </c>
      <c r="K22" s="21">
        <f>Assumptions!K62</f>
        <v>3136.1140247210451</v>
      </c>
      <c r="L22" s="21">
        <f>Assumptions!L62</f>
        <v>1951.2242699961844</v>
      </c>
      <c r="M22" s="21">
        <f>Assumptions!M62</f>
        <v>3061.4486585967652</v>
      </c>
      <c r="N22" s="21">
        <f>Assumptions!N62</f>
        <v>1857.3888838612918</v>
      </c>
      <c r="O22" s="21">
        <f>Assumptions!O62</f>
        <v>1112.8022497631046</v>
      </c>
      <c r="P22" s="21">
        <f>Assumptions!P62</f>
        <v>1375.4608565839426</v>
      </c>
      <c r="Q22" s="21">
        <f>Assumptions!Q62</f>
        <v>1035.4716957186042</v>
      </c>
      <c r="R22" s="21">
        <f>Assumptions!R62</f>
        <v>1259.7797074350933</v>
      </c>
      <c r="S22" s="21">
        <f>Assumptions!S62</f>
        <v>949.70115756146765</v>
      </c>
      <c r="T22" s="21">
        <f>Assumptions!T62</f>
        <v>759.81708739795431</v>
      </c>
      <c r="U22" s="21">
        <f>Assumptions!U62</f>
        <v>1041.4523940352717</v>
      </c>
      <c r="V22" s="21">
        <f>Assumptions!V62</f>
        <v>747.49705208306102</v>
      </c>
      <c r="W22" s="21">
        <f>Assumptions!W62</f>
        <v>804.82868963068381</v>
      </c>
      <c r="X22" s="6"/>
    </row>
    <row r="23" spans="1:24" x14ac:dyDescent="0.2">
      <c r="A23" s="14">
        <f t="shared" si="0"/>
        <v>23</v>
      </c>
      <c r="B23" s="1" t="s">
        <v>138</v>
      </c>
      <c r="D23" s="23">
        <f>Assumptions!D108</f>
        <v>579.63192305714188</v>
      </c>
      <c r="E23" s="23">
        <f>Assumptions!E108</f>
        <v>1815.7459883362628</v>
      </c>
      <c r="F23" s="23">
        <f>Assumptions!F108</f>
        <v>5717.8609670777987</v>
      </c>
      <c r="G23" s="23">
        <f>Assumptions!G108</f>
        <v>-4583.0099267018104</v>
      </c>
      <c r="H23" s="23">
        <f>Assumptions!H108</f>
        <v>-3530.2289517693935</v>
      </c>
      <c r="I23" s="23">
        <f>Assumptions!I108</f>
        <v>0</v>
      </c>
      <c r="J23" s="23">
        <f>Assumptions!J108</f>
        <v>0</v>
      </c>
      <c r="K23" s="23">
        <f>Assumptions!K108</f>
        <v>0</v>
      </c>
      <c r="L23" s="23">
        <f>Assumptions!L108</f>
        <v>0</v>
      </c>
      <c r="M23" s="23">
        <f>Assumptions!M108</f>
        <v>0</v>
      </c>
      <c r="N23" s="23">
        <f>Assumptions!N108</f>
        <v>0</v>
      </c>
      <c r="O23" s="23">
        <f>Assumptions!O108</f>
        <v>0</v>
      </c>
      <c r="P23" s="23">
        <f>Assumptions!P108</f>
        <v>0</v>
      </c>
      <c r="Q23" s="23">
        <f>Assumptions!Q108</f>
        <v>0</v>
      </c>
      <c r="R23" s="23">
        <f>Assumptions!R108</f>
        <v>0</v>
      </c>
      <c r="S23" s="23">
        <f>Assumptions!S108</f>
        <v>0</v>
      </c>
      <c r="T23" s="23">
        <f>Assumptions!T108</f>
        <v>0</v>
      </c>
      <c r="U23" s="23">
        <f>Assumptions!U108</f>
        <v>0</v>
      </c>
      <c r="V23" s="23">
        <f>Assumptions!V108</f>
        <v>0</v>
      </c>
      <c r="W23" s="23">
        <f>Assumptions!W108</f>
        <v>0</v>
      </c>
      <c r="X23" s="6"/>
    </row>
    <row r="24" spans="1:24" x14ac:dyDescent="0.2">
      <c r="A24" s="14">
        <f t="shared" si="0"/>
        <v>24</v>
      </c>
      <c r="B24" s="35" t="s">
        <v>244</v>
      </c>
      <c r="C24" s="90"/>
      <c r="D24" s="29">
        <f>D19+D21-D22-D23</f>
        <v>-8424.7654198477885</v>
      </c>
      <c r="E24" s="29">
        <f t="shared" ref="E24:W24" si="8">E19+E21-E22-E23</f>
        <v>-5805.7344855606152</v>
      </c>
      <c r="F24" s="29">
        <f t="shared" si="8"/>
        <v>-8373.0157078480424</v>
      </c>
      <c r="G24" s="29">
        <f t="shared" si="8"/>
        <v>24204.992252378579</v>
      </c>
      <c r="H24" s="29">
        <f t="shared" si="8"/>
        <v>33490.454541786537</v>
      </c>
      <c r="I24" s="29">
        <f t="shared" si="8"/>
        <v>47228.33098060792</v>
      </c>
      <c r="J24" s="29">
        <f t="shared" si="8"/>
        <v>73416.855870267551</v>
      </c>
      <c r="K24" s="29">
        <f t="shared" si="8"/>
        <v>96561.618537256669</v>
      </c>
      <c r="L24" s="29">
        <f t="shared" si="8"/>
        <v>122692.95910485952</v>
      </c>
      <c r="M24" s="29">
        <f t="shared" si="8"/>
        <v>147218.81500721694</v>
      </c>
      <c r="N24" s="29">
        <f t="shared" si="8"/>
        <v>164748.63871795006</v>
      </c>
      <c r="O24" s="29">
        <f t="shared" si="8"/>
        <v>185049.76444957088</v>
      </c>
      <c r="P24" s="29">
        <f t="shared" si="8"/>
        <v>203353.98938286304</v>
      </c>
      <c r="Q24" s="29">
        <f t="shared" si="8"/>
        <v>223582.88482000414</v>
      </c>
      <c r="R24" s="29">
        <f t="shared" si="8"/>
        <v>241637.99946285397</v>
      </c>
      <c r="S24" s="29">
        <f t="shared" si="8"/>
        <v>258368.3507806882</v>
      </c>
      <c r="T24" s="29">
        <f t="shared" si="8"/>
        <v>275756.70010567142</v>
      </c>
      <c r="U24" s="29">
        <f t="shared" si="8"/>
        <v>299694.92092733871</v>
      </c>
      <c r="V24" s="29">
        <f t="shared" si="8"/>
        <v>325519.0331157567</v>
      </c>
      <c r="W24" s="29">
        <f t="shared" si="8"/>
        <v>352349.56857817399</v>
      </c>
      <c r="X24" s="6"/>
    </row>
    <row r="25" spans="1:24" x14ac:dyDescent="0.2">
      <c r="A25" s="14">
        <f t="shared" si="0"/>
        <v>25</v>
      </c>
      <c r="B25" s="39"/>
      <c r="C25" s="39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6"/>
    </row>
  </sheetData>
  <pageMargins left="0.75" right="0.75" top="1" bottom="1" header="0.5" footer="0.5"/>
  <pageSetup paperSize="5" scale="6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4"/>
  <sheetViews>
    <sheetView zoomScale="75" workbookViewId="0">
      <pane xSplit="2" ySplit="2" topLeftCell="C3" activePane="bottomRight" state="frozenSplit"/>
      <selection activeCell="C9" sqref="C9"/>
      <selection pane="topRight" activeCell="C9" sqref="C9"/>
      <selection pane="bottomLeft" activeCell="C9" sqref="C9"/>
      <selection pane="bottomRight" activeCell="D30" sqref="D30"/>
    </sheetView>
  </sheetViews>
  <sheetFormatPr defaultRowHeight="12.75" x14ac:dyDescent="0.2"/>
  <cols>
    <col min="1" max="1" width="4.7109375" style="10" bestFit="1" customWidth="1"/>
    <col min="2" max="2" width="34" style="1" customWidth="1"/>
    <col min="3" max="3" width="10.5703125" style="1" customWidth="1"/>
    <col min="4" max="4" width="7.140625" style="7" bestFit="1" customWidth="1"/>
    <col min="5" max="6" width="8.140625" style="7" bestFit="1" customWidth="1"/>
    <col min="7" max="7" width="8.42578125" style="7" customWidth="1"/>
    <col min="8" max="8" width="9.7109375" style="7" customWidth="1"/>
    <col min="9" max="9" width="8.7109375" style="7" customWidth="1"/>
    <col min="10" max="12" width="8.7109375" style="7" bestFit="1" customWidth="1"/>
    <col min="13" max="23" width="10.7109375" style="7" customWidth="1"/>
    <col min="24" max="24" width="13.140625" style="10" bestFit="1" customWidth="1"/>
    <col min="25" max="16384" width="9.140625" style="1"/>
  </cols>
  <sheetData>
    <row r="1" spans="1:24" x14ac:dyDescent="0.2">
      <c r="A1" s="2">
        <v>1</v>
      </c>
      <c r="B1" s="3" t="s">
        <v>199</v>
      </c>
      <c r="C1" s="3"/>
      <c r="X1" s="4" t="s">
        <v>9</v>
      </c>
    </row>
    <row r="2" spans="1:24" s="13" customFormat="1" x14ac:dyDescent="0.2">
      <c r="A2" s="14">
        <f t="shared" ref="A2:A32" si="0">A1+1</f>
        <v>2</v>
      </c>
      <c r="C2" s="92" t="s">
        <v>158</v>
      </c>
      <c r="D2" s="15">
        <v>2001</v>
      </c>
      <c r="E2" s="15">
        <f t="shared" ref="E2:W2" si="1">D2+1</f>
        <v>2002</v>
      </c>
      <c r="F2" s="15">
        <f t="shared" si="1"/>
        <v>2003</v>
      </c>
      <c r="G2" s="15">
        <f t="shared" si="1"/>
        <v>2004</v>
      </c>
      <c r="H2" s="15">
        <f t="shared" si="1"/>
        <v>2005</v>
      </c>
      <c r="I2" s="15">
        <f t="shared" si="1"/>
        <v>2006</v>
      </c>
      <c r="J2" s="15">
        <f t="shared" si="1"/>
        <v>2007</v>
      </c>
      <c r="K2" s="15">
        <f t="shared" si="1"/>
        <v>2008</v>
      </c>
      <c r="L2" s="15">
        <f t="shared" si="1"/>
        <v>2009</v>
      </c>
      <c r="M2" s="15">
        <f t="shared" si="1"/>
        <v>2010</v>
      </c>
      <c r="N2" s="15">
        <f t="shared" si="1"/>
        <v>2011</v>
      </c>
      <c r="O2" s="15">
        <f t="shared" si="1"/>
        <v>2012</v>
      </c>
      <c r="P2" s="15">
        <f t="shared" si="1"/>
        <v>2013</v>
      </c>
      <c r="Q2" s="15">
        <f t="shared" si="1"/>
        <v>2014</v>
      </c>
      <c r="R2" s="15">
        <f t="shared" si="1"/>
        <v>2015</v>
      </c>
      <c r="S2" s="15">
        <f t="shared" si="1"/>
        <v>2016</v>
      </c>
      <c r="T2" s="15">
        <f t="shared" si="1"/>
        <v>2017</v>
      </c>
      <c r="U2" s="15">
        <f t="shared" si="1"/>
        <v>2018</v>
      </c>
      <c r="V2" s="15">
        <f t="shared" si="1"/>
        <v>2019</v>
      </c>
      <c r="W2" s="15">
        <f t="shared" si="1"/>
        <v>2020</v>
      </c>
      <c r="X2" s="16"/>
    </row>
    <row r="3" spans="1:24" x14ac:dyDescent="0.2">
      <c r="A3" s="2">
        <f t="shared" si="0"/>
        <v>3</v>
      </c>
      <c r="B3" s="5" t="s">
        <v>67</v>
      </c>
      <c r="C3" s="5"/>
      <c r="X3" s="6"/>
    </row>
    <row r="4" spans="1:24" x14ac:dyDescent="0.2">
      <c r="A4" s="2">
        <f t="shared" si="0"/>
        <v>4</v>
      </c>
      <c r="B4" s="1" t="s">
        <v>140</v>
      </c>
      <c r="D4" s="21">
        <f ca="1">'EBSCS IS'!D21</f>
        <v>-3682.8111821667653</v>
      </c>
      <c r="E4" s="21">
        <f ca="1">'EBSCS IS'!E21</f>
        <v>-4956.3360945590084</v>
      </c>
      <c r="F4" s="21">
        <f ca="1">'EBSCS IS'!F21</f>
        <v>-5478.1855045380807</v>
      </c>
      <c r="G4" s="21">
        <f ca="1">'EBSCS IS'!G21</f>
        <v>9916.0931769130293</v>
      </c>
      <c r="H4" s="21">
        <f ca="1">'EBSCS IS'!H21</f>
        <v>27985.487869929348</v>
      </c>
      <c r="I4" s="21">
        <f ca="1">'EBSCS IS'!I21</f>
        <v>48638.348476825267</v>
      </c>
      <c r="J4" s="21">
        <f ca="1">'EBSCS IS'!J21</f>
        <v>72115.013053132774</v>
      </c>
      <c r="K4" s="21">
        <f ca="1">'EBSCS IS'!K21</f>
        <v>96300.122684997288</v>
      </c>
      <c r="L4" s="21">
        <f ca="1">'EBSCS IS'!L21</f>
        <v>121606.26103764218</v>
      </c>
      <c r="M4" s="21">
        <f ca="1">'EBSCS IS'!M21</f>
        <v>147412.43547555624</v>
      </c>
      <c r="N4" s="21">
        <f ca="1">'EBSCS IS'!N21</f>
        <v>164229.49169136322</v>
      </c>
      <c r="O4" s="21">
        <f ca="1">'EBSCS IS'!O21</f>
        <v>183898.99113015749</v>
      </c>
      <c r="P4" s="21">
        <f ca="1">'EBSCS IS'!P21</f>
        <v>202818.8189079788</v>
      </c>
      <c r="Q4" s="21">
        <f ca="1">'EBSCS IS'!Q21</f>
        <v>222891.36138904604</v>
      </c>
      <c r="R4" s="21">
        <f ca="1">'EBSCS IS'!R21</f>
        <v>241531.35567778733</v>
      </c>
      <c r="S4" s="21">
        <f ca="1">'EBSCS IS'!S21</f>
        <v>258133.21941473169</v>
      </c>
      <c r="T4" s="21">
        <f ca="1">'EBSCS IS'!T21</f>
        <v>275402.2006801063</v>
      </c>
      <c r="U4" s="21">
        <f ca="1">'EBSCS IS'!U21</f>
        <v>299688.68216501939</v>
      </c>
      <c r="V4" s="21">
        <f ca="1">'EBSCS IS'!V21</f>
        <v>325276.19270751602</v>
      </c>
      <c r="W4" s="21">
        <f ca="1">'EBSCS IS'!W21</f>
        <v>352254.76731814677</v>
      </c>
      <c r="X4" s="22"/>
    </row>
    <row r="5" spans="1:24" x14ac:dyDescent="0.2">
      <c r="A5" s="2">
        <f t="shared" si="0"/>
        <v>5</v>
      </c>
      <c r="B5" s="1" t="s">
        <v>1</v>
      </c>
      <c r="D5" s="21">
        <f>Assumptions!D116</f>
        <v>3793.0967135395849</v>
      </c>
      <c r="E5" s="21">
        <f>Assumptions!E116</f>
        <v>4050.2902920552096</v>
      </c>
      <c r="F5" s="21">
        <f>Assumptions!F116</f>
        <v>4270.3717064106786</v>
      </c>
      <c r="G5" s="21">
        <f>Assumptions!G116</f>
        <v>5039.1725706929046</v>
      </c>
      <c r="H5" s="21">
        <f>Assumptions!H116</f>
        <v>5828.467798762973</v>
      </c>
      <c r="I5" s="21">
        <f>Assumptions!I116</f>
        <v>2894.8500019607536</v>
      </c>
      <c r="J5" s="21">
        <f>Assumptions!J116</f>
        <v>2973.2361365670004</v>
      </c>
      <c r="K5" s="21">
        <f>Assumptions!K116</f>
        <v>3397.6098769804257</v>
      </c>
      <c r="L5" s="21">
        <f>Assumptions!L116</f>
        <v>3037.9223372135225</v>
      </c>
      <c r="M5" s="21">
        <f>Assumptions!M116</f>
        <v>2867.8281902574449</v>
      </c>
      <c r="N5" s="21">
        <f>Assumptions!N116</f>
        <v>2376.5359104481608</v>
      </c>
      <c r="O5" s="21">
        <f>Assumptions!O116</f>
        <v>2263.5755691764966</v>
      </c>
      <c r="P5" s="21">
        <f>Assumptions!P116</f>
        <v>1910.6313314681747</v>
      </c>
      <c r="Q5" s="21">
        <f>Assumptions!Q116</f>
        <v>1726.9951266767168</v>
      </c>
      <c r="R5" s="21">
        <f>Assumptions!R116</f>
        <v>1366.4234925017327</v>
      </c>
      <c r="S5" s="21">
        <f>Assumptions!S116</f>
        <v>1184.8325235179809</v>
      </c>
      <c r="T5" s="21">
        <f>Assumptions!T116</f>
        <v>1114.3165129630777</v>
      </c>
      <c r="U5" s="21">
        <f>Assumptions!U116</f>
        <v>1047.6911563545955</v>
      </c>
      <c r="V5" s="21">
        <f>Assumptions!V116</f>
        <v>990.3374603237678</v>
      </c>
      <c r="W5" s="21">
        <f>Assumptions!W116</f>
        <v>899.62994965790995</v>
      </c>
      <c r="X5" s="6"/>
    </row>
    <row r="6" spans="1:24" x14ac:dyDescent="0.2">
      <c r="A6" s="2">
        <f t="shared" si="0"/>
        <v>6</v>
      </c>
      <c r="B6" s="1" t="s">
        <v>55</v>
      </c>
      <c r="D6" s="21">
        <f ca="1">'EBSCS Tax'!D19</f>
        <v>-2354.5841984344897</v>
      </c>
      <c r="E6" s="21">
        <f ca="1">'EBSCS Tax'!E19</f>
        <v>-3168.8050440623174</v>
      </c>
      <c r="F6" s="21">
        <f ca="1">'EBSCS Tax'!F19</f>
        <v>-3502.4464701145107</v>
      </c>
      <c r="G6" s="21">
        <f ca="1">'EBSCS Tax'!G19</f>
        <v>6339.7972770427577</v>
      </c>
      <c r="H6" s="21">
        <f ca="1">'EBSCS Tax'!H19</f>
        <v>2686.0384355685601</v>
      </c>
      <c r="I6" s="21">
        <f ca="1">'EBSCS Tax'!I19</f>
        <v>0</v>
      </c>
      <c r="J6" s="21">
        <f ca="1">'EBSCS Tax'!J19</f>
        <v>0</v>
      </c>
      <c r="K6" s="21">
        <f ca="1">'EBSCS Tax'!K19</f>
        <v>0</v>
      </c>
      <c r="L6" s="21">
        <f ca="1">'EBSCS Tax'!L19</f>
        <v>0</v>
      </c>
      <c r="M6" s="21">
        <f ca="1">'EBSCS Tax'!M19</f>
        <v>0</v>
      </c>
      <c r="N6" s="21">
        <f ca="1">'EBSCS Tax'!N19</f>
        <v>0</v>
      </c>
      <c r="O6" s="21">
        <f ca="1">'EBSCS Tax'!O19</f>
        <v>0</v>
      </c>
      <c r="P6" s="21">
        <f ca="1">'EBSCS Tax'!P19</f>
        <v>0</v>
      </c>
      <c r="Q6" s="21">
        <f ca="1">'EBSCS Tax'!Q19</f>
        <v>0</v>
      </c>
      <c r="R6" s="21">
        <f ca="1">'EBSCS Tax'!R19</f>
        <v>0</v>
      </c>
      <c r="S6" s="21">
        <f ca="1">'EBSCS Tax'!S19</f>
        <v>0</v>
      </c>
      <c r="T6" s="21">
        <f ca="1">'EBSCS Tax'!T19</f>
        <v>0</v>
      </c>
      <c r="U6" s="21">
        <f ca="1">'EBSCS Tax'!U19</f>
        <v>0</v>
      </c>
      <c r="V6" s="21">
        <f ca="1">'EBSCS Tax'!V19</f>
        <v>0</v>
      </c>
      <c r="W6" s="21">
        <f ca="1">'EBSCS Tax'!W19</f>
        <v>0</v>
      </c>
      <c r="X6" s="6"/>
    </row>
    <row r="7" spans="1:24" x14ac:dyDescent="0.2">
      <c r="A7" s="2">
        <f t="shared" si="0"/>
        <v>7</v>
      </c>
      <c r="B7" s="1" t="s">
        <v>139</v>
      </c>
      <c r="D7" s="21">
        <f>-Assumptions!D108</f>
        <v>-579.63192305714188</v>
      </c>
      <c r="E7" s="21">
        <f>-Assumptions!E108</f>
        <v>-1815.7459883362628</v>
      </c>
      <c r="F7" s="21">
        <f>-Assumptions!F108</f>
        <v>-5717.8609670777987</v>
      </c>
      <c r="G7" s="21">
        <f>-Assumptions!G108</f>
        <v>4583.0099267018104</v>
      </c>
      <c r="H7" s="21">
        <f>-Assumptions!H108</f>
        <v>3530.2289517693935</v>
      </c>
      <c r="I7" s="21">
        <f>-Assumptions!I108</f>
        <v>0</v>
      </c>
      <c r="J7" s="21">
        <f>-Assumptions!J108</f>
        <v>0</v>
      </c>
      <c r="K7" s="21">
        <f>-Assumptions!K108</f>
        <v>0</v>
      </c>
      <c r="L7" s="21">
        <f>-Assumptions!L108</f>
        <v>0</v>
      </c>
      <c r="M7" s="21">
        <f>-Assumptions!M108</f>
        <v>0</v>
      </c>
      <c r="N7" s="21">
        <f>-Assumptions!N108</f>
        <v>0</v>
      </c>
      <c r="O7" s="21">
        <f>-Assumptions!O108</f>
        <v>0</v>
      </c>
      <c r="P7" s="21">
        <f>-Assumptions!P108</f>
        <v>0</v>
      </c>
      <c r="Q7" s="21">
        <f>-Assumptions!Q108</f>
        <v>0</v>
      </c>
      <c r="R7" s="21">
        <f>-Assumptions!R108</f>
        <v>0</v>
      </c>
      <c r="S7" s="21">
        <f>-Assumptions!S108</f>
        <v>0</v>
      </c>
      <c r="T7" s="21">
        <f>-Assumptions!T108</f>
        <v>0</v>
      </c>
      <c r="U7" s="21">
        <f>-Assumptions!U108</f>
        <v>0</v>
      </c>
      <c r="V7" s="21">
        <f>-Assumptions!V108</f>
        <v>0</v>
      </c>
      <c r="W7" s="21">
        <f>-Assumptions!W108</f>
        <v>0</v>
      </c>
      <c r="X7" s="6"/>
    </row>
    <row r="8" spans="1:24" x14ac:dyDescent="0.2">
      <c r="A8" s="2">
        <f t="shared" si="0"/>
        <v>8</v>
      </c>
      <c r="B8" s="35" t="s">
        <v>67</v>
      </c>
      <c r="C8" s="91"/>
      <c r="D8" s="29">
        <f ca="1">SUM(D4:D7)</f>
        <v>-2823.9305901188118</v>
      </c>
      <c r="E8" s="29">
        <f t="shared" ref="E8:W8" ca="1" si="2">SUM(E4:E7)</f>
        <v>-5890.5968349023788</v>
      </c>
      <c r="F8" s="29">
        <f t="shared" ca="1" si="2"/>
        <v>-10428.121235319712</v>
      </c>
      <c r="G8" s="29">
        <f t="shared" ca="1" si="2"/>
        <v>25878.072951350499</v>
      </c>
      <c r="H8" s="29">
        <f t="shared" ca="1" si="2"/>
        <v>40030.223056030271</v>
      </c>
      <c r="I8" s="29">
        <f t="shared" ca="1" si="2"/>
        <v>51533.19847878602</v>
      </c>
      <c r="J8" s="29">
        <f t="shared" ca="1" si="2"/>
        <v>75088.249189699767</v>
      </c>
      <c r="K8" s="29">
        <f t="shared" ca="1" si="2"/>
        <v>99697.732561977711</v>
      </c>
      <c r="L8" s="29">
        <f t="shared" ca="1" si="2"/>
        <v>124644.1833748557</v>
      </c>
      <c r="M8" s="29">
        <f t="shared" ca="1" si="2"/>
        <v>150280.26366581369</v>
      </c>
      <c r="N8" s="29">
        <f t="shared" ca="1" si="2"/>
        <v>166606.02760181137</v>
      </c>
      <c r="O8" s="29">
        <f t="shared" ca="1" si="2"/>
        <v>186162.56669933398</v>
      </c>
      <c r="P8" s="29">
        <f t="shared" ca="1" si="2"/>
        <v>204729.45023944697</v>
      </c>
      <c r="Q8" s="29">
        <f t="shared" ca="1" si="2"/>
        <v>224618.35651572276</v>
      </c>
      <c r="R8" s="29">
        <f t="shared" ca="1" si="2"/>
        <v>242897.77917028905</v>
      </c>
      <c r="S8" s="29">
        <f t="shared" ca="1" si="2"/>
        <v>259318.05193824967</v>
      </c>
      <c r="T8" s="29">
        <f t="shared" ca="1" si="2"/>
        <v>276516.51719306939</v>
      </c>
      <c r="U8" s="29">
        <f t="shared" ca="1" si="2"/>
        <v>300736.37332137401</v>
      </c>
      <c r="V8" s="29">
        <f t="shared" ca="1" si="2"/>
        <v>326266.53016783978</v>
      </c>
      <c r="W8" s="29">
        <f t="shared" ca="1" si="2"/>
        <v>353154.39726780466</v>
      </c>
      <c r="X8" s="6"/>
    </row>
    <row r="9" spans="1:24" x14ac:dyDescent="0.2">
      <c r="A9" s="2">
        <f t="shared" si="0"/>
        <v>9</v>
      </c>
      <c r="B9" s="8"/>
      <c r="C9" s="8"/>
      <c r="X9" s="6"/>
    </row>
    <row r="10" spans="1:24" x14ac:dyDescent="0.2">
      <c r="A10" s="2">
        <f t="shared" si="0"/>
        <v>10</v>
      </c>
      <c r="B10" s="5" t="s">
        <v>68</v>
      </c>
      <c r="C10" s="5"/>
      <c r="X10" s="6"/>
    </row>
    <row r="11" spans="1:24" x14ac:dyDescent="0.2">
      <c r="A11" s="2">
        <f t="shared" si="0"/>
        <v>11</v>
      </c>
      <c r="B11" s="1" t="s">
        <v>63</v>
      </c>
      <c r="D11" s="21">
        <f>-Assumptions!D62</f>
        <v>-5941.3198962010683</v>
      </c>
      <c r="E11" s="21">
        <f>-Assumptions!E62</f>
        <v>-1249.4105195312497</v>
      </c>
      <c r="F11" s="21">
        <f>-Assumptions!F62</f>
        <v>-991.43035058593728</v>
      </c>
      <c r="G11" s="21">
        <f>-Assumptions!G62</f>
        <v>-3732.5891779785147</v>
      </c>
      <c r="H11" s="21">
        <f>-Assumptions!H62</f>
        <v>-3899.3794662475566</v>
      </c>
      <c r="I11" s="21">
        <f>-Assumptions!I62</f>
        <v>-4304.8674981780996</v>
      </c>
      <c r="J11" s="21">
        <f>-Assumptions!J62</f>
        <v>-1671.3933194322201</v>
      </c>
      <c r="K11" s="21">
        <f>-Assumptions!K62</f>
        <v>-3136.1140247210451</v>
      </c>
      <c r="L11" s="21">
        <f>-Assumptions!L62</f>
        <v>-1951.2242699961844</v>
      </c>
      <c r="M11" s="21">
        <f>-Assumptions!M62</f>
        <v>-3061.4486585967652</v>
      </c>
      <c r="N11" s="21">
        <f>-Assumptions!N62</f>
        <v>-1857.3888838612918</v>
      </c>
      <c r="O11" s="21">
        <f>-Assumptions!O62</f>
        <v>-1112.8022497631046</v>
      </c>
      <c r="P11" s="21">
        <f>-Assumptions!P62</f>
        <v>-1375.4608565839426</v>
      </c>
      <c r="Q11" s="21">
        <f>-Assumptions!Q62</f>
        <v>-1035.4716957186042</v>
      </c>
      <c r="R11" s="21">
        <f>-Assumptions!R62</f>
        <v>-1259.7797074350933</v>
      </c>
      <c r="S11" s="21">
        <f>-Assumptions!S62</f>
        <v>-949.70115756146765</v>
      </c>
      <c r="T11" s="21">
        <f>-Assumptions!T62</f>
        <v>-759.81708739795431</v>
      </c>
      <c r="U11" s="21">
        <f>-Assumptions!U62</f>
        <v>-1041.4523940352717</v>
      </c>
      <c r="V11" s="21">
        <f>-Assumptions!V62</f>
        <v>-747.49705208306102</v>
      </c>
      <c r="W11" s="21">
        <f>-Assumptions!W62</f>
        <v>-804.82868963068381</v>
      </c>
      <c r="X11" s="6"/>
    </row>
    <row r="12" spans="1:24" x14ac:dyDescent="0.2">
      <c r="A12" s="2">
        <f t="shared" si="0"/>
        <v>12</v>
      </c>
      <c r="B12" s="1" t="s">
        <v>71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6"/>
    </row>
    <row r="13" spans="1:24" x14ac:dyDescent="0.2">
      <c r="A13" s="2">
        <f t="shared" si="0"/>
        <v>13</v>
      </c>
      <c r="B13" s="1" t="s">
        <v>72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6"/>
    </row>
    <row r="14" spans="1:24" x14ac:dyDescent="0.2">
      <c r="A14" s="2">
        <f t="shared" si="0"/>
        <v>14</v>
      </c>
      <c r="B14" s="35" t="s">
        <v>68</v>
      </c>
      <c r="C14" s="91"/>
      <c r="D14" s="29">
        <f t="shared" ref="D14:W14" si="3">SUM(D11:D13)</f>
        <v>-5941.3198962010683</v>
      </c>
      <c r="E14" s="29">
        <f t="shared" si="3"/>
        <v>-1249.4105195312497</v>
      </c>
      <c r="F14" s="29">
        <f t="shared" si="3"/>
        <v>-991.43035058593728</v>
      </c>
      <c r="G14" s="29">
        <f t="shared" si="3"/>
        <v>-3732.5891779785147</v>
      </c>
      <c r="H14" s="29">
        <f t="shared" si="3"/>
        <v>-3899.3794662475566</v>
      </c>
      <c r="I14" s="29">
        <f t="shared" si="3"/>
        <v>-4304.8674981780996</v>
      </c>
      <c r="J14" s="29">
        <f t="shared" si="3"/>
        <v>-1671.3933194322201</v>
      </c>
      <c r="K14" s="29">
        <f t="shared" si="3"/>
        <v>-3136.1140247210451</v>
      </c>
      <c r="L14" s="29">
        <f t="shared" si="3"/>
        <v>-1951.2242699961844</v>
      </c>
      <c r="M14" s="29">
        <f t="shared" si="3"/>
        <v>-3061.4486585967652</v>
      </c>
      <c r="N14" s="29">
        <f t="shared" si="3"/>
        <v>-1857.3888838612918</v>
      </c>
      <c r="O14" s="29">
        <f t="shared" si="3"/>
        <v>-1112.8022497631046</v>
      </c>
      <c r="P14" s="29">
        <f t="shared" si="3"/>
        <v>-1375.4608565839426</v>
      </c>
      <c r="Q14" s="29">
        <f t="shared" si="3"/>
        <v>-1035.4716957186042</v>
      </c>
      <c r="R14" s="29">
        <f t="shared" si="3"/>
        <v>-1259.7797074350933</v>
      </c>
      <c r="S14" s="29">
        <f t="shared" si="3"/>
        <v>-949.70115756146765</v>
      </c>
      <c r="T14" s="29">
        <f t="shared" si="3"/>
        <v>-759.81708739795431</v>
      </c>
      <c r="U14" s="29">
        <f t="shared" si="3"/>
        <v>-1041.4523940352717</v>
      </c>
      <c r="V14" s="29">
        <f t="shared" si="3"/>
        <v>-747.49705208306102</v>
      </c>
      <c r="W14" s="36">
        <f t="shared" si="3"/>
        <v>-804.82868963068381</v>
      </c>
      <c r="X14" s="6"/>
    </row>
    <row r="15" spans="1:24" x14ac:dyDescent="0.2">
      <c r="A15" s="2">
        <f t="shared" si="0"/>
        <v>15</v>
      </c>
      <c r="X15" s="6"/>
    </row>
    <row r="16" spans="1:24" x14ac:dyDescent="0.2">
      <c r="A16" s="2">
        <f t="shared" si="0"/>
        <v>16</v>
      </c>
      <c r="B16" s="5" t="s">
        <v>69</v>
      </c>
      <c r="C16" s="5"/>
      <c r="X16" s="6"/>
    </row>
    <row r="17" spans="1:25" x14ac:dyDescent="0.2">
      <c r="A17" s="2">
        <f t="shared" si="0"/>
        <v>17</v>
      </c>
      <c r="B17" s="1" t="s">
        <v>49</v>
      </c>
      <c r="D17" s="21">
        <f ca="1">'EBSCS Cap'!D14+'EBSCS Cap'!D15</f>
        <v>1327.8960509281196</v>
      </c>
      <c r="E17" s="21">
        <f ca="1">'EBSCS Cap'!E15</f>
        <v>3034.8999757267156</v>
      </c>
      <c r="F17" s="21">
        <f ca="1">'EBSCS Cap'!F15</f>
        <v>4149.7442667400583</v>
      </c>
      <c r="G17" s="21">
        <f ca="1">'EBSCS Cap'!G15</f>
        <v>0</v>
      </c>
      <c r="H17" s="21">
        <f ca="1">'EBSCS Cap'!H15</f>
        <v>0</v>
      </c>
      <c r="I17" s="21">
        <f ca="1">'EBSCS Cap'!I15</f>
        <v>0</v>
      </c>
      <c r="J17" s="21">
        <f ca="1">'EBSCS Cap'!J15</f>
        <v>0</v>
      </c>
      <c r="K17" s="21">
        <f ca="1">'EBSCS Cap'!K15</f>
        <v>0</v>
      </c>
      <c r="L17" s="21">
        <f ca="1">'EBSCS Cap'!L15</f>
        <v>0</v>
      </c>
      <c r="M17" s="21">
        <f ca="1">'EBSCS Cap'!M15</f>
        <v>0</v>
      </c>
      <c r="N17" s="21">
        <f ca="1">'EBSCS Cap'!N15</f>
        <v>0</v>
      </c>
      <c r="O17" s="21">
        <f ca="1">'EBSCS Cap'!O15</f>
        <v>0</v>
      </c>
      <c r="P17" s="21">
        <f ca="1">'EBSCS Cap'!P15</f>
        <v>0</v>
      </c>
      <c r="Q17" s="21">
        <f ca="1">'EBSCS Cap'!Q15</f>
        <v>0</v>
      </c>
      <c r="R17" s="21">
        <f ca="1">'EBSCS Cap'!R15</f>
        <v>0</v>
      </c>
      <c r="S17" s="21">
        <f ca="1">'EBSCS Cap'!S15</f>
        <v>0</v>
      </c>
      <c r="T17" s="21">
        <f ca="1">'EBSCS Cap'!T15</f>
        <v>0</v>
      </c>
      <c r="U17" s="21">
        <f ca="1">'EBSCS Cap'!U15</f>
        <v>0</v>
      </c>
      <c r="V17" s="21">
        <f ca="1">'EBSCS Cap'!V15</f>
        <v>0</v>
      </c>
      <c r="W17" s="21">
        <f ca="1">'EBSCS Cap'!W15</f>
        <v>0</v>
      </c>
      <c r="X17" s="6"/>
      <c r="Y17"/>
    </row>
    <row r="18" spans="1:25" x14ac:dyDescent="0.2">
      <c r="A18" s="2">
        <f t="shared" si="0"/>
        <v>18</v>
      </c>
      <c r="B18" s="1" t="s">
        <v>73</v>
      </c>
      <c r="D18" s="33">
        <f>'EBSCS Cap'!D4+'EBSCS Cap'!D5+'EBSCS Cap'!D6</f>
        <v>2342.5338239784287</v>
      </c>
      <c r="E18" s="33">
        <f>'EBSCS Cap'!E5+'EBSCS Cap'!E6</f>
        <v>4105.1073787069126</v>
      </c>
      <c r="F18" s="33">
        <f>'EBSCS Cap'!F5+'EBSCS Cap'!F6</f>
        <v>7269.8073191655903</v>
      </c>
      <c r="G18" s="33">
        <f>'EBSCS Cap'!G5+'EBSCS Cap'!G6</f>
        <v>0</v>
      </c>
      <c r="H18" s="33">
        <f>'EBSCS Cap'!H5+'EBSCS Cap'!H6</f>
        <v>0</v>
      </c>
      <c r="I18" s="33">
        <f>'EBSCS Cap'!I5+'EBSCS Cap'!I6</f>
        <v>0</v>
      </c>
      <c r="J18" s="33">
        <f>'EBSCS Cap'!J5+'EBSCS Cap'!J6</f>
        <v>0</v>
      </c>
      <c r="K18" s="33">
        <f>'EBSCS Cap'!K5+'EBSCS Cap'!K6</f>
        <v>0</v>
      </c>
      <c r="L18" s="33">
        <f>'EBSCS Cap'!L5+'EBSCS Cap'!L6</f>
        <v>0</v>
      </c>
      <c r="M18" s="33">
        <f>'EBSCS Cap'!M5+'EBSCS Cap'!M6</f>
        <v>0</v>
      </c>
      <c r="N18" s="33">
        <f>'EBSCS Cap'!N5+'EBSCS Cap'!N6</f>
        <v>0</v>
      </c>
      <c r="O18" s="33">
        <f>'EBSCS Cap'!O5+'EBSCS Cap'!O6</f>
        <v>0</v>
      </c>
      <c r="P18" s="33">
        <f>'EBSCS Cap'!P5+'EBSCS Cap'!P6</f>
        <v>0</v>
      </c>
      <c r="Q18" s="33">
        <f>'EBSCS Cap'!Q5+'EBSCS Cap'!Q6</f>
        <v>0</v>
      </c>
      <c r="R18" s="33">
        <f>'EBSCS Cap'!R5+'EBSCS Cap'!R6</f>
        <v>0</v>
      </c>
      <c r="S18" s="33">
        <f>'EBSCS Cap'!S5+'EBSCS Cap'!S6</f>
        <v>0</v>
      </c>
      <c r="T18" s="33">
        <f>'EBSCS Cap'!T5+'EBSCS Cap'!T6</f>
        <v>0</v>
      </c>
      <c r="U18" s="33">
        <f>'EBSCS Cap'!U5+'EBSCS Cap'!U6</f>
        <v>0</v>
      </c>
      <c r="V18" s="33">
        <f>'EBSCS Cap'!V5+'EBSCS Cap'!V6</f>
        <v>0</v>
      </c>
      <c r="W18" s="33">
        <f>'EBSCS Cap'!W5+'EBSCS Cap'!W6</f>
        <v>0</v>
      </c>
      <c r="X18" s="6"/>
    </row>
    <row r="19" spans="1:25" x14ac:dyDescent="0.2">
      <c r="A19" s="2">
        <f t="shared" si="0"/>
        <v>19</v>
      </c>
      <c r="B19" s="1" t="s">
        <v>74</v>
      </c>
      <c r="D19" s="21">
        <f ca="1">'EBSCS Cap'!D16</f>
        <v>0</v>
      </c>
      <c r="E19" s="21">
        <f ca="1">'EBSCS Cap'!E16</f>
        <v>0</v>
      </c>
      <c r="F19" s="21">
        <f ca="1">'EBSCS Cap'!F16</f>
        <v>0</v>
      </c>
      <c r="G19" s="21">
        <f ca="1">'EBSCS Cap'!G16</f>
        <v>-8428.0352515210507</v>
      </c>
      <c r="H19" s="21">
        <f ca="1">'EBSCS Cap'!H16</f>
        <v>-84.505041873842856</v>
      </c>
      <c r="I19" s="21">
        <f ca="1">'EBSCS Cap'!I16</f>
        <v>0</v>
      </c>
      <c r="J19" s="21">
        <f ca="1">'EBSCS Cap'!J16</f>
        <v>0</v>
      </c>
      <c r="K19" s="21">
        <f ca="1">'EBSCS Cap'!K16</f>
        <v>0</v>
      </c>
      <c r="L19" s="21">
        <f ca="1">'EBSCS Cap'!L16</f>
        <v>0</v>
      </c>
      <c r="M19" s="21">
        <f ca="1">'EBSCS Cap'!M16</f>
        <v>0</v>
      </c>
      <c r="N19" s="21">
        <f ca="1">'EBSCS Cap'!N16</f>
        <v>0</v>
      </c>
      <c r="O19" s="21">
        <f ca="1">'EBSCS Cap'!O16</f>
        <v>0</v>
      </c>
      <c r="P19" s="21">
        <f ca="1">'EBSCS Cap'!P16</f>
        <v>0</v>
      </c>
      <c r="Q19" s="21">
        <f ca="1">'EBSCS Cap'!Q16</f>
        <v>0</v>
      </c>
      <c r="R19" s="21">
        <f ca="1">'EBSCS Cap'!R16</f>
        <v>0</v>
      </c>
      <c r="S19" s="21">
        <f ca="1">'EBSCS Cap'!S16</f>
        <v>0</v>
      </c>
      <c r="T19" s="21">
        <f ca="1">'EBSCS Cap'!T16</f>
        <v>0</v>
      </c>
      <c r="U19" s="21">
        <f ca="1">'EBSCS Cap'!U16</f>
        <v>0</v>
      </c>
      <c r="V19" s="21">
        <f ca="1">'EBSCS Cap'!V16</f>
        <v>0</v>
      </c>
      <c r="W19" s="21">
        <f ca="1">'EBSCS Cap'!W16</f>
        <v>0</v>
      </c>
      <c r="X19" s="6"/>
    </row>
    <row r="20" spans="1:25" x14ac:dyDescent="0.2">
      <c r="A20" s="2">
        <f t="shared" si="0"/>
        <v>20</v>
      </c>
      <c r="B20" s="1" t="s">
        <v>75</v>
      </c>
      <c r="D20" s="21">
        <f ca="1">-'EBSCS Waterfall'!D17</f>
        <v>0</v>
      </c>
      <c r="E20" s="21">
        <f ca="1">-'EBSCS Waterfall'!E17</f>
        <v>0</v>
      </c>
      <c r="F20" s="21">
        <f ca="1">-'EBSCS Waterfall'!F17</f>
        <v>0</v>
      </c>
      <c r="G20" s="21">
        <f ca="1">-'EBSCS Waterfall'!G17</f>
        <v>-13717.448521850933</v>
      </c>
      <c r="H20" s="21">
        <f ca="1">-'EBSCS Waterfall'!H17</f>
        <v>0</v>
      </c>
      <c r="I20" s="21">
        <f ca="1">-'EBSCS Waterfall'!I17</f>
        <v>0</v>
      </c>
      <c r="J20" s="21">
        <f ca="1">-'EBSCS Waterfall'!J17</f>
        <v>0</v>
      </c>
      <c r="K20" s="21">
        <f ca="1">-'EBSCS Waterfall'!K17</f>
        <v>0</v>
      </c>
      <c r="L20" s="21">
        <f ca="1">-'EBSCS Waterfall'!L17</f>
        <v>0</v>
      </c>
      <c r="M20" s="21">
        <f ca="1">-'EBSCS Waterfall'!M17</f>
        <v>0</v>
      </c>
      <c r="N20" s="21">
        <f ca="1">-'EBSCS Waterfall'!N17</f>
        <v>0</v>
      </c>
      <c r="O20" s="21">
        <f ca="1">-'EBSCS Waterfall'!O17</f>
        <v>0</v>
      </c>
      <c r="P20" s="21">
        <f ca="1">-'EBSCS Waterfall'!P17</f>
        <v>0</v>
      </c>
      <c r="Q20" s="21">
        <f ca="1">-'EBSCS Waterfall'!Q17</f>
        <v>0</v>
      </c>
      <c r="R20" s="21">
        <f ca="1">-'EBSCS Waterfall'!R17</f>
        <v>0</v>
      </c>
      <c r="S20" s="21">
        <f ca="1">-'EBSCS Waterfall'!S17</f>
        <v>0</v>
      </c>
      <c r="T20" s="21">
        <f ca="1">-'EBSCS Waterfall'!T17</f>
        <v>0</v>
      </c>
      <c r="U20" s="21">
        <f ca="1">-'EBSCS Waterfall'!U17</f>
        <v>0</v>
      </c>
      <c r="V20" s="21">
        <f ca="1">-'EBSCS Waterfall'!V17</f>
        <v>0</v>
      </c>
      <c r="W20" s="21">
        <f ca="1">-'EBSCS Waterfall'!W17</f>
        <v>0</v>
      </c>
      <c r="X20" s="6"/>
    </row>
    <row r="21" spans="1:25" x14ac:dyDescent="0.2">
      <c r="A21" s="2">
        <f t="shared" si="0"/>
        <v>21</v>
      </c>
      <c r="B21" s="1" t="s">
        <v>168</v>
      </c>
      <c r="D21" s="21">
        <f>'EBSCS BS'!C6</f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6"/>
    </row>
    <row r="22" spans="1:25" x14ac:dyDescent="0.2">
      <c r="A22" s="2">
        <f t="shared" si="0"/>
        <v>22</v>
      </c>
      <c r="B22" s="1" t="s">
        <v>76</v>
      </c>
      <c r="D22" s="21">
        <f>'EBSCS Cap'!D78</f>
        <v>5193.8206114133327</v>
      </c>
      <c r="E22" s="21">
        <f>'EBSCS Cap'!E78</f>
        <v>0</v>
      </c>
      <c r="F22" s="21">
        <f>'EBSCS Cap'!F78</f>
        <v>0</v>
      </c>
      <c r="G22" s="21">
        <f>'EBSCS Cap'!G78</f>
        <v>0</v>
      </c>
      <c r="H22" s="21">
        <f>'EBSCS Cap'!H78</f>
        <v>0</v>
      </c>
      <c r="I22" s="21">
        <f>'EBSCS Cap'!I78</f>
        <v>0</v>
      </c>
      <c r="J22" s="21">
        <f>'EBSCS Cap'!J78</f>
        <v>0</v>
      </c>
      <c r="K22" s="21">
        <f>'EBSCS Cap'!K78</f>
        <v>0</v>
      </c>
      <c r="L22" s="21">
        <f>'EBSCS Cap'!L78</f>
        <v>0</v>
      </c>
      <c r="M22" s="21">
        <f>'EBSCS Cap'!M78</f>
        <v>0</v>
      </c>
      <c r="N22" s="21">
        <f>'EBSCS Cap'!N78</f>
        <v>0</v>
      </c>
      <c r="O22" s="21">
        <f>'EBSCS Cap'!O78</f>
        <v>0</v>
      </c>
      <c r="P22" s="21">
        <f>'EBSCS Cap'!P78</f>
        <v>0</v>
      </c>
      <c r="Q22" s="21">
        <f>'EBSCS Cap'!Q78</f>
        <v>0</v>
      </c>
      <c r="R22" s="21">
        <f>'EBSCS Cap'!R78</f>
        <v>0</v>
      </c>
      <c r="S22" s="21">
        <f>'EBSCS Cap'!S78</f>
        <v>0</v>
      </c>
      <c r="T22" s="21">
        <f>'EBSCS Cap'!T78</f>
        <v>0</v>
      </c>
      <c r="U22" s="21">
        <f>'EBSCS Cap'!U78</f>
        <v>0</v>
      </c>
      <c r="V22" s="21">
        <f>'EBSCS Cap'!V78</f>
        <v>0</v>
      </c>
      <c r="W22" s="21">
        <f>'EBSCS Cap'!W78</f>
        <v>0</v>
      </c>
      <c r="X22" s="6"/>
    </row>
    <row r="23" spans="1:25" x14ac:dyDescent="0.2">
      <c r="A23" s="2">
        <f t="shared" si="0"/>
        <v>23</v>
      </c>
      <c r="B23" s="1" t="s">
        <v>77</v>
      </c>
      <c r="D23" s="21">
        <f ca="1">-'EBSCS Cap'!D80</f>
        <v>0</v>
      </c>
      <c r="E23" s="21">
        <f ca="1">-'EBSCS Cap'!E80</f>
        <v>0</v>
      </c>
      <c r="F23" s="21">
        <f ca="1">-'EBSCS Cap'!F80</f>
        <v>0</v>
      </c>
      <c r="G23" s="21">
        <f ca="1">-'EBSCS Cap'!G80</f>
        <v>0</v>
      </c>
      <c r="H23" s="21">
        <f ca="1">-'EBSCS Cap'!H80</f>
        <v>-18317.984282910187</v>
      </c>
      <c r="I23" s="21">
        <f ca="1">-'EBSCS Cap'!I80</f>
        <v>0</v>
      </c>
      <c r="J23" s="21">
        <f ca="1">-'EBSCS Cap'!J80</f>
        <v>0</v>
      </c>
      <c r="K23" s="21">
        <f ca="1">-'EBSCS Cap'!K80</f>
        <v>0</v>
      </c>
      <c r="L23" s="21">
        <f ca="1">-'EBSCS Cap'!L80</f>
        <v>0</v>
      </c>
      <c r="M23" s="21">
        <f ca="1">-'EBSCS Cap'!M80</f>
        <v>0</v>
      </c>
      <c r="N23" s="21">
        <f ca="1">-'EBSCS Cap'!N80</f>
        <v>0</v>
      </c>
      <c r="O23" s="21">
        <f ca="1">-'EBSCS Cap'!O80</f>
        <v>0</v>
      </c>
      <c r="P23" s="21">
        <f ca="1">-'EBSCS Cap'!P80</f>
        <v>0</v>
      </c>
      <c r="Q23" s="21">
        <f ca="1">-'EBSCS Cap'!Q80</f>
        <v>0</v>
      </c>
      <c r="R23" s="21">
        <f ca="1">-'EBSCS Cap'!R80</f>
        <v>0</v>
      </c>
      <c r="S23" s="21">
        <f ca="1">-'EBSCS Cap'!S80</f>
        <v>0</v>
      </c>
      <c r="T23" s="21">
        <f ca="1">-'EBSCS Cap'!T80</f>
        <v>0</v>
      </c>
      <c r="U23" s="21">
        <f ca="1">-'EBSCS Cap'!U80</f>
        <v>0</v>
      </c>
      <c r="V23" s="21">
        <f ca="1">-'EBSCS Cap'!V80</f>
        <v>0</v>
      </c>
      <c r="W23" s="21">
        <f ca="1">-'EBSCS Cap'!W80</f>
        <v>0</v>
      </c>
      <c r="X23" s="6"/>
    </row>
    <row r="24" spans="1:25" x14ac:dyDescent="0.2">
      <c r="A24" s="2">
        <f t="shared" si="0"/>
        <v>24</v>
      </c>
      <c r="B24" s="1" t="s">
        <v>122</v>
      </c>
      <c r="D24" s="21">
        <f ca="1">-'EBSCS IS'!D23</f>
        <v>0</v>
      </c>
      <c r="E24" s="21">
        <f ca="1">-'EBSCS IS'!E23</f>
        <v>0</v>
      </c>
      <c r="F24" s="21">
        <f ca="1">-'EBSCS IS'!F23</f>
        <v>0</v>
      </c>
      <c r="G24" s="21">
        <f ca="1">-'EBSCS IS'!G23</f>
        <v>0</v>
      </c>
      <c r="H24" s="21">
        <f ca="1">-'EBSCS IS'!H23</f>
        <v>-17728.354264998692</v>
      </c>
      <c r="I24" s="21">
        <f ca="1">-'EBSCS IS'!I23</f>
        <v>-47228.33098060792</v>
      </c>
      <c r="J24" s="21">
        <f ca="1">-'EBSCS IS'!J23</f>
        <v>-73416.855870267551</v>
      </c>
      <c r="K24" s="21">
        <f ca="1">-'EBSCS IS'!K23</f>
        <v>-96561.618537256669</v>
      </c>
      <c r="L24" s="21">
        <f ca="1">-'EBSCS IS'!L23</f>
        <v>-122692.95910485952</v>
      </c>
      <c r="M24" s="21">
        <f ca="1">-'EBSCS IS'!M23</f>
        <v>-147218.81500721694</v>
      </c>
      <c r="N24" s="21">
        <f ca="1">-'EBSCS IS'!N23</f>
        <v>-164748.63871795006</v>
      </c>
      <c r="O24" s="21">
        <f ca="1">-'EBSCS IS'!O23</f>
        <v>-185049.76444957088</v>
      </c>
      <c r="P24" s="21">
        <f ca="1">-'EBSCS IS'!P23</f>
        <v>-203353.98938286304</v>
      </c>
      <c r="Q24" s="21">
        <f ca="1">-'EBSCS IS'!Q23</f>
        <v>-223582.88482000414</v>
      </c>
      <c r="R24" s="21">
        <f ca="1">-'EBSCS IS'!R23</f>
        <v>-241637.99946285397</v>
      </c>
      <c r="S24" s="21">
        <f ca="1">-'EBSCS IS'!S23</f>
        <v>-258368.3507806882</v>
      </c>
      <c r="T24" s="21">
        <f ca="1">-'EBSCS IS'!T23</f>
        <v>-275756.70010567142</v>
      </c>
      <c r="U24" s="21">
        <f ca="1">-'EBSCS IS'!U23</f>
        <v>-299694.92092733871</v>
      </c>
      <c r="V24" s="21">
        <f ca="1">-'EBSCS IS'!V23</f>
        <v>-325519.0331157567</v>
      </c>
      <c r="W24" s="21">
        <f ca="1">-'EBSCS IS'!W23</f>
        <v>-352349.56857817399</v>
      </c>
      <c r="X24" s="6"/>
    </row>
    <row r="25" spans="1:25" x14ac:dyDescent="0.2">
      <c r="A25" s="2">
        <f t="shared" si="0"/>
        <v>25</v>
      </c>
      <c r="B25" s="1" t="s">
        <v>78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6"/>
    </row>
    <row r="26" spans="1:25" x14ac:dyDescent="0.2">
      <c r="A26" s="2">
        <f t="shared" si="0"/>
        <v>26</v>
      </c>
      <c r="B26" s="35" t="s">
        <v>69</v>
      </c>
      <c r="C26" s="91"/>
      <c r="D26" s="29">
        <f ca="1">SUM(D17:D25)</f>
        <v>8864.250486319881</v>
      </c>
      <c r="E26" s="29">
        <f t="shared" ref="E26:W26" ca="1" si="4">SUM(E17:E25)</f>
        <v>7140.0073544336283</v>
      </c>
      <c r="F26" s="29">
        <f t="shared" ca="1" si="4"/>
        <v>11419.551585905649</v>
      </c>
      <c r="G26" s="29">
        <f t="shared" ca="1" si="4"/>
        <v>-22145.483773371983</v>
      </c>
      <c r="H26" s="29">
        <f t="shared" ca="1" si="4"/>
        <v>-36130.843589782722</v>
      </c>
      <c r="I26" s="29">
        <f t="shared" ca="1" si="4"/>
        <v>-47228.33098060792</v>
      </c>
      <c r="J26" s="29">
        <f t="shared" ca="1" si="4"/>
        <v>-73416.855870267551</v>
      </c>
      <c r="K26" s="29">
        <f t="shared" ca="1" si="4"/>
        <v>-96561.618537256669</v>
      </c>
      <c r="L26" s="29">
        <f t="shared" ca="1" si="4"/>
        <v>-122692.95910485952</v>
      </c>
      <c r="M26" s="29">
        <f t="shared" ca="1" si="4"/>
        <v>-147218.81500721694</v>
      </c>
      <c r="N26" s="29">
        <f t="shared" ca="1" si="4"/>
        <v>-164748.63871795006</v>
      </c>
      <c r="O26" s="29">
        <f t="shared" ca="1" si="4"/>
        <v>-185049.76444957088</v>
      </c>
      <c r="P26" s="29">
        <f t="shared" ca="1" si="4"/>
        <v>-203353.98938286304</v>
      </c>
      <c r="Q26" s="29">
        <f t="shared" ca="1" si="4"/>
        <v>-223582.88482000414</v>
      </c>
      <c r="R26" s="29">
        <f t="shared" ca="1" si="4"/>
        <v>-241637.99946285397</v>
      </c>
      <c r="S26" s="29">
        <f t="shared" ca="1" si="4"/>
        <v>-258368.3507806882</v>
      </c>
      <c r="T26" s="29">
        <f t="shared" ca="1" si="4"/>
        <v>-275756.70010567142</v>
      </c>
      <c r="U26" s="29">
        <f t="shared" ca="1" si="4"/>
        <v>-299694.92092733871</v>
      </c>
      <c r="V26" s="29">
        <f t="shared" ca="1" si="4"/>
        <v>-325519.0331157567</v>
      </c>
      <c r="W26" s="29">
        <f t="shared" ca="1" si="4"/>
        <v>-352349.56857817399</v>
      </c>
      <c r="X26" s="6"/>
    </row>
    <row r="27" spans="1:25" x14ac:dyDescent="0.2">
      <c r="A27" s="2">
        <f t="shared" si="0"/>
        <v>27</v>
      </c>
      <c r="X27" s="37"/>
    </row>
    <row r="28" spans="1:25" x14ac:dyDescent="0.2">
      <c r="A28" s="2">
        <f t="shared" si="0"/>
        <v>28</v>
      </c>
      <c r="B28" s="1" t="s">
        <v>79</v>
      </c>
      <c r="D28" s="21">
        <f t="shared" ref="D28:W28" ca="1" si="5">D8+D14+D26</f>
        <v>99</v>
      </c>
      <c r="E28" s="21">
        <f t="shared" ca="1" si="5"/>
        <v>0</v>
      </c>
      <c r="F28" s="21">
        <f t="shared" ca="1" si="5"/>
        <v>0</v>
      </c>
      <c r="G28" s="21">
        <f t="shared" ca="1" si="5"/>
        <v>0</v>
      </c>
      <c r="H28" s="21">
        <f t="shared" ca="1" si="5"/>
        <v>0</v>
      </c>
      <c r="I28" s="21">
        <f t="shared" ca="1" si="5"/>
        <v>0</v>
      </c>
      <c r="J28" s="21">
        <f t="shared" ca="1" si="5"/>
        <v>0</v>
      </c>
      <c r="K28" s="21">
        <f t="shared" ca="1" si="5"/>
        <v>0</v>
      </c>
      <c r="L28" s="21">
        <f t="shared" ca="1" si="5"/>
        <v>0</v>
      </c>
      <c r="M28" s="21">
        <f t="shared" ca="1" si="5"/>
        <v>0</v>
      </c>
      <c r="N28" s="21">
        <f t="shared" ca="1" si="5"/>
        <v>0</v>
      </c>
      <c r="O28" s="21">
        <f t="shared" ca="1" si="5"/>
        <v>0</v>
      </c>
      <c r="P28" s="21">
        <f t="shared" ca="1" si="5"/>
        <v>0</v>
      </c>
      <c r="Q28" s="21">
        <f t="shared" ca="1" si="5"/>
        <v>0</v>
      </c>
      <c r="R28" s="21">
        <f t="shared" ca="1" si="5"/>
        <v>0</v>
      </c>
      <c r="S28" s="21">
        <f t="shared" ca="1" si="5"/>
        <v>0</v>
      </c>
      <c r="T28" s="21">
        <f t="shared" ca="1" si="5"/>
        <v>0</v>
      </c>
      <c r="U28" s="21">
        <f t="shared" ca="1" si="5"/>
        <v>0</v>
      </c>
      <c r="V28" s="21">
        <f t="shared" ca="1" si="5"/>
        <v>0</v>
      </c>
      <c r="W28" s="21">
        <f t="shared" ca="1" si="5"/>
        <v>0</v>
      </c>
      <c r="X28" s="6"/>
    </row>
    <row r="29" spans="1:25" x14ac:dyDescent="0.2">
      <c r="A29" s="2">
        <f t="shared" si="0"/>
        <v>29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6"/>
    </row>
    <row r="30" spans="1:25" x14ac:dyDescent="0.2">
      <c r="A30" s="2">
        <f t="shared" si="0"/>
        <v>30</v>
      </c>
      <c r="B30" s="1" t="s">
        <v>60</v>
      </c>
      <c r="D30" s="21">
        <v>1</v>
      </c>
      <c r="E30" s="21">
        <f t="shared" ref="E30:W30" ca="1" si="6">D31</f>
        <v>100</v>
      </c>
      <c r="F30" s="21">
        <f t="shared" ca="1" si="6"/>
        <v>100</v>
      </c>
      <c r="G30" s="21">
        <f t="shared" ca="1" si="6"/>
        <v>100</v>
      </c>
      <c r="H30" s="21">
        <f t="shared" ca="1" si="6"/>
        <v>100</v>
      </c>
      <c r="I30" s="21">
        <f t="shared" ca="1" si="6"/>
        <v>100</v>
      </c>
      <c r="J30" s="21">
        <f t="shared" ca="1" si="6"/>
        <v>100</v>
      </c>
      <c r="K30" s="21">
        <f t="shared" ca="1" si="6"/>
        <v>100</v>
      </c>
      <c r="L30" s="21">
        <f t="shared" ca="1" si="6"/>
        <v>100</v>
      </c>
      <c r="M30" s="21">
        <f t="shared" ca="1" si="6"/>
        <v>100</v>
      </c>
      <c r="N30" s="21">
        <f t="shared" ca="1" si="6"/>
        <v>100</v>
      </c>
      <c r="O30" s="21">
        <f t="shared" ca="1" si="6"/>
        <v>100</v>
      </c>
      <c r="P30" s="21">
        <f t="shared" ca="1" si="6"/>
        <v>100</v>
      </c>
      <c r="Q30" s="21">
        <f t="shared" ca="1" si="6"/>
        <v>100</v>
      </c>
      <c r="R30" s="21">
        <f t="shared" ca="1" si="6"/>
        <v>100</v>
      </c>
      <c r="S30" s="21">
        <f t="shared" ca="1" si="6"/>
        <v>100</v>
      </c>
      <c r="T30" s="21">
        <f t="shared" ca="1" si="6"/>
        <v>100</v>
      </c>
      <c r="U30" s="21">
        <f t="shared" ca="1" si="6"/>
        <v>100</v>
      </c>
      <c r="V30" s="21">
        <f t="shared" ca="1" si="6"/>
        <v>100</v>
      </c>
      <c r="W30" s="21">
        <f t="shared" ca="1" si="6"/>
        <v>100</v>
      </c>
      <c r="X30" s="6"/>
    </row>
    <row r="31" spans="1:25" x14ac:dyDescent="0.2">
      <c r="A31" s="2">
        <f t="shared" si="0"/>
        <v>31</v>
      </c>
      <c r="B31" s="1" t="s">
        <v>61</v>
      </c>
      <c r="D31" s="21">
        <f t="shared" ref="D31:W31" ca="1" si="7">D30+D28</f>
        <v>100</v>
      </c>
      <c r="E31" s="21">
        <f t="shared" ca="1" si="7"/>
        <v>100</v>
      </c>
      <c r="F31" s="21">
        <f t="shared" ca="1" si="7"/>
        <v>100</v>
      </c>
      <c r="G31" s="21">
        <f t="shared" ca="1" si="7"/>
        <v>100</v>
      </c>
      <c r="H31" s="21">
        <f t="shared" ca="1" si="7"/>
        <v>100</v>
      </c>
      <c r="I31" s="21">
        <f t="shared" ca="1" si="7"/>
        <v>100</v>
      </c>
      <c r="J31" s="21">
        <f t="shared" ca="1" si="7"/>
        <v>100</v>
      </c>
      <c r="K31" s="21">
        <f t="shared" ca="1" si="7"/>
        <v>100</v>
      </c>
      <c r="L31" s="21">
        <f t="shared" ca="1" si="7"/>
        <v>100</v>
      </c>
      <c r="M31" s="21">
        <f t="shared" ca="1" si="7"/>
        <v>100</v>
      </c>
      <c r="N31" s="21">
        <f t="shared" ca="1" si="7"/>
        <v>100</v>
      </c>
      <c r="O31" s="21">
        <f t="shared" ca="1" si="7"/>
        <v>100</v>
      </c>
      <c r="P31" s="21">
        <f t="shared" ca="1" si="7"/>
        <v>100</v>
      </c>
      <c r="Q31" s="21">
        <f t="shared" ca="1" si="7"/>
        <v>100</v>
      </c>
      <c r="R31" s="21">
        <f t="shared" ca="1" si="7"/>
        <v>100</v>
      </c>
      <c r="S31" s="21">
        <f t="shared" ca="1" si="7"/>
        <v>100</v>
      </c>
      <c r="T31" s="21">
        <f t="shared" ca="1" si="7"/>
        <v>100</v>
      </c>
      <c r="U31" s="21">
        <f t="shared" ca="1" si="7"/>
        <v>100</v>
      </c>
      <c r="V31" s="21">
        <f t="shared" ca="1" si="7"/>
        <v>100</v>
      </c>
      <c r="W31" s="21">
        <f t="shared" ca="1" si="7"/>
        <v>100</v>
      </c>
      <c r="X31" s="37"/>
    </row>
    <row r="32" spans="1:25" x14ac:dyDescent="0.2">
      <c r="A32" s="2">
        <f t="shared" si="0"/>
        <v>32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37"/>
    </row>
    <row r="33" spans="24:24" x14ac:dyDescent="0.2">
      <c r="X33" s="37"/>
    </row>
    <row r="34" spans="24:24" x14ac:dyDescent="0.2">
      <c r="X34" s="37"/>
    </row>
  </sheetData>
  <pageMargins left="0.75" right="0.75" top="1" bottom="1" header="0.5" footer="0.5"/>
  <pageSetup paperSize="5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0"/>
  <sheetViews>
    <sheetView zoomScale="75" zoomScaleNormal="100" workbookViewId="0">
      <pane xSplit="2" ySplit="2" topLeftCell="C3" activePane="bottomRight" state="frozenSplit"/>
      <selection activeCell="C9" sqref="C9"/>
      <selection pane="topRight" activeCell="C9" sqref="C9"/>
      <selection pane="bottomLeft" activeCell="C9" sqref="C9"/>
      <selection pane="bottomRight" activeCell="B15" sqref="B15"/>
    </sheetView>
  </sheetViews>
  <sheetFormatPr defaultRowHeight="12.75" x14ac:dyDescent="0.2"/>
  <cols>
    <col min="1" max="1" width="4.7109375" style="10" bestFit="1" customWidth="1"/>
    <col min="2" max="2" width="27.5703125" style="1" customWidth="1"/>
    <col min="3" max="3" width="9.7109375" style="1" customWidth="1"/>
    <col min="4" max="4" width="8.140625" style="21" bestFit="1" customWidth="1"/>
    <col min="5" max="5" width="8.28515625" style="21" customWidth="1"/>
    <col min="6" max="6" width="8.140625" style="21" bestFit="1" customWidth="1"/>
    <col min="7" max="7" width="8.42578125" style="21" customWidth="1"/>
    <col min="8" max="8" width="8.5703125" style="21" customWidth="1"/>
    <col min="9" max="9" width="8.85546875" style="21" customWidth="1"/>
    <col min="10" max="11" width="8.7109375" style="21" customWidth="1"/>
    <col min="12" max="17" width="10.42578125" style="21" customWidth="1"/>
    <col min="18" max="23" width="11.140625" style="21" customWidth="1"/>
    <col min="24" max="24" width="9.140625" style="30"/>
    <col min="25" max="25" width="9.140625" style="25"/>
    <col min="26" max="16384" width="9.140625" style="1"/>
  </cols>
  <sheetData>
    <row r="1" spans="1:25" x14ac:dyDescent="0.2">
      <c r="A1" s="2">
        <v>1</v>
      </c>
      <c r="B1" s="3" t="s">
        <v>200</v>
      </c>
      <c r="C1" s="3"/>
      <c r="X1" s="24" t="s">
        <v>9</v>
      </c>
    </row>
    <row r="2" spans="1:25" s="13" customFormat="1" x14ac:dyDescent="0.2">
      <c r="A2" s="14">
        <f t="shared" ref="A2:A40" si="0">A1+1</f>
        <v>2</v>
      </c>
      <c r="B2" s="17" t="s">
        <v>0</v>
      </c>
      <c r="C2" s="92" t="s">
        <v>158</v>
      </c>
      <c r="D2" s="28">
        <v>2001</v>
      </c>
      <c r="E2" s="28">
        <f t="shared" ref="E2:W2" si="1">D2+1</f>
        <v>2002</v>
      </c>
      <c r="F2" s="28">
        <f t="shared" si="1"/>
        <v>2003</v>
      </c>
      <c r="G2" s="28">
        <f t="shared" si="1"/>
        <v>2004</v>
      </c>
      <c r="H2" s="28">
        <f t="shared" si="1"/>
        <v>2005</v>
      </c>
      <c r="I2" s="28">
        <f t="shared" si="1"/>
        <v>2006</v>
      </c>
      <c r="J2" s="28">
        <f t="shared" si="1"/>
        <v>2007</v>
      </c>
      <c r="K2" s="28">
        <f t="shared" si="1"/>
        <v>2008</v>
      </c>
      <c r="L2" s="28">
        <f t="shared" si="1"/>
        <v>2009</v>
      </c>
      <c r="M2" s="28">
        <f t="shared" si="1"/>
        <v>2010</v>
      </c>
      <c r="N2" s="28">
        <f t="shared" si="1"/>
        <v>2011</v>
      </c>
      <c r="O2" s="28">
        <f t="shared" si="1"/>
        <v>2012</v>
      </c>
      <c r="P2" s="28">
        <f t="shared" si="1"/>
        <v>2013</v>
      </c>
      <c r="Q2" s="28">
        <f t="shared" si="1"/>
        <v>2014</v>
      </c>
      <c r="R2" s="28">
        <f t="shared" si="1"/>
        <v>2015</v>
      </c>
      <c r="S2" s="28">
        <f t="shared" si="1"/>
        <v>2016</v>
      </c>
      <c r="T2" s="28">
        <f t="shared" si="1"/>
        <v>2017</v>
      </c>
      <c r="U2" s="28">
        <f t="shared" si="1"/>
        <v>2018</v>
      </c>
      <c r="V2" s="28">
        <f t="shared" si="1"/>
        <v>2019</v>
      </c>
      <c r="W2" s="28">
        <f t="shared" si="1"/>
        <v>2020</v>
      </c>
      <c r="X2" s="22"/>
      <c r="Y2" s="25"/>
    </row>
    <row r="3" spans="1:25" x14ac:dyDescent="0.2">
      <c r="A3" s="2">
        <f t="shared" si="0"/>
        <v>3</v>
      </c>
      <c r="B3" s="1" t="s">
        <v>10</v>
      </c>
      <c r="X3" s="22"/>
    </row>
    <row r="4" spans="1:25" x14ac:dyDescent="0.2">
      <c r="A4" s="2">
        <f t="shared" si="0"/>
        <v>4</v>
      </c>
      <c r="B4" s="1" t="s">
        <v>62</v>
      </c>
      <c r="C4" s="1">
        <v>1</v>
      </c>
      <c r="D4" s="21">
        <f ca="1">'EBSCS CF'!D31</f>
        <v>100</v>
      </c>
      <c r="E4" s="21">
        <f ca="1">'EBSCS CF'!E31</f>
        <v>100</v>
      </c>
      <c r="F4" s="21">
        <f ca="1">'EBSCS CF'!F31</f>
        <v>100</v>
      </c>
      <c r="G4" s="21">
        <f ca="1">'EBSCS CF'!G31</f>
        <v>100</v>
      </c>
      <c r="H4" s="21">
        <f ca="1">'EBSCS CF'!H31</f>
        <v>100</v>
      </c>
      <c r="I4" s="21">
        <f ca="1">'EBSCS CF'!I31</f>
        <v>100</v>
      </c>
      <c r="J4" s="21">
        <f ca="1">'EBSCS CF'!J31</f>
        <v>100</v>
      </c>
      <c r="K4" s="21">
        <f ca="1">'EBSCS CF'!K31</f>
        <v>100</v>
      </c>
      <c r="L4" s="21">
        <f ca="1">'EBSCS CF'!L31</f>
        <v>100</v>
      </c>
      <c r="M4" s="21">
        <f ca="1">'EBSCS CF'!M31</f>
        <v>100</v>
      </c>
      <c r="N4" s="21">
        <f ca="1">'EBSCS CF'!N31</f>
        <v>100</v>
      </c>
      <c r="O4" s="21">
        <f ca="1">'EBSCS CF'!O31</f>
        <v>100</v>
      </c>
      <c r="P4" s="21">
        <f ca="1">'EBSCS CF'!P31</f>
        <v>100</v>
      </c>
      <c r="Q4" s="21">
        <f ca="1">'EBSCS CF'!Q31</f>
        <v>100</v>
      </c>
      <c r="R4" s="21">
        <f ca="1">'EBSCS CF'!R31</f>
        <v>100</v>
      </c>
      <c r="S4" s="21">
        <f ca="1">'EBSCS CF'!S31</f>
        <v>100</v>
      </c>
      <c r="T4" s="21">
        <f ca="1">'EBSCS CF'!T31</f>
        <v>100</v>
      </c>
      <c r="U4" s="21">
        <f ca="1">'EBSCS CF'!U31</f>
        <v>100</v>
      </c>
      <c r="V4" s="21">
        <f ca="1">'EBSCS CF'!V31</f>
        <v>100</v>
      </c>
      <c r="W4" s="21">
        <f ca="1">'EBSCS CF'!W31</f>
        <v>100</v>
      </c>
      <c r="X4" s="22"/>
    </row>
    <row r="5" spans="1:25" x14ac:dyDescent="0.2">
      <c r="A5" s="2">
        <f t="shared" si="0"/>
        <v>5</v>
      </c>
      <c r="B5" s="1" t="s">
        <v>11</v>
      </c>
      <c r="D5" s="21">
        <f>Assumptions!D107</f>
        <v>579.63192305714188</v>
      </c>
      <c r="E5" s="21">
        <f>Assumptions!E107</f>
        <v>2395.3779113934047</v>
      </c>
      <c r="F5" s="21">
        <f>Assumptions!F107</f>
        <v>8113.2388784712039</v>
      </c>
      <c r="G5" s="21">
        <f>Assumptions!G107</f>
        <v>3530.2289517693935</v>
      </c>
      <c r="H5" s="21">
        <f>Assumptions!H107</f>
        <v>0</v>
      </c>
      <c r="I5" s="21">
        <f>Assumptions!I107</f>
        <v>0</v>
      </c>
      <c r="J5" s="21">
        <f>Assumptions!J107</f>
        <v>0</v>
      </c>
      <c r="K5" s="21">
        <f>Assumptions!K107</f>
        <v>0</v>
      </c>
      <c r="L5" s="21">
        <f>Assumptions!L107</f>
        <v>0</v>
      </c>
      <c r="M5" s="21">
        <f>Assumptions!M107</f>
        <v>0</v>
      </c>
      <c r="N5" s="21">
        <f>Assumptions!N107</f>
        <v>0</v>
      </c>
      <c r="O5" s="21">
        <f>Assumptions!O107</f>
        <v>0</v>
      </c>
      <c r="P5" s="21">
        <f>Assumptions!P107</f>
        <v>0</v>
      </c>
      <c r="Q5" s="21">
        <f>Assumptions!Q107</f>
        <v>0</v>
      </c>
      <c r="R5" s="21">
        <f>Assumptions!R107</f>
        <v>0</v>
      </c>
      <c r="S5" s="21">
        <f>Assumptions!S107</f>
        <v>0</v>
      </c>
      <c r="T5" s="21">
        <f>Assumptions!T107</f>
        <v>0</v>
      </c>
      <c r="U5" s="21">
        <f>Assumptions!U107</f>
        <v>0</v>
      </c>
      <c r="V5" s="21">
        <f>Assumptions!V107</f>
        <v>0</v>
      </c>
      <c r="W5" s="21">
        <f>Assumptions!W107</f>
        <v>0</v>
      </c>
      <c r="X5" s="22"/>
    </row>
    <row r="6" spans="1:25" x14ac:dyDescent="0.2">
      <c r="A6" s="2">
        <f t="shared" si="0"/>
        <v>6</v>
      </c>
      <c r="B6" s="1" t="s">
        <v>165</v>
      </c>
      <c r="C6" s="21"/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2"/>
    </row>
    <row r="7" spans="1:25" x14ac:dyDescent="0.2">
      <c r="A7" s="2">
        <f t="shared" si="0"/>
        <v>7</v>
      </c>
      <c r="B7" s="1" t="s">
        <v>12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2"/>
    </row>
    <row r="8" spans="1:25" x14ac:dyDescent="0.2">
      <c r="A8" s="2">
        <f t="shared" si="0"/>
        <v>8</v>
      </c>
      <c r="B8" s="9" t="s">
        <v>13</v>
      </c>
      <c r="C8" s="29">
        <f t="shared" ref="C8:W8" si="2">SUM(C4:C7)</f>
        <v>1</v>
      </c>
      <c r="D8" s="29">
        <f t="shared" ca="1" si="2"/>
        <v>679.63192305714188</v>
      </c>
      <c r="E8" s="29">
        <f t="shared" ca="1" si="2"/>
        <v>2495.3779113934047</v>
      </c>
      <c r="F8" s="29">
        <f t="shared" ca="1" si="2"/>
        <v>8213.2388784712039</v>
      </c>
      <c r="G8" s="29">
        <f t="shared" ca="1" si="2"/>
        <v>3630.2289517693935</v>
      </c>
      <c r="H8" s="29">
        <f t="shared" ca="1" si="2"/>
        <v>100</v>
      </c>
      <c r="I8" s="29">
        <f t="shared" ca="1" si="2"/>
        <v>100</v>
      </c>
      <c r="J8" s="29">
        <f t="shared" ca="1" si="2"/>
        <v>100</v>
      </c>
      <c r="K8" s="29">
        <f t="shared" ca="1" si="2"/>
        <v>100</v>
      </c>
      <c r="L8" s="29">
        <f t="shared" ca="1" si="2"/>
        <v>100</v>
      </c>
      <c r="M8" s="29">
        <f t="shared" ca="1" si="2"/>
        <v>100</v>
      </c>
      <c r="N8" s="29">
        <f t="shared" ca="1" si="2"/>
        <v>100</v>
      </c>
      <c r="O8" s="29">
        <f t="shared" ca="1" si="2"/>
        <v>100</v>
      </c>
      <c r="P8" s="29">
        <f t="shared" ca="1" si="2"/>
        <v>100</v>
      </c>
      <c r="Q8" s="29">
        <f t="shared" ca="1" si="2"/>
        <v>100</v>
      </c>
      <c r="R8" s="29">
        <f t="shared" ca="1" si="2"/>
        <v>100</v>
      </c>
      <c r="S8" s="29">
        <f t="shared" ca="1" si="2"/>
        <v>100</v>
      </c>
      <c r="T8" s="29">
        <f t="shared" ca="1" si="2"/>
        <v>100</v>
      </c>
      <c r="U8" s="29">
        <f t="shared" ca="1" si="2"/>
        <v>100</v>
      </c>
      <c r="V8" s="29">
        <f t="shared" ca="1" si="2"/>
        <v>100</v>
      </c>
      <c r="W8" s="29">
        <f t="shared" ca="1" si="2"/>
        <v>100</v>
      </c>
      <c r="X8" s="22"/>
    </row>
    <row r="9" spans="1:25" x14ac:dyDescent="0.2">
      <c r="A9" s="2">
        <f t="shared" si="0"/>
        <v>9</v>
      </c>
      <c r="B9" s="8"/>
      <c r="C9" s="8"/>
      <c r="X9" s="22"/>
    </row>
    <row r="10" spans="1:25" hidden="1" x14ac:dyDescent="0.2">
      <c r="A10" s="2">
        <f t="shared" si="0"/>
        <v>10</v>
      </c>
      <c r="B10" s="1" t="s">
        <v>14</v>
      </c>
      <c r="X10" s="22"/>
    </row>
    <row r="11" spans="1:25" x14ac:dyDescent="0.2">
      <c r="A11" s="2">
        <f t="shared" si="0"/>
        <v>11</v>
      </c>
      <c r="B11" s="1" t="s">
        <v>17</v>
      </c>
      <c r="C11" s="97">
        <f>Assumptions!C49</f>
        <v>13024.163671496855</v>
      </c>
      <c r="D11" s="33">
        <f>Assumptions!D62+C11</f>
        <v>18965.483567697924</v>
      </c>
      <c r="E11" s="21">
        <f>Assumptions!E62+D11</f>
        <v>20214.894087229175</v>
      </c>
      <c r="F11" s="21">
        <f>Assumptions!F62+E11</f>
        <v>21206.324437815114</v>
      </c>
      <c r="G11" s="21">
        <f>Assumptions!G62+F11</f>
        <v>24938.91361579363</v>
      </c>
      <c r="H11" s="21">
        <f>Assumptions!H62+G11</f>
        <v>28838.293082041186</v>
      </c>
      <c r="I11" s="21">
        <f>Assumptions!I62+H11</f>
        <v>33143.160580219286</v>
      </c>
      <c r="J11" s="21">
        <f>Assumptions!J62+I11</f>
        <v>34814.55389965151</v>
      </c>
      <c r="K11" s="21">
        <f>Assumptions!K62+J11</f>
        <v>37950.667924372552</v>
      </c>
      <c r="L11" s="21">
        <f>Assumptions!L62+K11</f>
        <v>39901.892194368738</v>
      </c>
      <c r="M11" s="21">
        <f>Assumptions!M62+L11</f>
        <v>42963.340852965506</v>
      </c>
      <c r="N11" s="21">
        <f>Assumptions!N62+M11</f>
        <v>44820.729736826797</v>
      </c>
      <c r="O11" s="21">
        <f>Assumptions!O62+N11</f>
        <v>45933.5319865899</v>
      </c>
      <c r="P11" s="21">
        <f>Assumptions!P62+O11</f>
        <v>47308.992843173844</v>
      </c>
      <c r="Q11" s="21">
        <f>Assumptions!Q62+P11</f>
        <v>48344.464538892447</v>
      </c>
      <c r="R11" s="21">
        <f>Assumptions!R62+Q11</f>
        <v>49604.244246327544</v>
      </c>
      <c r="S11" s="21">
        <f>Assumptions!S62+R11</f>
        <v>50553.945403889011</v>
      </c>
      <c r="T11" s="21">
        <f>Assumptions!T62+S11</f>
        <v>51313.762491286965</v>
      </c>
      <c r="U11" s="21">
        <f>Assumptions!U62+T11</f>
        <v>52355.214885322239</v>
      </c>
      <c r="V11" s="21">
        <f>Assumptions!V62+U11</f>
        <v>53102.7119374053</v>
      </c>
      <c r="W11" s="21">
        <f>Assumptions!W62+V11</f>
        <v>53907.540627035982</v>
      </c>
      <c r="X11" s="22"/>
    </row>
    <row r="12" spans="1:25" x14ac:dyDescent="0.2">
      <c r="A12" s="2">
        <f t="shared" si="0"/>
        <v>12</v>
      </c>
      <c r="B12" s="1" t="s">
        <v>15</v>
      </c>
      <c r="D12" s="21">
        <f>Assumptions!D117</f>
        <v>3793.0967135395849</v>
      </c>
      <c r="E12" s="21">
        <f>Assumptions!E117</f>
        <v>7843.3870055947946</v>
      </c>
      <c r="F12" s="21">
        <f>Assumptions!F117</f>
        <v>12113.758712005474</v>
      </c>
      <c r="G12" s="21">
        <f>Assumptions!G117</f>
        <v>17152.931282698381</v>
      </c>
      <c r="H12" s="21">
        <f>Assumptions!H117</f>
        <v>22981.399081461353</v>
      </c>
      <c r="I12" s="21">
        <f>Assumptions!I117</f>
        <v>25876.249083422106</v>
      </c>
      <c r="J12" s="21">
        <f>Assumptions!J117</f>
        <v>28849.485219989107</v>
      </c>
      <c r="K12" s="21">
        <f>Assumptions!K117</f>
        <v>32247.095096969533</v>
      </c>
      <c r="L12" s="21">
        <f>Assumptions!L117</f>
        <v>35285.017434183057</v>
      </c>
      <c r="M12" s="21">
        <f>Assumptions!M117</f>
        <v>38152.845624440502</v>
      </c>
      <c r="N12" s="21">
        <f>Assumptions!N117</f>
        <v>40529.381534888664</v>
      </c>
      <c r="O12" s="21">
        <f>Assumptions!O117</f>
        <v>42792.957104065157</v>
      </c>
      <c r="P12" s="21">
        <f>Assumptions!P117</f>
        <v>44703.588435533333</v>
      </c>
      <c r="Q12" s="21">
        <f>Assumptions!Q117</f>
        <v>46430.583562210049</v>
      </c>
      <c r="R12" s="21">
        <f>Assumptions!R117</f>
        <v>47797.007054711779</v>
      </c>
      <c r="S12" s="21">
        <f>Assumptions!S117</f>
        <v>48981.839578229759</v>
      </c>
      <c r="T12" s="21">
        <f>Assumptions!T117</f>
        <v>50096.156091192839</v>
      </c>
      <c r="U12" s="21">
        <f>Assumptions!U117</f>
        <v>51143.847247547434</v>
      </c>
      <c r="V12" s="21">
        <f>Assumptions!V117</f>
        <v>52134.184707871202</v>
      </c>
      <c r="W12" s="21">
        <f>Assumptions!W117</f>
        <v>53033.81465752911</v>
      </c>
      <c r="X12" s="22"/>
    </row>
    <row r="13" spans="1:25" x14ac:dyDescent="0.2">
      <c r="A13" s="2">
        <f t="shared" si="0"/>
        <v>13</v>
      </c>
      <c r="B13" s="9" t="s">
        <v>16</v>
      </c>
      <c r="C13" s="29">
        <f t="shared" ref="C13:W13" si="3">C11-C12</f>
        <v>13024.163671496855</v>
      </c>
      <c r="D13" s="29">
        <f t="shared" si="3"/>
        <v>15172.38685415834</v>
      </c>
      <c r="E13" s="29">
        <f t="shared" si="3"/>
        <v>12371.50708163438</v>
      </c>
      <c r="F13" s="29">
        <f t="shared" si="3"/>
        <v>9092.5657258096398</v>
      </c>
      <c r="G13" s="29">
        <f t="shared" si="3"/>
        <v>7785.9823330952495</v>
      </c>
      <c r="H13" s="29">
        <f t="shared" si="3"/>
        <v>5856.8940005798322</v>
      </c>
      <c r="I13" s="29">
        <f t="shared" si="3"/>
        <v>7266.91149679718</v>
      </c>
      <c r="J13" s="29">
        <f t="shared" si="3"/>
        <v>5965.0686796624032</v>
      </c>
      <c r="K13" s="29">
        <f t="shared" si="3"/>
        <v>5703.5728274030189</v>
      </c>
      <c r="L13" s="29">
        <f t="shared" si="3"/>
        <v>4616.8747601856812</v>
      </c>
      <c r="M13" s="29">
        <f t="shared" si="3"/>
        <v>4810.4952285250038</v>
      </c>
      <c r="N13" s="29">
        <f t="shared" si="3"/>
        <v>4291.3482019381336</v>
      </c>
      <c r="O13" s="29">
        <f t="shared" si="3"/>
        <v>3140.5748825247429</v>
      </c>
      <c r="P13" s="29">
        <f t="shared" si="3"/>
        <v>2605.4044076405116</v>
      </c>
      <c r="Q13" s="29">
        <f t="shared" si="3"/>
        <v>1913.8809766823979</v>
      </c>
      <c r="R13" s="29">
        <f t="shared" si="3"/>
        <v>1807.2371916157645</v>
      </c>
      <c r="S13" s="29">
        <f t="shared" si="3"/>
        <v>1572.1058256592514</v>
      </c>
      <c r="T13" s="29">
        <f t="shared" si="3"/>
        <v>1217.606400094126</v>
      </c>
      <c r="U13" s="29">
        <f t="shared" si="3"/>
        <v>1211.3676377748052</v>
      </c>
      <c r="V13" s="29">
        <f t="shared" si="3"/>
        <v>968.5272295340983</v>
      </c>
      <c r="W13" s="29">
        <f t="shared" si="3"/>
        <v>873.72596950687148</v>
      </c>
      <c r="X13" s="22"/>
    </row>
    <row r="14" spans="1:25" x14ac:dyDescent="0.2">
      <c r="A14" s="2">
        <f t="shared" si="0"/>
        <v>14</v>
      </c>
      <c r="X14" s="22"/>
    </row>
    <row r="15" spans="1:25" x14ac:dyDescent="0.2">
      <c r="A15" s="2">
        <f t="shared" si="0"/>
        <v>15</v>
      </c>
      <c r="B15" s="1" t="s">
        <v>24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2"/>
    </row>
    <row r="16" spans="1:25" x14ac:dyDescent="0.2">
      <c r="A16" s="2">
        <f t="shared" si="0"/>
        <v>16</v>
      </c>
      <c r="B16" s="1" t="s">
        <v>25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2"/>
    </row>
    <row r="17" spans="1:24" x14ac:dyDescent="0.2">
      <c r="A17" s="2">
        <f t="shared" si="0"/>
        <v>17</v>
      </c>
      <c r="B17" s="9" t="s">
        <v>26</v>
      </c>
      <c r="C17" s="29">
        <f t="shared" ref="C17:W17" si="4">C16+C15+C13+C8</f>
        <v>13025.163671496855</v>
      </c>
      <c r="D17" s="29">
        <f t="shared" ca="1" si="4"/>
        <v>15852.018777215482</v>
      </c>
      <c r="E17" s="29">
        <f t="shared" ca="1" si="4"/>
        <v>14866.884993027785</v>
      </c>
      <c r="F17" s="29">
        <f t="shared" ca="1" si="4"/>
        <v>17305.804604280842</v>
      </c>
      <c r="G17" s="29">
        <f t="shared" ca="1" si="4"/>
        <v>11416.211284864643</v>
      </c>
      <c r="H17" s="29">
        <f t="shared" ca="1" si="4"/>
        <v>5956.8940005798322</v>
      </c>
      <c r="I17" s="29">
        <f t="shared" ca="1" si="4"/>
        <v>7366.91149679718</v>
      </c>
      <c r="J17" s="29">
        <f t="shared" ca="1" si="4"/>
        <v>6065.0686796624032</v>
      </c>
      <c r="K17" s="29">
        <f t="shared" ca="1" si="4"/>
        <v>5803.5728274030189</v>
      </c>
      <c r="L17" s="29">
        <f t="shared" ca="1" si="4"/>
        <v>4716.8747601856812</v>
      </c>
      <c r="M17" s="29">
        <f t="shared" ca="1" si="4"/>
        <v>4910.4952285250038</v>
      </c>
      <c r="N17" s="29">
        <f t="shared" ca="1" si="4"/>
        <v>4391.3482019381336</v>
      </c>
      <c r="O17" s="29">
        <f t="shared" ca="1" si="4"/>
        <v>3240.5748825247429</v>
      </c>
      <c r="P17" s="29">
        <f t="shared" ca="1" si="4"/>
        <v>2705.4044076405116</v>
      </c>
      <c r="Q17" s="29">
        <f t="shared" ca="1" si="4"/>
        <v>2013.8809766823979</v>
      </c>
      <c r="R17" s="29">
        <f t="shared" ca="1" si="4"/>
        <v>1907.2371916157645</v>
      </c>
      <c r="S17" s="29">
        <f t="shared" ca="1" si="4"/>
        <v>1672.1058256592514</v>
      </c>
      <c r="T17" s="29">
        <f t="shared" ca="1" si="4"/>
        <v>1317.606400094126</v>
      </c>
      <c r="U17" s="29">
        <f t="shared" ca="1" si="4"/>
        <v>1311.3676377748052</v>
      </c>
      <c r="V17" s="29">
        <f t="shared" ca="1" si="4"/>
        <v>1068.5272295340983</v>
      </c>
      <c r="W17" s="29">
        <f t="shared" ca="1" si="4"/>
        <v>973.72596950687148</v>
      </c>
      <c r="X17" s="22"/>
    </row>
    <row r="18" spans="1:24" x14ac:dyDescent="0.2">
      <c r="A18" s="2">
        <f t="shared" si="0"/>
        <v>18</v>
      </c>
      <c r="X18" s="22"/>
    </row>
    <row r="19" spans="1:24" x14ac:dyDescent="0.2">
      <c r="A19" s="2">
        <f t="shared" si="0"/>
        <v>19</v>
      </c>
      <c r="B19" s="12" t="s">
        <v>32</v>
      </c>
      <c r="C19" s="12"/>
      <c r="X19" s="22"/>
    </row>
    <row r="20" spans="1:24" x14ac:dyDescent="0.2">
      <c r="A20" s="2">
        <f t="shared" si="0"/>
        <v>20</v>
      </c>
      <c r="B20" s="1" t="s">
        <v>27</v>
      </c>
      <c r="X20" s="22"/>
    </row>
    <row r="21" spans="1:24" hidden="1" x14ac:dyDescent="0.2">
      <c r="A21" s="2">
        <f t="shared" si="0"/>
        <v>21</v>
      </c>
      <c r="B21" s="1" t="s">
        <v>28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2"/>
    </row>
    <row r="22" spans="1:24" hidden="1" x14ac:dyDescent="0.2">
      <c r="A22" s="2">
        <f t="shared" si="0"/>
        <v>22</v>
      </c>
      <c r="B22" s="1" t="s">
        <v>29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2"/>
    </row>
    <row r="23" spans="1:24" hidden="1" x14ac:dyDescent="0.2">
      <c r="A23" s="2">
        <f t="shared" si="0"/>
        <v>23</v>
      </c>
      <c r="B23" s="1" t="s">
        <v>34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2"/>
    </row>
    <row r="24" spans="1:24" hidden="1" x14ac:dyDescent="0.2">
      <c r="A24" s="2">
        <f t="shared" si="0"/>
        <v>24</v>
      </c>
      <c r="B24" s="1" t="s">
        <v>30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2"/>
    </row>
    <row r="25" spans="1:24" x14ac:dyDescent="0.2">
      <c r="A25" s="2">
        <f t="shared" si="0"/>
        <v>25</v>
      </c>
      <c r="B25" s="9" t="s">
        <v>31</v>
      </c>
      <c r="C25" s="90"/>
      <c r="D25" s="29">
        <f t="shared" ref="D25:W25" si="5">SUM(D21:D24)</f>
        <v>0</v>
      </c>
      <c r="E25" s="29">
        <f t="shared" si="5"/>
        <v>0</v>
      </c>
      <c r="F25" s="29">
        <f t="shared" si="5"/>
        <v>0</v>
      </c>
      <c r="G25" s="29">
        <f t="shared" si="5"/>
        <v>0</v>
      </c>
      <c r="H25" s="29">
        <f t="shared" si="5"/>
        <v>0</v>
      </c>
      <c r="I25" s="29">
        <f t="shared" si="5"/>
        <v>0</v>
      </c>
      <c r="J25" s="29">
        <f t="shared" si="5"/>
        <v>0</v>
      </c>
      <c r="K25" s="29">
        <f t="shared" si="5"/>
        <v>0</v>
      </c>
      <c r="L25" s="29">
        <f t="shared" si="5"/>
        <v>0</v>
      </c>
      <c r="M25" s="29">
        <f t="shared" si="5"/>
        <v>0</v>
      </c>
      <c r="N25" s="29">
        <f t="shared" si="5"/>
        <v>0</v>
      </c>
      <c r="O25" s="29">
        <f t="shared" si="5"/>
        <v>0</v>
      </c>
      <c r="P25" s="29">
        <f t="shared" si="5"/>
        <v>0</v>
      </c>
      <c r="Q25" s="29">
        <f t="shared" si="5"/>
        <v>0</v>
      </c>
      <c r="R25" s="29">
        <f t="shared" si="5"/>
        <v>0</v>
      </c>
      <c r="S25" s="29">
        <f t="shared" si="5"/>
        <v>0</v>
      </c>
      <c r="T25" s="29">
        <f t="shared" si="5"/>
        <v>0</v>
      </c>
      <c r="U25" s="29">
        <f t="shared" si="5"/>
        <v>0</v>
      </c>
      <c r="V25" s="29">
        <f t="shared" si="5"/>
        <v>0</v>
      </c>
      <c r="W25" s="29">
        <f t="shared" si="5"/>
        <v>0</v>
      </c>
      <c r="X25" s="22"/>
    </row>
    <row r="26" spans="1:24" x14ac:dyDescent="0.2">
      <c r="A26" s="2">
        <f t="shared" si="0"/>
        <v>26</v>
      </c>
      <c r="B26" s="8"/>
      <c r="C26" s="8"/>
      <c r="X26" s="22"/>
    </row>
    <row r="27" spans="1:24" x14ac:dyDescent="0.2">
      <c r="A27" s="2">
        <f t="shared" si="0"/>
        <v>27</v>
      </c>
      <c r="B27" s="1" t="s">
        <v>18</v>
      </c>
      <c r="D27" s="21">
        <f ca="1">'EBSCS Cap'!D17</f>
        <v>1327.8960509281196</v>
      </c>
      <c r="E27" s="21">
        <f ca="1">'EBSCS Cap'!E17</f>
        <v>4362.7960266548353</v>
      </c>
      <c r="F27" s="21">
        <f ca="1">'EBSCS Cap'!F17</f>
        <v>8512.5402933948935</v>
      </c>
      <c r="G27" s="21">
        <f ca="1">'EBSCS Cap'!G17</f>
        <v>84.505041873842856</v>
      </c>
      <c r="H27" s="21">
        <f ca="1">'EBSCS Cap'!H17</f>
        <v>0</v>
      </c>
      <c r="I27" s="21">
        <f ca="1">'EBSCS Cap'!I17</f>
        <v>0</v>
      </c>
      <c r="J27" s="21">
        <f ca="1">'EBSCS Cap'!J17</f>
        <v>0</v>
      </c>
      <c r="K27" s="21">
        <f ca="1">'EBSCS Cap'!K17</f>
        <v>0</v>
      </c>
      <c r="L27" s="21">
        <f ca="1">'EBSCS Cap'!L17</f>
        <v>0</v>
      </c>
      <c r="M27" s="21">
        <f ca="1">'EBSCS Cap'!M17</f>
        <v>0</v>
      </c>
      <c r="N27" s="21">
        <f ca="1">'EBSCS Cap'!N17</f>
        <v>0</v>
      </c>
      <c r="O27" s="21">
        <f ca="1">'EBSCS Cap'!O17</f>
        <v>0</v>
      </c>
      <c r="P27" s="21">
        <f ca="1">'EBSCS Cap'!P17</f>
        <v>0</v>
      </c>
      <c r="Q27" s="21">
        <f ca="1">'EBSCS Cap'!Q17</f>
        <v>0</v>
      </c>
      <c r="R27" s="21">
        <f ca="1">'EBSCS Cap'!R17</f>
        <v>0</v>
      </c>
      <c r="S27" s="21">
        <f ca="1">'EBSCS Cap'!S17</f>
        <v>0</v>
      </c>
      <c r="T27" s="21">
        <f ca="1">'EBSCS Cap'!T17</f>
        <v>0</v>
      </c>
      <c r="U27" s="21">
        <f ca="1">'EBSCS Cap'!U17</f>
        <v>0</v>
      </c>
      <c r="V27" s="21">
        <f ca="1">'EBSCS Cap'!V17</f>
        <v>0</v>
      </c>
      <c r="W27" s="21">
        <f ca="1">'EBSCS Cap'!W17</f>
        <v>0</v>
      </c>
      <c r="X27" s="22"/>
    </row>
    <row r="28" spans="1:24" x14ac:dyDescent="0.2">
      <c r="A28" s="2">
        <f t="shared" si="0"/>
        <v>28</v>
      </c>
      <c r="B28" s="1" t="s">
        <v>58</v>
      </c>
      <c r="D28" s="21">
        <f ca="1">'EBSCS Cap'!D8</f>
        <v>2342.5338239784287</v>
      </c>
      <c r="E28" s="21">
        <f ca="1">'EBSCS Cap'!E8</f>
        <v>6447.6412026853413</v>
      </c>
      <c r="F28" s="21">
        <f ca="1">'EBSCS Cap'!F8</f>
        <v>13717.448521850933</v>
      </c>
      <c r="G28" s="21">
        <f ca="1">'EBSCS Cap'!G8</f>
        <v>0</v>
      </c>
      <c r="H28" s="21">
        <f ca="1">'EBSCS Cap'!H8</f>
        <v>0</v>
      </c>
      <c r="I28" s="21">
        <f ca="1">'EBSCS Cap'!I8</f>
        <v>0</v>
      </c>
      <c r="J28" s="21">
        <f ca="1">'EBSCS Cap'!J8</f>
        <v>0</v>
      </c>
      <c r="K28" s="21">
        <f ca="1">'EBSCS Cap'!K8</f>
        <v>0</v>
      </c>
      <c r="L28" s="21">
        <f ca="1">'EBSCS Cap'!L8</f>
        <v>0</v>
      </c>
      <c r="M28" s="21">
        <f ca="1">'EBSCS Cap'!M8</f>
        <v>0</v>
      </c>
      <c r="N28" s="21">
        <f ca="1">'EBSCS Cap'!N8</f>
        <v>0</v>
      </c>
      <c r="O28" s="21">
        <f ca="1">'EBSCS Cap'!O8</f>
        <v>0</v>
      </c>
      <c r="P28" s="21">
        <f ca="1">'EBSCS Cap'!P8</f>
        <v>0</v>
      </c>
      <c r="Q28" s="21">
        <f ca="1">'EBSCS Cap'!Q8</f>
        <v>0</v>
      </c>
      <c r="R28" s="21">
        <f ca="1">'EBSCS Cap'!R8</f>
        <v>0</v>
      </c>
      <c r="S28" s="21">
        <f ca="1">'EBSCS Cap'!S8</f>
        <v>0</v>
      </c>
      <c r="T28" s="21">
        <f ca="1">'EBSCS Cap'!T8</f>
        <v>0</v>
      </c>
      <c r="U28" s="21">
        <f ca="1">'EBSCS Cap'!U8</f>
        <v>0</v>
      </c>
      <c r="V28" s="21">
        <f ca="1">'EBSCS Cap'!V8</f>
        <v>0</v>
      </c>
      <c r="W28" s="21">
        <f ca="1">'EBSCS Cap'!W8</f>
        <v>0</v>
      </c>
      <c r="X28" s="22"/>
    </row>
    <row r="29" spans="1:24" x14ac:dyDescent="0.2">
      <c r="A29" s="2">
        <f t="shared" si="0"/>
        <v>29</v>
      </c>
      <c r="B29" s="1" t="s">
        <v>33</v>
      </c>
      <c r="D29" s="21">
        <f ca="1">'EBSCS Tax'!D21</f>
        <v>-2354.5841984344897</v>
      </c>
      <c r="E29" s="21">
        <f ca="1">'EBSCS Tax'!E21</f>
        <v>-5523.3892424968071</v>
      </c>
      <c r="F29" s="21">
        <f ca="1">'EBSCS Tax'!F21</f>
        <v>-9025.8357126113187</v>
      </c>
      <c r="G29" s="21">
        <f ca="1">'EBSCS Tax'!G21</f>
        <v>-2686.038435568561</v>
      </c>
      <c r="H29" s="21">
        <f ca="1">'EBSCS Tax'!H21</f>
        <v>0</v>
      </c>
      <c r="I29" s="21">
        <f ca="1">'EBSCS Tax'!I21</f>
        <v>0</v>
      </c>
      <c r="J29" s="21">
        <f ca="1">'EBSCS Tax'!J21</f>
        <v>0</v>
      </c>
      <c r="K29" s="21">
        <f ca="1">'EBSCS Tax'!K21</f>
        <v>0</v>
      </c>
      <c r="L29" s="21">
        <f ca="1">'EBSCS Tax'!L21</f>
        <v>0</v>
      </c>
      <c r="M29" s="21">
        <f ca="1">'EBSCS Tax'!M21</f>
        <v>0</v>
      </c>
      <c r="N29" s="21">
        <f ca="1">'EBSCS Tax'!N21</f>
        <v>0</v>
      </c>
      <c r="O29" s="21">
        <f ca="1">'EBSCS Tax'!O21</f>
        <v>0</v>
      </c>
      <c r="P29" s="21">
        <f ca="1">'EBSCS Tax'!P21</f>
        <v>0</v>
      </c>
      <c r="Q29" s="21">
        <f ca="1">'EBSCS Tax'!Q21</f>
        <v>0</v>
      </c>
      <c r="R29" s="21">
        <f ca="1">'EBSCS Tax'!R21</f>
        <v>0</v>
      </c>
      <c r="S29" s="21">
        <f ca="1">'EBSCS Tax'!S21</f>
        <v>0</v>
      </c>
      <c r="T29" s="21">
        <f ca="1">'EBSCS Tax'!T21</f>
        <v>0</v>
      </c>
      <c r="U29" s="21">
        <f ca="1">'EBSCS Tax'!U21</f>
        <v>0</v>
      </c>
      <c r="V29" s="21">
        <f ca="1">'EBSCS Tax'!V21</f>
        <v>0</v>
      </c>
      <c r="W29" s="21">
        <f ca="1">'EBSCS Tax'!W21</f>
        <v>0</v>
      </c>
      <c r="X29" s="163"/>
    </row>
    <row r="30" spans="1:24" hidden="1" x14ac:dyDescent="0.2">
      <c r="A30" s="2">
        <f t="shared" si="0"/>
        <v>30</v>
      </c>
      <c r="B30" s="1" t="s">
        <v>35</v>
      </c>
      <c r="D30" s="21">
        <v>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163"/>
    </row>
    <row r="31" spans="1:24" x14ac:dyDescent="0.2">
      <c r="A31" s="2">
        <f t="shared" si="0"/>
        <v>31</v>
      </c>
      <c r="B31" s="9" t="s">
        <v>19</v>
      </c>
      <c r="C31" s="90"/>
      <c r="D31" s="29">
        <f t="shared" ref="D31:W31" ca="1" si="6">SUM(D25:D30)</f>
        <v>1315.8456764720586</v>
      </c>
      <c r="E31" s="29">
        <f t="shared" ca="1" si="6"/>
        <v>5287.0479868433686</v>
      </c>
      <c r="F31" s="29">
        <f t="shared" ca="1" si="6"/>
        <v>13204.153102634507</v>
      </c>
      <c r="G31" s="29">
        <f t="shared" ca="1" si="6"/>
        <v>-2601.5333936947181</v>
      </c>
      <c r="H31" s="29">
        <f t="shared" ca="1" si="6"/>
        <v>0</v>
      </c>
      <c r="I31" s="29">
        <f t="shared" ca="1" si="6"/>
        <v>0</v>
      </c>
      <c r="J31" s="29">
        <f t="shared" ca="1" si="6"/>
        <v>0</v>
      </c>
      <c r="K31" s="29">
        <f t="shared" ca="1" si="6"/>
        <v>0</v>
      </c>
      <c r="L31" s="29">
        <f t="shared" ca="1" si="6"/>
        <v>0</v>
      </c>
      <c r="M31" s="29">
        <f t="shared" ca="1" si="6"/>
        <v>0</v>
      </c>
      <c r="N31" s="29">
        <f t="shared" ca="1" si="6"/>
        <v>0</v>
      </c>
      <c r="O31" s="29">
        <f t="shared" ca="1" si="6"/>
        <v>0</v>
      </c>
      <c r="P31" s="29">
        <f t="shared" ca="1" si="6"/>
        <v>0</v>
      </c>
      <c r="Q31" s="29">
        <f t="shared" ca="1" si="6"/>
        <v>0</v>
      </c>
      <c r="R31" s="29">
        <f t="shared" ca="1" si="6"/>
        <v>0</v>
      </c>
      <c r="S31" s="29">
        <f t="shared" ca="1" si="6"/>
        <v>0</v>
      </c>
      <c r="T31" s="29">
        <f t="shared" ca="1" si="6"/>
        <v>0</v>
      </c>
      <c r="U31" s="29">
        <f t="shared" ca="1" si="6"/>
        <v>0</v>
      </c>
      <c r="V31" s="29">
        <f t="shared" ca="1" si="6"/>
        <v>0</v>
      </c>
      <c r="W31" s="29">
        <f t="shared" ca="1" si="6"/>
        <v>0</v>
      </c>
      <c r="X31" s="163"/>
    </row>
    <row r="32" spans="1:24" x14ac:dyDescent="0.2">
      <c r="A32" s="2">
        <f t="shared" si="0"/>
        <v>32</v>
      </c>
      <c r="X32" s="22"/>
    </row>
    <row r="33" spans="1:24" x14ac:dyDescent="0.2">
      <c r="A33" s="2">
        <f t="shared" si="0"/>
        <v>33</v>
      </c>
      <c r="B33" s="1" t="s">
        <v>271</v>
      </c>
      <c r="C33" s="1">
        <f>'EBSCS Cap'!C28</f>
        <v>1</v>
      </c>
      <c r="D33" s="1">
        <f>'EBSCS Cap'!D28</f>
        <v>1</v>
      </c>
      <c r="E33" s="1">
        <f>'EBSCS Cap'!E28</f>
        <v>1</v>
      </c>
      <c r="F33" s="1">
        <f>'EBSCS Cap'!F28</f>
        <v>1</v>
      </c>
      <c r="G33" s="1">
        <f>'EBSCS Cap'!G28</f>
        <v>1</v>
      </c>
      <c r="H33" s="1">
        <f>'EBSCS Cap'!H28</f>
        <v>1</v>
      </c>
      <c r="I33" s="1">
        <f>'EBSCS Cap'!I28</f>
        <v>1</v>
      </c>
      <c r="J33" s="1">
        <f>'EBSCS Cap'!J28</f>
        <v>1</v>
      </c>
      <c r="K33" s="1">
        <f>'EBSCS Cap'!K28</f>
        <v>1</v>
      </c>
      <c r="L33" s="1">
        <f>'EBSCS Cap'!L28</f>
        <v>1</v>
      </c>
      <c r="M33" s="1">
        <f>'EBSCS Cap'!M28</f>
        <v>1</v>
      </c>
      <c r="N33" s="1">
        <f>'EBSCS Cap'!N28</f>
        <v>1</v>
      </c>
      <c r="O33" s="1">
        <f>'EBSCS Cap'!O28</f>
        <v>1</v>
      </c>
      <c r="P33" s="1">
        <f>'EBSCS Cap'!P28</f>
        <v>1</v>
      </c>
      <c r="Q33" s="1">
        <f>'EBSCS Cap'!Q28</f>
        <v>1</v>
      </c>
      <c r="R33" s="1">
        <f>'EBSCS Cap'!R28</f>
        <v>1</v>
      </c>
      <c r="S33" s="1">
        <f>'EBSCS Cap'!S28</f>
        <v>1</v>
      </c>
      <c r="T33" s="1">
        <f>'EBSCS Cap'!T28</f>
        <v>1</v>
      </c>
      <c r="U33" s="1">
        <f>'EBSCS Cap'!U28</f>
        <v>1</v>
      </c>
      <c r="V33" s="1">
        <f>'EBSCS Cap'!V28</f>
        <v>1</v>
      </c>
      <c r="W33" s="1">
        <f>'EBSCS Cap'!W28</f>
        <v>1</v>
      </c>
      <c r="X33" s="22"/>
    </row>
    <row r="34" spans="1:24" x14ac:dyDescent="0.2">
      <c r="A34" s="2">
        <f t="shared" si="0"/>
        <v>34</v>
      </c>
      <c r="B34" s="1" t="s">
        <v>272</v>
      </c>
      <c r="C34" s="21">
        <f>'EBSCS Cap'!C82</f>
        <v>13124.163671496855</v>
      </c>
      <c r="D34" s="21">
        <f ca="1">'EBSCS Cap'!D82</f>
        <v>18317.984282910187</v>
      </c>
      <c r="E34" s="21">
        <f ca="1">'EBSCS Cap'!E82</f>
        <v>18317.984282910187</v>
      </c>
      <c r="F34" s="21">
        <f ca="1">'EBSCS Cap'!F82</f>
        <v>18317.984282910187</v>
      </c>
      <c r="G34" s="21">
        <f ca="1">'EBSCS Cap'!G82</f>
        <v>18317.984282910187</v>
      </c>
      <c r="H34" s="21">
        <f ca="1">'EBSCS Cap'!H82</f>
        <v>0</v>
      </c>
      <c r="I34" s="21">
        <f ca="1">'EBSCS Cap'!I82</f>
        <v>0</v>
      </c>
      <c r="J34" s="21">
        <f ca="1">'EBSCS Cap'!J82</f>
        <v>0</v>
      </c>
      <c r="K34" s="21">
        <f ca="1">'EBSCS Cap'!K82</f>
        <v>0</v>
      </c>
      <c r="L34" s="21">
        <f ca="1">'EBSCS Cap'!L82</f>
        <v>0</v>
      </c>
      <c r="M34" s="21">
        <f ca="1">'EBSCS Cap'!M82</f>
        <v>0</v>
      </c>
      <c r="N34" s="21">
        <f ca="1">'EBSCS Cap'!N82</f>
        <v>0</v>
      </c>
      <c r="O34" s="21">
        <f ca="1">'EBSCS Cap'!O82</f>
        <v>0</v>
      </c>
      <c r="P34" s="21">
        <f ca="1">'EBSCS Cap'!P82</f>
        <v>0</v>
      </c>
      <c r="Q34" s="21">
        <f ca="1">'EBSCS Cap'!Q82</f>
        <v>0</v>
      </c>
      <c r="R34" s="21">
        <f ca="1">'EBSCS Cap'!R82</f>
        <v>0</v>
      </c>
      <c r="S34" s="21">
        <f ca="1">'EBSCS Cap'!S82</f>
        <v>0</v>
      </c>
      <c r="T34" s="21">
        <f ca="1">'EBSCS Cap'!T82</f>
        <v>0</v>
      </c>
      <c r="U34" s="21">
        <f ca="1">'EBSCS Cap'!U82</f>
        <v>0</v>
      </c>
      <c r="V34" s="21">
        <f ca="1">'EBSCS Cap'!V82</f>
        <v>0</v>
      </c>
      <c r="W34" s="21">
        <f ca="1">'EBSCS Cap'!W82</f>
        <v>0</v>
      </c>
      <c r="X34" s="22"/>
    </row>
    <row r="35" spans="1:24" x14ac:dyDescent="0.2">
      <c r="A35" s="2">
        <f t="shared" si="0"/>
        <v>35</v>
      </c>
      <c r="B35" s="1" t="s">
        <v>36</v>
      </c>
      <c r="C35" s="21">
        <f>-Assumptions!C48</f>
        <v>-100</v>
      </c>
      <c r="D35" s="21">
        <f ca="1">'EBSCS IS'!D24+C35</f>
        <v>-3782.8111821667653</v>
      </c>
      <c r="E35" s="21">
        <f ca="1">D35+'EBSCS IS'!E24</f>
        <v>-8739.1472767257728</v>
      </c>
      <c r="F35" s="21">
        <f ca="1">E35+'EBSCS IS'!F24</f>
        <v>-14217.332781263853</v>
      </c>
      <c r="G35" s="21">
        <f ca="1">F35+'EBSCS IS'!G24</f>
        <v>-4301.2396043508234</v>
      </c>
      <c r="H35" s="21">
        <f ca="1">G35+'EBSCS IS'!H24</f>
        <v>5955.8940005798322</v>
      </c>
      <c r="I35" s="21">
        <f ca="1">H35+'EBSCS IS'!I24</f>
        <v>7365.91149679718</v>
      </c>
      <c r="J35" s="21">
        <f ca="1">I35+'EBSCS IS'!J24</f>
        <v>6064.0686796624032</v>
      </c>
      <c r="K35" s="21">
        <f ca="1">J35+'EBSCS IS'!K24</f>
        <v>5802.5728274030225</v>
      </c>
      <c r="L35" s="21">
        <f ca="1">K35+'EBSCS IS'!L24</f>
        <v>4715.8747601856849</v>
      </c>
      <c r="M35" s="21">
        <f ca="1">L35+'EBSCS IS'!M24</f>
        <v>4909.4952285249856</v>
      </c>
      <c r="N35" s="21">
        <f ca="1">M35+'EBSCS IS'!N24</f>
        <v>4390.3482019381445</v>
      </c>
      <c r="O35" s="21">
        <f ca="1">N35+'EBSCS IS'!O24</f>
        <v>3239.5748825247538</v>
      </c>
      <c r="P35" s="21">
        <f ca="1">O35+'EBSCS IS'!P24</f>
        <v>2704.404407640508</v>
      </c>
      <c r="Q35" s="21">
        <f ca="1">P35+'EBSCS IS'!Q24</f>
        <v>2012.8809766824088</v>
      </c>
      <c r="R35" s="21">
        <f ca="1">Q35+'EBSCS IS'!R24</f>
        <v>1906.2371916157681</v>
      </c>
      <c r="S35" s="21">
        <f ca="1">R35+'EBSCS IS'!S24</f>
        <v>1671.1058256592623</v>
      </c>
      <c r="T35" s="21">
        <f ca="1">S35+'EBSCS IS'!T24</f>
        <v>1316.6064000941369</v>
      </c>
      <c r="U35" s="21">
        <f ca="1">T35+'EBSCS IS'!U24</f>
        <v>1310.3676377748161</v>
      </c>
      <c r="V35" s="21">
        <f ca="1">U35+'EBSCS IS'!V24</f>
        <v>1067.5272295341383</v>
      </c>
      <c r="W35" s="21">
        <f ca="1">V35+'EBSCS IS'!W24</f>
        <v>972.72596950691877</v>
      </c>
      <c r="X35" s="22"/>
    </row>
    <row r="36" spans="1:24" x14ac:dyDescent="0.2">
      <c r="A36" s="2">
        <f t="shared" si="0"/>
        <v>36</v>
      </c>
      <c r="B36" s="9" t="s">
        <v>37</v>
      </c>
      <c r="C36" s="29">
        <f>SUM(C33:C35)</f>
        <v>13025.163671496855</v>
      </c>
      <c r="D36" s="29">
        <f t="shared" ref="D36:W36" ca="1" si="7">SUM(D33:D35)</f>
        <v>14536.173100743421</v>
      </c>
      <c r="E36" s="29">
        <f t="shared" ca="1" si="7"/>
        <v>9579.8370061844143</v>
      </c>
      <c r="F36" s="29">
        <f t="shared" ca="1" si="7"/>
        <v>4101.6515016463345</v>
      </c>
      <c r="G36" s="29">
        <f t="shared" ca="1" si="7"/>
        <v>14017.744678559364</v>
      </c>
      <c r="H36" s="29">
        <f t="shared" ca="1" si="7"/>
        <v>5956.8940005798322</v>
      </c>
      <c r="I36" s="29">
        <f t="shared" ca="1" si="7"/>
        <v>7366.91149679718</v>
      </c>
      <c r="J36" s="29">
        <f t="shared" ca="1" si="7"/>
        <v>6065.0686796624032</v>
      </c>
      <c r="K36" s="29">
        <f t="shared" ca="1" si="7"/>
        <v>5803.5728274030225</v>
      </c>
      <c r="L36" s="29">
        <f t="shared" ca="1" si="7"/>
        <v>4716.8747601856849</v>
      </c>
      <c r="M36" s="29">
        <f t="shared" ca="1" si="7"/>
        <v>4910.4952285249856</v>
      </c>
      <c r="N36" s="29">
        <f t="shared" ca="1" si="7"/>
        <v>4391.3482019381445</v>
      </c>
      <c r="O36" s="29">
        <f t="shared" ca="1" si="7"/>
        <v>3240.5748825247538</v>
      </c>
      <c r="P36" s="29">
        <f t="shared" ca="1" si="7"/>
        <v>2705.404407640508</v>
      </c>
      <c r="Q36" s="29">
        <f t="shared" ca="1" si="7"/>
        <v>2013.8809766824088</v>
      </c>
      <c r="R36" s="29">
        <f t="shared" ca="1" si="7"/>
        <v>1907.2371916157681</v>
      </c>
      <c r="S36" s="29">
        <f t="shared" ca="1" si="7"/>
        <v>1672.1058256592623</v>
      </c>
      <c r="T36" s="29">
        <f t="shared" ca="1" si="7"/>
        <v>1317.6064000941369</v>
      </c>
      <c r="U36" s="29">
        <f t="shared" ca="1" si="7"/>
        <v>1311.3676377748161</v>
      </c>
      <c r="V36" s="29">
        <f t="shared" ca="1" si="7"/>
        <v>1068.5272295341383</v>
      </c>
      <c r="W36" s="29">
        <f t="shared" ca="1" si="7"/>
        <v>973.72596950691877</v>
      </c>
      <c r="X36" s="22"/>
    </row>
    <row r="37" spans="1:24" x14ac:dyDescent="0.2">
      <c r="A37" s="2">
        <f t="shared" si="0"/>
        <v>37</v>
      </c>
      <c r="B37" s="9" t="s">
        <v>38</v>
      </c>
      <c r="C37" s="29">
        <f t="shared" ref="C37:W37" si="8">C31+C36</f>
        <v>13025.163671496855</v>
      </c>
      <c r="D37" s="29">
        <f t="shared" ca="1" si="8"/>
        <v>15852.018777215479</v>
      </c>
      <c r="E37" s="29">
        <f t="shared" ca="1" si="8"/>
        <v>14866.884993027783</v>
      </c>
      <c r="F37" s="29">
        <f t="shared" ca="1" si="8"/>
        <v>17305.804604280842</v>
      </c>
      <c r="G37" s="29">
        <f t="shared" ca="1" si="8"/>
        <v>11416.211284864647</v>
      </c>
      <c r="H37" s="29">
        <f t="shared" ca="1" si="8"/>
        <v>5956.8940005798322</v>
      </c>
      <c r="I37" s="29">
        <f t="shared" ca="1" si="8"/>
        <v>7366.91149679718</v>
      </c>
      <c r="J37" s="29">
        <f t="shared" ca="1" si="8"/>
        <v>6065.0686796624032</v>
      </c>
      <c r="K37" s="29">
        <f t="shared" ca="1" si="8"/>
        <v>5803.5728274030225</v>
      </c>
      <c r="L37" s="29">
        <f t="shared" ca="1" si="8"/>
        <v>4716.8747601856849</v>
      </c>
      <c r="M37" s="29">
        <f t="shared" ca="1" si="8"/>
        <v>4910.4952285249856</v>
      </c>
      <c r="N37" s="29">
        <f t="shared" ca="1" si="8"/>
        <v>4391.3482019381445</v>
      </c>
      <c r="O37" s="29">
        <f t="shared" ca="1" si="8"/>
        <v>3240.5748825247538</v>
      </c>
      <c r="P37" s="29">
        <f t="shared" ca="1" si="8"/>
        <v>2705.404407640508</v>
      </c>
      <c r="Q37" s="29">
        <f t="shared" ca="1" si="8"/>
        <v>2013.8809766824088</v>
      </c>
      <c r="R37" s="29">
        <f t="shared" ca="1" si="8"/>
        <v>1907.2371916157681</v>
      </c>
      <c r="S37" s="29">
        <f t="shared" ca="1" si="8"/>
        <v>1672.1058256592623</v>
      </c>
      <c r="T37" s="29">
        <f t="shared" ca="1" si="8"/>
        <v>1317.6064000941369</v>
      </c>
      <c r="U37" s="29">
        <f t="shared" ca="1" si="8"/>
        <v>1311.3676377748161</v>
      </c>
      <c r="V37" s="29">
        <f t="shared" ca="1" si="8"/>
        <v>1068.5272295341383</v>
      </c>
      <c r="W37" s="29">
        <f t="shared" ca="1" si="8"/>
        <v>973.72596950691877</v>
      </c>
      <c r="X37" s="22"/>
    </row>
    <row r="38" spans="1:24" x14ac:dyDescent="0.2">
      <c r="A38" s="2">
        <f t="shared" si="0"/>
        <v>38</v>
      </c>
    </row>
    <row r="39" spans="1:24" x14ac:dyDescent="0.2">
      <c r="A39" s="2">
        <f t="shared" si="0"/>
        <v>39</v>
      </c>
      <c r="B39" s="1" t="s">
        <v>59</v>
      </c>
      <c r="C39" s="21">
        <f t="shared" ref="C39:W39" si="9">C17-C37</f>
        <v>0</v>
      </c>
      <c r="D39" s="21">
        <f t="shared" ca="1" si="9"/>
        <v>0</v>
      </c>
      <c r="E39" s="21">
        <f t="shared" ca="1" si="9"/>
        <v>0</v>
      </c>
      <c r="F39" s="21">
        <f t="shared" ca="1" si="9"/>
        <v>0</v>
      </c>
      <c r="G39" s="21">
        <f t="shared" ca="1" si="9"/>
        <v>0</v>
      </c>
      <c r="H39" s="21">
        <f t="shared" ca="1" si="9"/>
        <v>0</v>
      </c>
      <c r="I39" s="21">
        <f t="shared" ca="1" si="9"/>
        <v>0</v>
      </c>
      <c r="J39" s="21">
        <f t="shared" ca="1" si="9"/>
        <v>0</v>
      </c>
      <c r="K39" s="21">
        <f t="shared" ca="1" si="9"/>
        <v>0</v>
      </c>
      <c r="L39" s="21">
        <f t="shared" ca="1" si="9"/>
        <v>0</v>
      </c>
      <c r="M39" s="21">
        <f t="shared" ca="1" si="9"/>
        <v>1.8189894035458565E-11</v>
      </c>
      <c r="N39" s="21">
        <f t="shared" ca="1" si="9"/>
        <v>-1.0913936421275139E-11</v>
      </c>
      <c r="O39" s="21">
        <f t="shared" ca="1" si="9"/>
        <v>-1.0913936421275139E-11</v>
      </c>
      <c r="P39" s="21">
        <f t="shared" ca="1" si="9"/>
        <v>3.637978807091713E-12</v>
      </c>
      <c r="Q39" s="21">
        <f t="shared" ca="1" si="9"/>
        <v>-1.0913936421275139E-11</v>
      </c>
      <c r="R39" s="21">
        <f t="shared" ca="1" si="9"/>
        <v>-3.637978807091713E-12</v>
      </c>
      <c r="S39" s="21">
        <f t="shared" ca="1" si="9"/>
        <v>-1.0913936421275139E-11</v>
      </c>
      <c r="T39" s="21">
        <f t="shared" ca="1" si="9"/>
        <v>-1.0913936421275139E-11</v>
      </c>
      <c r="U39" s="21">
        <f t="shared" ca="1" si="9"/>
        <v>-1.0913936421275139E-11</v>
      </c>
      <c r="V39" s="21">
        <f t="shared" ca="1" si="9"/>
        <v>-4.0017766878008842E-11</v>
      </c>
      <c r="W39" s="21">
        <f t="shared" ca="1" si="9"/>
        <v>-4.7293724492192268E-11</v>
      </c>
    </row>
    <row r="40" spans="1:24" x14ac:dyDescent="0.2">
      <c r="A40" s="2">
        <f t="shared" si="0"/>
        <v>40</v>
      </c>
      <c r="B40"/>
    </row>
  </sheetData>
  <pageMargins left="0.75" right="0.75" top="1" bottom="1" header="0.5" footer="0.5"/>
  <pageSetup paperSize="5" scale="6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3"/>
  <sheetViews>
    <sheetView zoomScale="75" workbookViewId="0">
      <pane xSplit="2" ySplit="2" topLeftCell="C3" activePane="bottomRight" state="frozenSplit"/>
      <selection activeCell="C9" sqref="C9"/>
      <selection pane="topRight" activeCell="C9" sqref="C9"/>
      <selection pane="bottomLeft" activeCell="C9" sqref="C9"/>
      <selection pane="bottomRight" activeCell="C3" sqref="C3"/>
    </sheetView>
  </sheetViews>
  <sheetFormatPr defaultRowHeight="12.75" x14ac:dyDescent="0.2"/>
  <cols>
    <col min="1" max="1" width="3.85546875" style="10" customWidth="1"/>
    <col min="2" max="2" width="26.5703125" style="1" customWidth="1"/>
    <col min="3" max="3" width="10" style="1" customWidth="1"/>
    <col min="4" max="12" width="8.42578125" style="21" customWidth="1"/>
    <col min="13" max="19" width="9.85546875" style="21" customWidth="1"/>
    <col min="20" max="20" width="9.42578125" style="21" customWidth="1"/>
    <col min="21" max="22" width="9.28515625" style="21" customWidth="1"/>
    <col min="23" max="23" width="9.140625" style="21"/>
    <col min="24" max="24" width="9.140625" style="30"/>
    <col min="25" max="27" width="9.140625" style="25"/>
    <col min="28" max="16384" width="9.140625" style="1"/>
  </cols>
  <sheetData>
    <row r="1" spans="1:27" x14ac:dyDescent="0.2">
      <c r="A1" s="2">
        <v>1</v>
      </c>
      <c r="B1" s="3" t="s">
        <v>201</v>
      </c>
      <c r="C1" s="3"/>
      <c r="X1" s="24" t="s">
        <v>9</v>
      </c>
    </row>
    <row r="2" spans="1:27" s="13" customFormat="1" x14ac:dyDescent="0.2">
      <c r="A2" s="14">
        <f t="shared" ref="A2:A32" si="0">A1+1</f>
        <v>2</v>
      </c>
      <c r="C2" s="92" t="s">
        <v>158</v>
      </c>
      <c r="D2" s="28">
        <v>2001</v>
      </c>
      <c r="E2" s="28">
        <f t="shared" ref="E2:W2" si="1">D2+1</f>
        <v>2002</v>
      </c>
      <c r="F2" s="28">
        <f t="shared" si="1"/>
        <v>2003</v>
      </c>
      <c r="G2" s="28">
        <f t="shared" si="1"/>
        <v>2004</v>
      </c>
      <c r="H2" s="28">
        <f t="shared" si="1"/>
        <v>2005</v>
      </c>
      <c r="I2" s="28">
        <f t="shared" si="1"/>
        <v>2006</v>
      </c>
      <c r="J2" s="28">
        <f t="shared" si="1"/>
        <v>2007</v>
      </c>
      <c r="K2" s="28">
        <f t="shared" si="1"/>
        <v>2008</v>
      </c>
      <c r="L2" s="28">
        <f t="shared" si="1"/>
        <v>2009</v>
      </c>
      <c r="M2" s="28">
        <f t="shared" si="1"/>
        <v>2010</v>
      </c>
      <c r="N2" s="28">
        <f t="shared" si="1"/>
        <v>2011</v>
      </c>
      <c r="O2" s="28">
        <f t="shared" si="1"/>
        <v>2012</v>
      </c>
      <c r="P2" s="28">
        <f t="shared" si="1"/>
        <v>2013</v>
      </c>
      <c r="Q2" s="28">
        <f t="shared" si="1"/>
        <v>2014</v>
      </c>
      <c r="R2" s="28">
        <f t="shared" si="1"/>
        <v>2015</v>
      </c>
      <c r="S2" s="28">
        <f t="shared" si="1"/>
        <v>2016</v>
      </c>
      <c r="T2" s="28">
        <f t="shared" si="1"/>
        <v>2017</v>
      </c>
      <c r="U2" s="28">
        <f t="shared" si="1"/>
        <v>2018</v>
      </c>
      <c r="V2" s="28">
        <f t="shared" si="1"/>
        <v>2019</v>
      </c>
      <c r="W2" s="28">
        <f t="shared" si="1"/>
        <v>2020</v>
      </c>
      <c r="X2" s="22"/>
      <c r="Y2" s="25"/>
      <c r="Z2" s="25"/>
      <c r="AA2" s="25"/>
    </row>
    <row r="3" spans="1:27" s="13" customFormat="1" x14ac:dyDescent="0.2">
      <c r="A3" s="14">
        <f t="shared" si="0"/>
        <v>3</v>
      </c>
      <c r="B3" s="85" t="s">
        <v>150</v>
      </c>
      <c r="C3" s="85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2"/>
      <c r="Y3" s="25"/>
      <c r="Z3" s="25"/>
      <c r="AA3" s="25"/>
    </row>
    <row r="4" spans="1:27" x14ac:dyDescent="0.2">
      <c r="A4" s="14">
        <f t="shared" si="0"/>
        <v>4</v>
      </c>
      <c r="B4" s="1" t="s">
        <v>22</v>
      </c>
      <c r="D4" s="21">
        <f ca="1">'EBSCS IS'!D19</f>
        <v>-6037.3953806012551</v>
      </c>
      <c r="E4" s="21">
        <f ca="1">'EBSCS IS'!E19</f>
        <v>-8125.1411386213258</v>
      </c>
      <c r="F4" s="21">
        <f ca="1">'EBSCS IS'!F19</f>
        <v>-8980.6319746525915</v>
      </c>
      <c r="G4" s="21">
        <f ca="1">'EBSCS IS'!G19</f>
        <v>16255.890453955788</v>
      </c>
      <c r="H4" s="21">
        <f ca="1">'EBSCS IS'!H19</f>
        <v>45877.848967097292</v>
      </c>
      <c r="I4" s="21">
        <f ca="1">'EBSCS IS'!I19</f>
        <v>79734.99750299225</v>
      </c>
      <c r="J4" s="21">
        <f ca="1">'EBSCS IS'!J19</f>
        <v>118221.33287398817</v>
      </c>
      <c r="K4" s="21">
        <f ca="1">'EBSCS IS'!K19</f>
        <v>157869.05358196277</v>
      </c>
      <c r="L4" s="21">
        <f ca="1">'EBSCS IS'!L19</f>
        <v>199354.52629121669</v>
      </c>
      <c r="M4" s="21">
        <f ca="1">'EBSCS IS'!M19</f>
        <v>241659.73028779711</v>
      </c>
      <c r="N4" s="21">
        <f ca="1">'EBSCS IS'!N19</f>
        <v>269228.67490387417</v>
      </c>
      <c r="O4" s="21">
        <f ca="1">'EBSCS IS'!O19</f>
        <v>301473.75595107785</v>
      </c>
      <c r="P4" s="21">
        <f ca="1">'EBSCS IS'!P19</f>
        <v>332489.86706226034</v>
      </c>
      <c r="Q4" s="21">
        <f ca="1">'EBSCS IS'!Q19</f>
        <v>365395.6744082722</v>
      </c>
      <c r="R4" s="21">
        <f ca="1">'EBSCS IS'!R19</f>
        <v>395953.04209473333</v>
      </c>
      <c r="S4" s="21">
        <f ca="1">'EBSCS IS'!S19</f>
        <v>423169.21215529786</v>
      </c>
      <c r="T4" s="21">
        <f ca="1">'EBSCS IS'!T19</f>
        <v>451479.01750837092</v>
      </c>
      <c r="U4" s="21">
        <f ca="1">'EBSCS IS'!U19</f>
        <v>491292.92158199899</v>
      </c>
      <c r="V4" s="21">
        <f ca="1">'EBSCS IS'!V19</f>
        <v>533239.66017625574</v>
      </c>
      <c r="W4" s="21">
        <f ca="1">'EBSCS IS'!W19</f>
        <v>577466.83166909311</v>
      </c>
      <c r="X4" s="22"/>
    </row>
    <row r="5" spans="1:27" x14ac:dyDescent="0.2">
      <c r="A5" s="14">
        <f t="shared" si="0"/>
        <v>5</v>
      </c>
      <c r="B5" s="1" t="s">
        <v>23</v>
      </c>
      <c r="D5" s="31">
        <f>Assumptions!$C$94</f>
        <v>0.39</v>
      </c>
      <c r="E5" s="31">
        <f t="shared" ref="E5:W5" si="2">D5</f>
        <v>0.39</v>
      </c>
      <c r="F5" s="31">
        <f t="shared" si="2"/>
        <v>0.39</v>
      </c>
      <c r="G5" s="31">
        <f t="shared" si="2"/>
        <v>0.39</v>
      </c>
      <c r="H5" s="31">
        <f t="shared" si="2"/>
        <v>0.39</v>
      </c>
      <c r="I5" s="31">
        <f t="shared" si="2"/>
        <v>0.39</v>
      </c>
      <c r="J5" s="31">
        <f t="shared" si="2"/>
        <v>0.39</v>
      </c>
      <c r="K5" s="31">
        <f t="shared" si="2"/>
        <v>0.39</v>
      </c>
      <c r="L5" s="31">
        <f t="shared" si="2"/>
        <v>0.39</v>
      </c>
      <c r="M5" s="31">
        <f t="shared" si="2"/>
        <v>0.39</v>
      </c>
      <c r="N5" s="31">
        <f t="shared" si="2"/>
        <v>0.39</v>
      </c>
      <c r="O5" s="31">
        <f t="shared" si="2"/>
        <v>0.39</v>
      </c>
      <c r="P5" s="31">
        <f t="shared" si="2"/>
        <v>0.39</v>
      </c>
      <c r="Q5" s="31">
        <f t="shared" si="2"/>
        <v>0.39</v>
      </c>
      <c r="R5" s="31">
        <f t="shared" si="2"/>
        <v>0.39</v>
      </c>
      <c r="S5" s="31">
        <f t="shared" si="2"/>
        <v>0.39</v>
      </c>
      <c r="T5" s="31">
        <f t="shared" si="2"/>
        <v>0.39</v>
      </c>
      <c r="U5" s="31">
        <f t="shared" si="2"/>
        <v>0.39</v>
      </c>
      <c r="V5" s="31">
        <f t="shared" si="2"/>
        <v>0.39</v>
      </c>
      <c r="W5" s="31">
        <f t="shared" si="2"/>
        <v>0.39</v>
      </c>
      <c r="X5" s="22"/>
    </row>
    <row r="6" spans="1:27" x14ac:dyDescent="0.2">
      <c r="A6" s="2">
        <f t="shared" si="0"/>
        <v>6</v>
      </c>
      <c r="B6" s="1" t="s">
        <v>152</v>
      </c>
      <c r="D6" s="21">
        <f t="shared" ref="D6:W6" ca="1" si="3">D4*D5</f>
        <v>-2354.5841984344897</v>
      </c>
      <c r="E6" s="21">
        <f t="shared" ca="1" si="3"/>
        <v>-3168.8050440623174</v>
      </c>
      <c r="F6" s="21">
        <f t="shared" ca="1" si="3"/>
        <v>-3502.4464701145107</v>
      </c>
      <c r="G6" s="21">
        <f t="shared" ca="1" si="3"/>
        <v>6339.7972770427577</v>
      </c>
      <c r="H6" s="21">
        <f t="shared" ca="1" si="3"/>
        <v>17892.361097167945</v>
      </c>
      <c r="I6" s="21">
        <f t="shared" ca="1" si="3"/>
        <v>31096.649026166979</v>
      </c>
      <c r="J6" s="21">
        <f t="shared" ca="1" si="3"/>
        <v>46106.319820855388</v>
      </c>
      <c r="K6" s="21">
        <f t="shared" ca="1" si="3"/>
        <v>61568.930896965481</v>
      </c>
      <c r="L6" s="21">
        <f t="shared" ca="1" si="3"/>
        <v>77748.265253574515</v>
      </c>
      <c r="M6" s="21">
        <f t="shared" ca="1" si="3"/>
        <v>94247.294812240871</v>
      </c>
      <c r="N6" s="21">
        <f t="shared" ca="1" si="3"/>
        <v>104999.18321251094</v>
      </c>
      <c r="O6" s="21">
        <f t="shared" ca="1" si="3"/>
        <v>117574.76482092036</v>
      </c>
      <c r="P6" s="21">
        <f t="shared" ca="1" si="3"/>
        <v>129671.04815428154</v>
      </c>
      <c r="Q6" s="21">
        <f t="shared" ca="1" si="3"/>
        <v>142504.31301922616</v>
      </c>
      <c r="R6" s="21">
        <f t="shared" ca="1" si="3"/>
        <v>154421.686416946</v>
      </c>
      <c r="S6" s="21">
        <f t="shared" ca="1" si="3"/>
        <v>165035.99274056617</v>
      </c>
      <c r="T6" s="21">
        <f t="shared" ca="1" si="3"/>
        <v>176076.81682826465</v>
      </c>
      <c r="U6" s="21">
        <f t="shared" ca="1" si="3"/>
        <v>191604.2394169796</v>
      </c>
      <c r="V6" s="21">
        <f t="shared" ca="1" si="3"/>
        <v>207963.46746873975</v>
      </c>
      <c r="W6" s="21">
        <f t="shared" ca="1" si="3"/>
        <v>225212.06435094631</v>
      </c>
      <c r="X6" s="22"/>
    </row>
    <row r="7" spans="1:27" x14ac:dyDescent="0.2">
      <c r="A7" s="2">
        <f t="shared" si="0"/>
        <v>7</v>
      </c>
      <c r="M7" s="32"/>
      <c r="X7" s="22"/>
    </row>
    <row r="8" spans="1:27" x14ac:dyDescent="0.2">
      <c r="A8" s="2">
        <f t="shared" si="0"/>
        <v>8</v>
      </c>
      <c r="B8" s="85" t="s">
        <v>151</v>
      </c>
      <c r="C8" s="85"/>
      <c r="X8" s="22"/>
    </row>
    <row r="9" spans="1:27" x14ac:dyDescent="0.2">
      <c r="A9" s="2">
        <f t="shared" si="0"/>
        <v>9</v>
      </c>
      <c r="B9" s="1" t="s">
        <v>22</v>
      </c>
      <c r="D9" s="21">
        <f ca="1">'EBSCS (cashtax)'!D19</f>
        <v>-6037.3953806012551</v>
      </c>
      <c r="E9" s="21">
        <f ca="1">'EBSCS (cashtax)'!E19</f>
        <v>-8125.1411386213258</v>
      </c>
      <c r="F9" s="21">
        <f ca="1">'EBSCS (cashtax)'!F19</f>
        <v>-8980.6319746525915</v>
      </c>
      <c r="G9" s="21">
        <f ca="1">'EBSCS (cashtax)'!G19</f>
        <v>16255.890453955788</v>
      </c>
      <c r="H9" s="21">
        <f ca="1">'EBSCS (cashtax)'!H19</f>
        <v>45877.848967097292</v>
      </c>
      <c r="I9" s="21">
        <f ca="1">'EBSCS (cashtax)'!I19</f>
        <v>79734.99750299225</v>
      </c>
      <c r="J9" s="21">
        <f ca="1">'EBSCS (cashtax)'!J19</f>
        <v>118221.33287398817</v>
      </c>
      <c r="K9" s="21">
        <f ca="1">'EBSCS (cashtax)'!K19</f>
        <v>157869.05358196277</v>
      </c>
      <c r="L9" s="21">
        <f ca="1">'EBSCS (cashtax)'!L19</f>
        <v>199354.52629121669</v>
      </c>
      <c r="M9" s="21">
        <f ca="1">'EBSCS (cashtax)'!M19</f>
        <v>241659.73028779711</v>
      </c>
      <c r="N9" s="21">
        <f ca="1">'EBSCS (cashtax)'!N19</f>
        <v>269228.67490387417</v>
      </c>
      <c r="O9" s="21">
        <f ca="1">'EBSCS (cashtax)'!O19</f>
        <v>301473.75595107785</v>
      </c>
      <c r="P9" s="21">
        <f ca="1">'EBSCS (cashtax)'!P19</f>
        <v>332489.86706226034</v>
      </c>
      <c r="Q9" s="21">
        <f ca="1">'EBSCS (cashtax)'!Q19</f>
        <v>365395.6744082722</v>
      </c>
      <c r="R9" s="21">
        <f ca="1">'EBSCS (cashtax)'!R19</f>
        <v>395953.04209473333</v>
      </c>
      <c r="S9" s="21">
        <f ca="1">'EBSCS (cashtax)'!S19</f>
        <v>423169.21215529786</v>
      </c>
      <c r="T9" s="21">
        <f ca="1">'EBSCS (cashtax)'!T19</f>
        <v>451479.01750837092</v>
      </c>
      <c r="U9" s="21">
        <f ca="1">'EBSCS (cashtax)'!U19</f>
        <v>491292.92158199899</v>
      </c>
      <c r="V9" s="21">
        <f ca="1">'EBSCS (cashtax)'!V19</f>
        <v>533239.66017625574</v>
      </c>
      <c r="W9" s="21">
        <f ca="1">'EBSCS (cashtax)'!W19</f>
        <v>577466.83166909311</v>
      </c>
      <c r="X9" s="22"/>
    </row>
    <row r="10" spans="1:27" x14ac:dyDescent="0.2">
      <c r="A10" s="2">
        <f t="shared" si="0"/>
        <v>10</v>
      </c>
      <c r="B10" s="1" t="s">
        <v>23</v>
      </c>
      <c r="D10" s="31">
        <f>Assumptions!$C$94</f>
        <v>0.39</v>
      </c>
      <c r="E10" s="31">
        <f t="shared" ref="E10:W10" si="4">D10</f>
        <v>0.39</v>
      </c>
      <c r="F10" s="31">
        <f t="shared" si="4"/>
        <v>0.39</v>
      </c>
      <c r="G10" s="31">
        <f t="shared" si="4"/>
        <v>0.39</v>
      </c>
      <c r="H10" s="31">
        <f t="shared" si="4"/>
        <v>0.39</v>
      </c>
      <c r="I10" s="31">
        <f t="shared" si="4"/>
        <v>0.39</v>
      </c>
      <c r="J10" s="31">
        <f t="shared" si="4"/>
        <v>0.39</v>
      </c>
      <c r="K10" s="31">
        <f t="shared" si="4"/>
        <v>0.39</v>
      </c>
      <c r="L10" s="31">
        <f t="shared" si="4"/>
        <v>0.39</v>
      </c>
      <c r="M10" s="31">
        <f t="shared" si="4"/>
        <v>0.39</v>
      </c>
      <c r="N10" s="31">
        <f t="shared" si="4"/>
        <v>0.39</v>
      </c>
      <c r="O10" s="31">
        <f t="shared" si="4"/>
        <v>0.39</v>
      </c>
      <c r="P10" s="31">
        <f t="shared" si="4"/>
        <v>0.39</v>
      </c>
      <c r="Q10" s="31">
        <f t="shared" si="4"/>
        <v>0.39</v>
      </c>
      <c r="R10" s="31">
        <f t="shared" si="4"/>
        <v>0.39</v>
      </c>
      <c r="S10" s="31">
        <f t="shared" si="4"/>
        <v>0.39</v>
      </c>
      <c r="T10" s="31">
        <f t="shared" si="4"/>
        <v>0.39</v>
      </c>
      <c r="U10" s="31">
        <f t="shared" si="4"/>
        <v>0.39</v>
      </c>
      <c r="V10" s="31">
        <f t="shared" si="4"/>
        <v>0.39</v>
      </c>
      <c r="W10" s="31">
        <f t="shared" si="4"/>
        <v>0.39</v>
      </c>
      <c r="X10" s="22"/>
    </row>
    <row r="11" spans="1:27" x14ac:dyDescent="0.2">
      <c r="A11" s="2">
        <f t="shared" si="0"/>
        <v>11</v>
      </c>
      <c r="B11" s="1" t="s">
        <v>153</v>
      </c>
      <c r="D11" s="21">
        <f t="shared" ref="D11:W11" ca="1" si="5">D9*D10</f>
        <v>-2354.5841984344897</v>
      </c>
      <c r="E11" s="21">
        <f t="shared" ca="1" si="5"/>
        <v>-3168.8050440623174</v>
      </c>
      <c r="F11" s="21">
        <f t="shared" ca="1" si="5"/>
        <v>-3502.4464701145107</v>
      </c>
      <c r="G11" s="21">
        <f t="shared" ca="1" si="5"/>
        <v>6339.7972770427577</v>
      </c>
      <c r="H11" s="21">
        <f t="shared" ca="1" si="5"/>
        <v>17892.361097167945</v>
      </c>
      <c r="I11" s="21">
        <f t="shared" ca="1" si="5"/>
        <v>31096.649026166979</v>
      </c>
      <c r="J11" s="21">
        <f t="shared" ca="1" si="5"/>
        <v>46106.319820855388</v>
      </c>
      <c r="K11" s="21">
        <f t="shared" ca="1" si="5"/>
        <v>61568.930896965481</v>
      </c>
      <c r="L11" s="21">
        <f t="shared" ca="1" si="5"/>
        <v>77748.265253574515</v>
      </c>
      <c r="M11" s="21">
        <f t="shared" ca="1" si="5"/>
        <v>94247.294812240871</v>
      </c>
      <c r="N11" s="21">
        <f t="shared" ca="1" si="5"/>
        <v>104999.18321251094</v>
      </c>
      <c r="O11" s="21">
        <f t="shared" ca="1" si="5"/>
        <v>117574.76482092036</v>
      </c>
      <c r="P11" s="21">
        <f t="shared" ca="1" si="5"/>
        <v>129671.04815428154</v>
      </c>
      <c r="Q11" s="21">
        <f t="shared" ca="1" si="5"/>
        <v>142504.31301922616</v>
      </c>
      <c r="R11" s="21">
        <f t="shared" ca="1" si="5"/>
        <v>154421.686416946</v>
      </c>
      <c r="S11" s="21">
        <f t="shared" ca="1" si="5"/>
        <v>165035.99274056617</v>
      </c>
      <c r="T11" s="21">
        <f t="shared" ca="1" si="5"/>
        <v>176076.81682826465</v>
      </c>
      <c r="U11" s="21">
        <f t="shared" ca="1" si="5"/>
        <v>191604.2394169796</v>
      </c>
      <c r="V11" s="21">
        <f t="shared" ca="1" si="5"/>
        <v>207963.46746873975</v>
      </c>
      <c r="W11" s="21">
        <f t="shared" ca="1" si="5"/>
        <v>225212.06435094631</v>
      </c>
      <c r="X11" s="22"/>
    </row>
    <row r="12" spans="1:27" x14ac:dyDescent="0.2">
      <c r="A12" s="2">
        <f t="shared" si="0"/>
        <v>12</v>
      </c>
      <c r="M12" s="32"/>
      <c r="X12" s="22"/>
    </row>
    <row r="13" spans="1:27" x14ac:dyDescent="0.2">
      <c r="A13" s="2">
        <f>A12+1</f>
        <v>13</v>
      </c>
      <c r="B13" s="1" t="s">
        <v>54</v>
      </c>
      <c r="D13" s="21">
        <f t="shared" ref="D13:W13" ca="1" si="6">IF(D11&lt;0,-D11,0)</f>
        <v>2354.5841984344897</v>
      </c>
      <c r="E13" s="21">
        <f t="shared" ca="1" si="6"/>
        <v>3168.8050440623174</v>
      </c>
      <c r="F13" s="21">
        <f t="shared" ca="1" si="6"/>
        <v>3502.4464701145107</v>
      </c>
      <c r="G13" s="21">
        <f t="shared" ca="1" si="6"/>
        <v>0</v>
      </c>
      <c r="H13" s="21">
        <f t="shared" ca="1" si="6"/>
        <v>0</v>
      </c>
      <c r="I13" s="21">
        <f t="shared" ca="1" si="6"/>
        <v>0</v>
      </c>
      <c r="J13" s="21">
        <f t="shared" ca="1" si="6"/>
        <v>0</v>
      </c>
      <c r="K13" s="21">
        <f t="shared" ca="1" si="6"/>
        <v>0</v>
      </c>
      <c r="L13" s="21">
        <f t="shared" ca="1" si="6"/>
        <v>0</v>
      </c>
      <c r="M13" s="21">
        <f t="shared" ca="1" si="6"/>
        <v>0</v>
      </c>
      <c r="N13" s="21">
        <f t="shared" ca="1" si="6"/>
        <v>0</v>
      </c>
      <c r="O13" s="21">
        <f t="shared" ca="1" si="6"/>
        <v>0</v>
      </c>
      <c r="P13" s="21">
        <f t="shared" ca="1" si="6"/>
        <v>0</v>
      </c>
      <c r="Q13" s="21">
        <f t="shared" ca="1" si="6"/>
        <v>0</v>
      </c>
      <c r="R13" s="21">
        <f t="shared" ca="1" si="6"/>
        <v>0</v>
      </c>
      <c r="S13" s="21">
        <f t="shared" ca="1" si="6"/>
        <v>0</v>
      </c>
      <c r="T13" s="21">
        <f t="shared" ca="1" si="6"/>
        <v>0</v>
      </c>
      <c r="U13" s="21">
        <f t="shared" ca="1" si="6"/>
        <v>0</v>
      </c>
      <c r="V13" s="21">
        <f t="shared" ca="1" si="6"/>
        <v>0</v>
      </c>
      <c r="W13" s="21">
        <f t="shared" ca="1" si="6"/>
        <v>0</v>
      </c>
      <c r="X13" s="22"/>
    </row>
    <row r="14" spans="1:27" x14ac:dyDescent="0.2">
      <c r="A14" s="2">
        <f t="shared" si="0"/>
        <v>14</v>
      </c>
      <c r="B14" s="1" t="s">
        <v>66</v>
      </c>
      <c r="D14" s="21">
        <f ca="1">IF(D13&gt;0,SUM($D$13:D13),IF(C14-D11&gt;=0,C14-D11,0))</f>
        <v>2354.5841984344897</v>
      </c>
      <c r="E14" s="21">
        <f ca="1">IF(E13&gt;0,SUM($D$13:E13),IF(D14-E11&gt;=0,D14-E11,0))</f>
        <v>5523.3892424968071</v>
      </c>
      <c r="F14" s="21">
        <f ca="1">IF(F13&gt;0,SUM($D$13:F13),IF(E14-F11&gt;=0,E14-F11,0))</f>
        <v>9025.8357126113187</v>
      </c>
      <c r="G14" s="21">
        <f ca="1">IF(G13&gt;0,SUM($D$13:G13),IF(F14-G11&gt;=0,F14-G11,0))</f>
        <v>2686.038435568561</v>
      </c>
      <c r="H14" s="21">
        <f ca="1">IF(H13&gt;0,SUM($D$13:H13),IF(G14-H11&gt;=0,G14-H11,0))</f>
        <v>0</v>
      </c>
      <c r="I14" s="21">
        <f ca="1">IF(I13&gt;0,SUM($D$13:I13),IF(H14-I11&gt;=0,H14-I11,0))</f>
        <v>0</v>
      </c>
      <c r="J14" s="21">
        <f ca="1">IF(J13&gt;0,SUM($D$13:J13),IF(I14-J11&gt;=0,I14-J11,0))</f>
        <v>0</v>
      </c>
      <c r="K14" s="21">
        <f ca="1">IF(K13&gt;0,SUM($D$13:K13),IF(J14-K11&gt;=0,J14-K11,0))</f>
        <v>0</v>
      </c>
      <c r="L14" s="21">
        <f ca="1">IF(L13&gt;0,SUM($D$13:L13),IF(K14-L11&gt;=0,K14-L11,0))</f>
        <v>0</v>
      </c>
      <c r="M14" s="21">
        <f ca="1">IF(M13&gt;0,SUM($D$13:M13),IF(L14-M11&gt;=0,L14-M11,0))</f>
        <v>0</v>
      </c>
      <c r="N14" s="21">
        <f ca="1">IF(N13&gt;0,SUM($D$13:N13),IF(M14-N11&gt;=0,M14-N11,0))</f>
        <v>0</v>
      </c>
      <c r="O14" s="21">
        <f ca="1">IF(O13&gt;0,SUM($D$13:O13),IF(N14-O11&gt;=0,N14-O11,0))</f>
        <v>0</v>
      </c>
      <c r="P14" s="21">
        <f ca="1">IF(P13&gt;0,SUM($D$13:P13),IF(O14-P11&gt;=0,O14-P11,0))</f>
        <v>0</v>
      </c>
      <c r="Q14" s="21">
        <f ca="1">IF(Q13&gt;0,SUM($D$13:Q13),IF(P14-Q11&gt;=0,P14-Q11,0))</f>
        <v>0</v>
      </c>
      <c r="R14" s="21">
        <f ca="1">IF(R13&gt;0,SUM($D$13:R13),IF(Q14-R11&gt;=0,Q14-R11,0))</f>
        <v>0</v>
      </c>
      <c r="S14" s="21">
        <f ca="1">IF(S13&gt;0,SUM($D$13:S13),IF(R14-S11&gt;=0,R14-S11,0))</f>
        <v>0</v>
      </c>
      <c r="T14" s="21">
        <f ca="1">IF(T13&gt;0,SUM($D$13:T13),IF(S14-T11&gt;=0,S14-T11,0))</f>
        <v>0</v>
      </c>
      <c r="U14" s="21">
        <f ca="1">IF(U13&gt;0,SUM($D$13:U13),IF(T14-U11&gt;=0,T14-U11,0))</f>
        <v>0</v>
      </c>
      <c r="V14" s="21">
        <f ca="1">IF(V13&gt;0,SUM($D$13:V13),IF(U14-V11&gt;=0,U14-V11,0))</f>
        <v>0</v>
      </c>
      <c r="W14" s="21">
        <f ca="1">IF(W13&gt;0,SUM($D$13:W13),IF(V14-W11&gt;=0,V14-W11,0))</f>
        <v>0</v>
      </c>
      <c r="X14" s="22"/>
    </row>
    <row r="15" spans="1:27" x14ac:dyDescent="0.2">
      <c r="A15" s="2">
        <f t="shared" si="0"/>
        <v>15</v>
      </c>
      <c r="X15" s="22"/>
    </row>
    <row r="16" spans="1:27" x14ac:dyDescent="0.2">
      <c r="A16" s="2">
        <f t="shared" si="0"/>
        <v>16</v>
      </c>
      <c r="B16" s="1" t="s">
        <v>65</v>
      </c>
      <c r="D16" s="21">
        <f t="shared" ref="D16:W16" ca="1" si="7">IF(D14&gt;0,0,D11-C14)</f>
        <v>0</v>
      </c>
      <c r="E16" s="21">
        <f t="shared" ca="1" si="7"/>
        <v>0</v>
      </c>
      <c r="F16" s="21">
        <f t="shared" ca="1" si="7"/>
        <v>0</v>
      </c>
      <c r="G16" s="21">
        <f t="shared" ca="1" si="7"/>
        <v>0</v>
      </c>
      <c r="H16" s="21">
        <f t="shared" ca="1" si="7"/>
        <v>15206.322661599384</v>
      </c>
      <c r="I16" s="21">
        <f t="shared" ca="1" si="7"/>
        <v>31096.649026166979</v>
      </c>
      <c r="J16" s="21">
        <f t="shared" ca="1" si="7"/>
        <v>46106.319820855388</v>
      </c>
      <c r="K16" s="21">
        <f t="shared" ca="1" si="7"/>
        <v>61568.930896965481</v>
      </c>
      <c r="L16" s="21">
        <f t="shared" ca="1" si="7"/>
        <v>77748.265253574515</v>
      </c>
      <c r="M16" s="21">
        <f t="shared" ca="1" si="7"/>
        <v>94247.294812240871</v>
      </c>
      <c r="N16" s="21">
        <f t="shared" ca="1" si="7"/>
        <v>104999.18321251094</v>
      </c>
      <c r="O16" s="21">
        <f t="shared" ca="1" si="7"/>
        <v>117574.76482092036</v>
      </c>
      <c r="P16" s="21">
        <f t="shared" ca="1" si="7"/>
        <v>129671.04815428154</v>
      </c>
      <c r="Q16" s="21">
        <f t="shared" ca="1" si="7"/>
        <v>142504.31301922616</v>
      </c>
      <c r="R16" s="21">
        <f t="shared" ca="1" si="7"/>
        <v>154421.686416946</v>
      </c>
      <c r="S16" s="21">
        <f t="shared" ca="1" si="7"/>
        <v>165035.99274056617</v>
      </c>
      <c r="T16" s="21">
        <f t="shared" ca="1" si="7"/>
        <v>176076.81682826465</v>
      </c>
      <c r="U16" s="21">
        <f t="shared" ca="1" si="7"/>
        <v>191604.2394169796</v>
      </c>
      <c r="V16" s="21">
        <f t="shared" ca="1" si="7"/>
        <v>207963.46746873975</v>
      </c>
      <c r="W16" s="21">
        <f t="shared" ca="1" si="7"/>
        <v>225212.06435094631</v>
      </c>
      <c r="X16" s="22"/>
    </row>
    <row r="17" spans="1:24" x14ac:dyDescent="0.2">
      <c r="A17" s="2">
        <f t="shared" si="0"/>
        <v>17</v>
      </c>
      <c r="B17" s="1" t="s">
        <v>155</v>
      </c>
      <c r="D17" s="21">
        <f t="shared" ref="D17:W17" ca="1" si="8">D11-D16</f>
        <v>-2354.5841984344897</v>
      </c>
      <c r="E17" s="21">
        <f t="shared" ca="1" si="8"/>
        <v>-3168.8050440623174</v>
      </c>
      <c r="F17" s="21">
        <f t="shared" ca="1" si="8"/>
        <v>-3502.4464701145107</v>
      </c>
      <c r="G17" s="21">
        <f t="shared" ca="1" si="8"/>
        <v>6339.7972770427577</v>
      </c>
      <c r="H17" s="21">
        <f t="shared" ca="1" si="8"/>
        <v>2686.0384355685601</v>
      </c>
      <c r="I17" s="21">
        <f t="shared" ca="1" si="8"/>
        <v>0</v>
      </c>
      <c r="J17" s="21">
        <f t="shared" ca="1" si="8"/>
        <v>0</v>
      </c>
      <c r="K17" s="21">
        <f t="shared" ca="1" si="8"/>
        <v>0</v>
      </c>
      <c r="L17" s="21">
        <f t="shared" ca="1" si="8"/>
        <v>0</v>
      </c>
      <c r="M17" s="21">
        <f t="shared" ca="1" si="8"/>
        <v>0</v>
      </c>
      <c r="N17" s="21">
        <f t="shared" ca="1" si="8"/>
        <v>0</v>
      </c>
      <c r="O17" s="21">
        <f t="shared" ca="1" si="8"/>
        <v>0</v>
      </c>
      <c r="P17" s="21">
        <f t="shared" ca="1" si="8"/>
        <v>0</v>
      </c>
      <c r="Q17" s="21">
        <f t="shared" ca="1" si="8"/>
        <v>0</v>
      </c>
      <c r="R17" s="21">
        <f t="shared" ca="1" si="8"/>
        <v>0</v>
      </c>
      <c r="S17" s="21">
        <f t="shared" ca="1" si="8"/>
        <v>0</v>
      </c>
      <c r="T17" s="21">
        <f t="shared" ca="1" si="8"/>
        <v>0</v>
      </c>
      <c r="U17" s="21">
        <f t="shared" ca="1" si="8"/>
        <v>0</v>
      </c>
      <c r="V17" s="21">
        <f t="shared" ca="1" si="8"/>
        <v>0</v>
      </c>
      <c r="W17" s="21">
        <f t="shared" ca="1" si="8"/>
        <v>0</v>
      </c>
      <c r="X17" s="22"/>
    </row>
    <row r="18" spans="1:24" x14ac:dyDescent="0.2">
      <c r="A18" s="2">
        <f t="shared" si="0"/>
        <v>18</v>
      </c>
      <c r="B18" s="1" t="s">
        <v>154</v>
      </c>
      <c r="D18" s="25">
        <f ca="1">D6-D11</f>
        <v>0</v>
      </c>
      <c r="E18" s="25">
        <f t="shared" ref="E18:W18" ca="1" si="9">E6-E11</f>
        <v>0</v>
      </c>
      <c r="F18" s="25">
        <f t="shared" ca="1" si="9"/>
        <v>0</v>
      </c>
      <c r="G18" s="25">
        <f t="shared" ca="1" si="9"/>
        <v>0</v>
      </c>
      <c r="H18" s="25">
        <f t="shared" ca="1" si="9"/>
        <v>0</v>
      </c>
      <c r="I18" s="25">
        <f t="shared" ca="1" si="9"/>
        <v>0</v>
      </c>
      <c r="J18" s="25">
        <f t="shared" ca="1" si="9"/>
        <v>0</v>
      </c>
      <c r="K18" s="25">
        <f t="shared" ca="1" si="9"/>
        <v>0</v>
      </c>
      <c r="L18" s="25">
        <f t="shared" ca="1" si="9"/>
        <v>0</v>
      </c>
      <c r="M18" s="25">
        <f t="shared" ca="1" si="9"/>
        <v>0</v>
      </c>
      <c r="N18" s="25">
        <f t="shared" ca="1" si="9"/>
        <v>0</v>
      </c>
      <c r="O18" s="25">
        <f t="shared" ca="1" si="9"/>
        <v>0</v>
      </c>
      <c r="P18" s="25">
        <f t="shared" ca="1" si="9"/>
        <v>0</v>
      </c>
      <c r="Q18" s="25">
        <f t="shared" ca="1" si="9"/>
        <v>0</v>
      </c>
      <c r="R18" s="25">
        <f t="shared" ca="1" si="9"/>
        <v>0</v>
      </c>
      <c r="S18" s="25">
        <f t="shared" ca="1" si="9"/>
        <v>0</v>
      </c>
      <c r="T18" s="25">
        <f t="shared" ca="1" si="9"/>
        <v>0</v>
      </c>
      <c r="U18" s="25">
        <f t="shared" ca="1" si="9"/>
        <v>0</v>
      </c>
      <c r="V18" s="25">
        <f t="shared" ca="1" si="9"/>
        <v>0</v>
      </c>
      <c r="W18" s="25">
        <f t="shared" ca="1" si="9"/>
        <v>0</v>
      </c>
      <c r="X18" s="22"/>
    </row>
    <row r="19" spans="1:24" x14ac:dyDescent="0.2">
      <c r="A19" s="2">
        <f t="shared" si="0"/>
        <v>19</v>
      </c>
      <c r="B19" s="1" t="s">
        <v>156</v>
      </c>
      <c r="D19" s="21">
        <f ca="1">D17+D18</f>
        <v>-2354.5841984344897</v>
      </c>
      <c r="E19" s="21">
        <f t="shared" ref="E19:W19" ca="1" si="10">E17+E18</f>
        <v>-3168.8050440623174</v>
      </c>
      <c r="F19" s="21">
        <f t="shared" ca="1" si="10"/>
        <v>-3502.4464701145107</v>
      </c>
      <c r="G19" s="21">
        <f t="shared" ca="1" si="10"/>
        <v>6339.7972770427577</v>
      </c>
      <c r="H19" s="21">
        <f t="shared" ca="1" si="10"/>
        <v>2686.0384355685601</v>
      </c>
      <c r="I19" s="21">
        <f t="shared" ca="1" si="10"/>
        <v>0</v>
      </c>
      <c r="J19" s="21">
        <f t="shared" ca="1" si="10"/>
        <v>0</v>
      </c>
      <c r="K19" s="21">
        <f t="shared" ca="1" si="10"/>
        <v>0</v>
      </c>
      <c r="L19" s="21">
        <f t="shared" ca="1" si="10"/>
        <v>0</v>
      </c>
      <c r="M19" s="21">
        <f t="shared" ca="1" si="10"/>
        <v>0</v>
      </c>
      <c r="N19" s="21">
        <f t="shared" ca="1" si="10"/>
        <v>0</v>
      </c>
      <c r="O19" s="21">
        <f t="shared" ca="1" si="10"/>
        <v>0</v>
      </c>
      <c r="P19" s="21">
        <f t="shared" ca="1" si="10"/>
        <v>0</v>
      </c>
      <c r="Q19" s="21">
        <f t="shared" ca="1" si="10"/>
        <v>0</v>
      </c>
      <c r="R19" s="21">
        <f t="shared" ca="1" si="10"/>
        <v>0</v>
      </c>
      <c r="S19" s="21">
        <f t="shared" ca="1" si="10"/>
        <v>0</v>
      </c>
      <c r="T19" s="21">
        <f t="shared" ca="1" si="10"/>
        <v>0</v>
      </c>
      <c r="U19" s="21">
        <f t="shared" ca="1" si="10"/>
        <v>0</v>
      </c>
      <c r="V19" s="21">
        <f t="shared" ca="1" si="10"/>
        <v>0</v>
      </c>
      <c r="W19" s="21">
        <f t="shared" ca="1" si="10"/>
        <v>0</v>
      </c>
      <c r="X19" s="22"/>
    </row>
    <row r="20" spans="1:24" x14ac:dyDescent="0.2">
      <c r="A20" s="2">
        <f t="shared" si="0"/>
        <v>20</v>
      </c>
      <c r="X20" s="22"/>
    </row>
    <row r="21" spans="1:24" x14ac:dyDescent="0.2">
      <c r="A21" s="2">
        <f t="shared" si="0"/>
        <v>21</v>
      </c>
      <c r="B21" s="1" t="s">
        <v>157</v>
      </c>
      <c r="D21" s="21">
        <f ca="1">D19</f>
        <v>-2354.5841984344897</v>
      </c>
      <c r="E21" s="21">
        <f ca="1">D21+E19</f>
        <v>-5523.3892424968071</v>
      </c>
      <c r="F21" s="21">
        <f t="shared" ref="F21:W21" ca="1" si="11">E21+F19</f>
        <v>-9025.8357126113187</v>
      </c>
      <c r="G21" s="21">
        <f t="shared" ca="1" si="11"/>
        <v>-2686.038435568561</v>
      </c>
      <c r="H21" s="21">
        <f t="shared" ca="1" si="11"/>
        <v>0</v>
      </c>
      <c r="I21" s="21">
        <f t="shared" ca="1" si="11"/>
        <v>0</v>
      </c>
      <c r="J21" s="21">
        <f t="shared" ca="1" si="11"/>
        <v>0</v>
      </c>
      <c r="K21" s="21">
        <f t="shared" ca="1" si="11"/>
        <v>0</v>
      </c>
      <c r="L21" s="21">
        <f t="shared" ca="1" si="11"/>
        <v>0</v>
      </c>
      <c r="M21" s="21">
        <f t="shared" ca="1" si="11"/>
        <v>0</v>
      </c>
      <c r="N21" s="21">
        <f t="shared" ca="1" si="11"/>
        <v>0</v>
      </c>
      <c r="O21" s="21">
        <f t="shared" ca="1" si="11"/>
        <v>0</v>
      </c>
      <c r="P21" s="21">
        <f t="shared" ca="1" si="11"/>
        <v>0</v>
      </c>
      <c r="Q21" s="21">
        <f t="shared" ca="1" si="11"/>
        <v>0</v>
      </c>
      <c r="R21" s="21">
        <f t="shared" ca="1" si="11"/>
        <v>0</v>
      </c>
      <c r="S21" s="21">
        <f t="shared" ca="1" si="11"/>
        <v>0</v>
      </c>
      <c r="T21" s="21">
        <f t="shared" ca="1" si="11"/>
        <v>0</v>
      </c>
      <c r="U21" s="21">
        <f t="shared" ca="1" si="11"/>
        <v>0</v>
      </c>
      <c r="V21" s="21">
        <f t="shared" ca="1" si="11"/>
        <v>0</v>
      </c>
      <c r="W21" s="21">
        <f t="shared" ca="1" si="11"/>
        <v>0</v>
      </c>
      <c r="X21" s="22"/>
    </row>
    <row r="22" spans="1:24" x14ac:dyDescent="0.2">
      <c r="A22" s="2">
        <f t="shared" si="0"/>
        <v>22</v>
      </c>
      <c r="X22" s="22"/>
    </row>
    <row r="23" spans="1:24" x14ac:dyDescent="0.2">
      <c r="A23" s="2">
        <f t="shared" si="0"/>
        <v>23</v>
      </c>
      <c r="B23" s="85" t="s">
        <v>167</v>
      </c>
      <c r="X23" s="22"/>
    </row>
    <row r="24" spans="1:24" x14ac:dyDescent="0.2">
      <c r="A24" s="2">
        <f t="shared" si="0"/>
        <v>24</v>
      </c>
      <c r="B24" s="1" t="s">
        <v>22</v>
      </c>
      <c r="D24" s="21">
        <f>'EBSCS FCF'!D17</f>
        <v>-5696.9103141291625</v>
      </c>
      <c r="E24" s="21">
        <f>'EBSCS FCF'!E17</f>
        <v>-6790.8682697483127</v>
      </c>
      <c r="F24" s="21">
        <f>'EBSCS FCF'!F17</f>
        <v>-5934.0960965949853</v>
      </c>
      <c r="G24" s="21">
        <f>'EBSCS FCF'!G17</f>
        <v>18315.39893296238</v>
      </c>
      <c r="H24" s="21">
        <f>'EBSCS FCF'!H17</f>
        <v>45884.6093704472</v>
      </c>
      <c r="I24" s="21">
        <f>'EBSCS FCF'!I17</f>
        <v>79734.99750299225</v>
      </c>
      <c r="J24" s="21">
        <f>'EBSCS FCF'!J17</f>
        <v>118221.33287398817</v>
      </c>
      <c r="K24" s="21">
        <f>'EBSCS FCF'!K17</f>
        <v>157869.05358196277</v>
      </c>
      <c r="L24" s="21">
        <f>'EBSCS FCF'!L17</f>
        <v>199354.52629121669</v>
      </c>
      <c r="M24" s="21">
        <f>'EBSCS FCF'!M17</f>
        <v>241659.73028779711</v>
      </c>
      <c r="N24" s="21">
        <f>'EBSCS FCF'!N17</f>
        <v>269228.67490387417</v>
      </c>
      <c r="O24" s="21">
        <f>'EBSCS FCF'!O17</f>
        <v>301473.75595107785</v>
      </c>
      <c r="P24" s="21">
        <f>'EBSCS FCF'!P17</f>
        <v>332489.86706226034</v>
      </c>
      <c r="Q24" s="21">
        <f>'EBSCS FCF'!Q17</f>
        <v>365395.6744082722</v>
      </c>
      <c r="R24" s="21">
        <f>'EBSCS FCF'!R17</f>
        <v>395953.04209473333</v>
      </c>
      <c r="S24" s="21">
        <f>'EBSCS FCF'!S17</f>
        <v>423169.21215529786</v>
      </c>
      <c r="T24" s="21">
        <f>'EBSCS FCF'!T17</f>
        <v>451479.01750837092</v>
      </c>
      <c r="U24" s="21">
        <f>'EBSCS FCF'!U17</f>
        <v>491292.92158199899</v>
      </c>
      <c r="V24" s="21">
        <f>'EBSCS FCF'!V17</f>
        <v>533239.66017625574</v>
      </c>
      <c r="W24" s="21">
        <f>'EBSCS FCF'!W17</f>
        <v>577466.83166909311</v>
      </c>
      <c r="X24" s="144"/>
    </row>
    <row r="25" spans="1:24" x14ac:dyDescent="0.2">
      <c r="A25" s="2">
        <f t="shared" si="0"/>
        <v>25</v>
      </c>
      <c r="B25" s="1" t="s">
        <v>23</v>
      </c>
      <c r="D25" s="31">
        <f>D5</f>
        <v>0.39</v>
      </c>
      <c r="E25" s="31">
        <f t="shared" ref="E25:W25" si="12">E5</f>
        <v>0.39</v>
      </c>
      <c r="F25" s="31">
        <f t="shared" si="12"/>
        <v>0.39</v>
      </c>
      <c r="G25" s="31">
        <f t="shared" si="12"/>
        <v>0.39</v>
      </c>
      <c r="H25" s="31">
        <f t="shared" si="12"/>
        <v>0.39</v>
      </c>
      <c r="I25" s="31">
        <f t="shared" si="12"/>
        <v>0.39</v>
      </c>
      <c r="J25" s="31">
        <f t="shared" si="12"/>
        <v>0.39</v>
      </c>
      <c r="K25" s="31">
        <f t="shared" si="12"/>
        <v>0.39</v>
      </c>
      <c r="L25" s="31">
        <f t="shared" si="12"/>
        <v>0.39</v>
      </c>
      <c r="M25" s="31">
        <f t="shared" si="12"/>
        <v>0.39</v>
      </c>
      <c r="N25" s="31">
        <f t="shared" si="12"/>
        <v>0.39</v>
      </c>
      <c r="O25" s="31">
        <f t="shared" si="12"/>
        <v>0.39</v>
      </c>
      <c r="P25" s="31">
        <f t="shared" si="12"/>
        <v>0.39</v>
      </c>
      <c r="Q25" s="31">
        <f t="shared" si="12"/>
        <v>0.39</v>
      </c>
      <c r="R25" s="31">
        <f t="shared" si="12"/>
        <v>0.39</v>
      </c>
      <c r="S25" s="31">
        <f t="shared" si="12"/>
        <v>0.39</v>
      </c>
      <c r="T25" s="31">
        <f t="shared" si="12"/>
        <v>0.39</v>
      </c>
      <c r="U25" s="31">
        <f t="shared" si="12"/>
        <v>0.39</v>
      </c>
      <c r="V25" s="31">
        <f t="shared" si="12"/>
        <v>0.39</v>
      </c>
      <c r="W25" s="31">
        <f t="shared" si="12"/>
        <v>0.39</v>
      </c>
      <c r="X25" s="144"/>
    </row>
    <row r="26" spans="1:24" x14ac:dyDescent="0.2">
      <c r="A26" s="2">
        <f t="shared" si="0"/>
        <v>26</v>
      </c>
      <c r="B26" s="1" t="s">
        <v>152</v>
      </c>
      <c r="D26" s="21">
        <f>D24*D25</f>
        <v>-2221.7950225103737</v>
      </c>
      <c r="E26" s="21">
        <f t="shared" ref="E26:W26" si="13">E24*E25</f>
        <v>-2648.4386252018421</v>
      </c>
      <c r="F26" s="21">
        <f t="shared" si="13"/>
        <v>-2314.2974776720444</v>
      </c>
      <c r="G26" s="21">
        <f t="shared" si="13"/>
        <v>7143.005583855328</v>
      </c>
      <c r="H26" s="21">
        <f t="shared" si="13"/>
        <v>17894.99765447441</v>
      </c>
      <c r="I26" s="21">
        <f t="shared" si="13"/>
        <v>31096.649026166979</v>
      </c>
      <c r="J26" s="21">
        <f t="shared" si="13"/>
        <v>46106.319820855388</v>
      </c>
      <c r="K26" s="21">
        <f t="shared" si="13"/>
        <v>61568.930896965481</v>
      </c>
      <c r="L26" s="21">
        <f t="shared" si="13"/>
        <v>77748.265253574515</v>
      </c>
      <c r="M26" s="21">
        <f t="shared" si="13"/>
        <v>94247.294812240871</v>
      </c>
      <c r="N26" s="21">
        <f t="shared" si="13"/>
        <v>104999.18321251094</v>
      </c>
      <c r="O26" s="21">
        <f t="shared" si="13"/>
        <v>117574.76482092036</v>
      </c>
      <c r="P26" s="21">
        <f t="shared" si="13"/>
        <v>129671.04815428154</v>
      </c>
      <c r="Q26" s="21">
        <f t="shared" si="13"/>
        <v>142504.31301922616</v>
      </c>
      <c r="R26" s="21">
        <f t="shared" si="13"/>
        <v>154421.686416946</v>
      </c>
      <c r="S26" s="21">
        <f t="shared" si="13"/>
        <v>165035.99274056617</v>
      </c>
      <c r="T26" s="21">
        <f t="shared" si="13"/>
        <v>176076.81682826465</v>
      </c>
      <c r="U26" s="21">
        <f t="shared" si="13"/>
        <v>191604.2394169796</v>
      </c>
      <c r="V26" s="21">
        <f t="shared" si="13"/>
        <v>207963.46746873975</v>
      </c>
      <c r="W26" s="21">
        <f t="shared" si="13"/>
        <v>225212.06435094631</v>
      </c>
      <c r="X26" s="144"/>
    </row>
    <row r="27" spans="1:24" x14ac:dyDescent="0.2">
      <c r="A27" s="2">
        <f t="shared" si="0"/>
        <v>27</v>
      </c>
      <c r="X27" s="144"/>
    </row>
    <row r="28" spans="1:24" x14ac:dyDescent="0.2">
      <c r="A28" s="2">
        <f t="shared" si="0"/>
        <v>28</v>
      </c>
      <c r="B28" s="1" t="s">
        <v>54</v>
      </c>
      <c r="D28" s="21">
        <f>IF(D26&lt;0,-D26,0)</f>
        <v>2221.7950225103737</v>
      </c>
      <c r="E28" s="21">
        <f t="shared" ref="E28:W28" si="14">IF(E26&lt;0,-E26,0)</f>
        <v>2648.4386252018421</v>
      </c>
      <c r="F28" s="21">
        <f t="shared" si="14"/>
        <v>2314.2974776720444</v>
      </c>
      <c r="G28" s="21">
        <f t="shared" si="14"/>
        <v>0</v>
      </c>
      <c r="H28" s="21">
        <f t="shared" si="14"/>
        <v>0</v>
      </c>
      <c r="I28" s="21">
        <f t="shared" si="14"/>
        <v>0</v>
      </c>
      <c r="J28" s="21">
        <f t="shared" si="14"/>
        <v>0</v>
      </c>
      <c r="K28" s="21">
        <f t="shared" si="14"/>
        <v>0</v>
      </c>
      <c r="L28" s="21">
        <f t="shared" si="14"/>
        <v>0</v>
      </c>
      <c r="M28" s="21">
        <f t="shared" si="14"/>
        <v>0</v>
      </c>
      <c r="N28" s="21">
        <f t="shared" si="14"/>
        <v>0</v>
      </c>
      <c r="O28" s="21">
        <f t="shared" si="14"/>
        <v>0</v>
      </c>
      <c r="P28" s="21">
        <f t="shared" si="14"/>
        <v>0</v>
      </c>
      <c r="Q28" s="21">
        <f t="shared" si="14"/>
        <v>0</v>
      </c>
      <c r="R28" s="21">
        <f t="shared" si="14"/>
        <v>0</v>
      </c>
      <c r="S28" s="21">
        <f t="shared" si="14"/>
        <v>0</v>
      </c>
      <c r="T28" s="21">
        <f t="shared" si="14"/>
        <v>0</v>
      </c>
      <c r="U28" s="21">
        <f t="shared" si="14"/>
        <v>0</v>
      </c>
      <c r="V28" s="21">
        <f t="shared" si="14"/>
        <v>0</v>
      </c>
      <c r="W28" s="21">
        <f t="shared" si="14"/>
        <v>0</v>
      </c>
      <c r="X28" s="144"/>
    </row>
    <row r="29" spans="1:24" x14ac:dyDescent="0.2">
      <c r="A29" s="2">
        <f t="shared" si="0"/>
        <v>29</v>
      </c>
      <c r="B29" s="1" t="s">
        <v>66</v>
      </c>
      <c r="D29" s="21">
        <f>IF(D28&gt;0,SUM($D$28:D28),IF(C29-D26&gt;=0,C29-D26,0))</f>
        <v>2221.7950225103737</v>
      </c>
      <c r="E29" s="21">
        <f>IF(E28&gt;0,SUM($D$28:E28),IF(D29-E26&gt;=0,D29-E26,0))</f>
        <v>4870.2336477122153</v>
      </c>
      <c r="F29" s="21">
        <f>IF(F28&gt;0,SUM($D$28:F28),IF(E29-F26&gt;=0,E29-F26,0))</f>
        <v>7184.5311253842592</v>
      </c>
      <c r="G29" s="21">
        <f>IF(G28&gt;0,SUM($D$28:G28),IF(F29-G26&gt;=0,F29-G26,0))</f>
        <v>41.525541528931171</v>
      </c>
      <c r="H29" s="21">
        <f>IF(H28&gt;0,SUM($D$28:H28),IF(G29-H26&gt;=0,G29-H26,0))</f>
        <v>0</v>
      </c>
      <c r="I29" s="21">
        <f>IF(I28&gt;0,SUM($D$28:I28),IF(H29-I26&gt;=0,H29-I26,0))</f>
        <v>0</v>
      </c>
      <c r="J29" s="21">
        <f>IF(J28&gt;0,SUM($D$28:J28),IF(I29-J26&gt;=0,I29-J26,0))</f>
        <v>0</v>
      </c>
      <c r="K29" s="21">
        <f>IF(K28&gt;0,SUM($D$28:K28),IF(J29-K26&gt;=0,J29-K26,0))</f>
        <v>0</v>
      </c>
      <c r="L29" s="21">
        <f>IF(L28&gt;0,SUM($D$28:L28),IF(K29-L26&gt;=0,K29-L26,0))</f>
        <v>0</v>
      </c>
      <c r="M29" s="21">
        <f>IF(M28&gt;0,SUM($D$28:M28),IF(L29-M26&gt;=0,L29-M26,0))</f>
        <v>0</v>
      </c>
      <c r="N29" s="21">
        <f>IF(N28&gt;0,SUM($D$28:N28),IF(M29-N26&gt;=0,M29-N26,0))</f>
        <v>0</v>
      </c>
      <c r="O29" s="21">
        <f>IF(O28&gt;0,SUM($D$28:O28),IF(N29-O26&gt;=0,N29-O26,0))</f>
        <v>0</v>
      </c>
      <c r="P29" s="21">
        <f>IF(P28&gt;0,SUM($D$28:P28),IF(O29-P26&gt;=0,O29-P26,0))</f>
        <v>0</v>
      </c>
      <c r="Q29" s="21">
        <f>IF(Q28&gt;0,SUM($D$28:Q28),IF(P29-Q26&gt;=0,P29-Q26,0))</f>
        <v>0</v>
      </c>
      <c r="R29" s="21">
        <f>IF(R28&gt;0,SUM($D$28:R28),IF(Q29-R26&gt;=0,Q29-R26,0))</f>
        <v>0</v>
      </c>
      <c r="S29" s="21">
        <f>IF(S28&gt;0,SUM($D$28:S28),IF(R29-S26&gt;=0,R29-S26,0))</f>
        <v>0</v>
      </c>
      <c r="T29" s="21">
        <f>IF(T28&gt;0,SUM($D$28:T28),IF(S29-T26&gt;=0,S29-T26,0))</f>
        <v>0</v>
      </c>
      <c r="U29" s="21">
        <f>IF(U28&gt;0,SUM($D$28:U28),IF(T29-U26&gt;=0,T29-U26,0))</f>
        <v>0</v>
      </c>
      <c r="V29" s="21">
        <f>IF(V28&gt;0,SUM($D$28:V28),IF(U29-V26&gt;=0,U29-V26,0))</f>
        <v>0</v>
      </c>
      <c r="W29" s="21">
        <f>IF(W28&gt;0,SUM($D$28:W28),IF(V29-W26&gt;=0,V29-W26,0))</f>
        <v>0</v>
      </c>
      <c r="X29" s="144"/>
    </row>
    <row r="30" spans="1:24" x14ac:dyDescent="0.2">
      <c r="A30" s="2">
        <f t="shared" si="0"/>
        <v>30</v>
      </c>
      <c r="X30" s="144"/>
    </row>
    <row r="31" spans="1:24" x14ac:dyDescent="0.2">
      <c r="A31" s="2">
        <f t="shared" si="0"/>
        <v>31</v>
      </c>
      <c r="B31" s="1" t="s">
        <v>171</v>
      </c>
      <c r="D31" s="21">
        <f>IF(D29&gt;0,0,D26-C29)</f>
        <v>0</v>
      </c>
      <c r="E31" s="21">
        <f t="shared" ref="E31:W31" si="15">IF(E29&gt;0,0,E26-D29)</f>
        <v>0</v>
      </c>
      <c r="F31" s="21">
        <f t="shared" si="15"/>
        <v>0</v>
      </c>
      <c r="G31" s="21">
        <f t="shared" si="15"/>
        <v>0</v>
      </c>
      <c r="H31" s="21">
        <f t="shared" si="15"/>
        <v>17853.472112945477</v>
      </c>
      <c r="I31" s="21">
        <f t="shared" si="15"/>
        <v>31096.649026166979</v>
      </c>
      <c r="J31" s="21">
        <f t="shared" si="15"/>
        <v>46106.319820855388</v>
      </c>
      <c r="K31" s="21">
        <f t="shared" si="15"/>
        <v>61568.930896965481</v>
      </c>
      <c r="L31" s="21">
        <f t="shared" si="15"/>
        <v>77748.265253574515</v>
      </c>
      <c r="M31" s="21">
        <f t="shared" si="15"/>
        <v>94247.294812240871</v>
      </c>
      <c r="N31" s="21">
        <f t="shared" si="15"/>
        <v>104999.18321251094</v>
      </c>
      <c r="O31" s="21">
        <f t="shared" si="15"/>
        <v>117574.76482092036</v>
      </c>
      <c r="P31" s="21">
        <f t="shared" si="15"/>
        <v>129671.04815428154</v>
      </c>
      <c r="Q31" s="21">
        <f t="shared" si="15"/>
        <v>142504.31301922616</v>
      </c>
      <c r="R31" s="21">
        <f t="shared" si="15"/>
        <v>154421.686416946</v>
      </c>
      <c r="S31" s="21">
        <f t="shared" si="15"/>
        <v>165035.99274056617</v>
      </c>
      <c r="T31" s="21">
        <f t="shared" si="15"/>
        <v>176076.81682826465</v>
      </c>
      <c r="U31" s="21">
        <f t="shared" si="15"/>
        <v>191604.2394169796</v>
      </c>
      <c r="V31" s="21">
        <f t="shared" si="15"/>
        <v>207963.46746873975</v>
      </c>
      <c r="W31" s="21">
        <f t="shared" si="15"/>
        <v>225212.06435094631</v>
      </c>
      <c r="X31" s="144"/>
    </row>
    <row r="32" spans="1:24" x14ac:dyDescent="0.2">
      <c r="A32" s="2">
        <f t="shared" si="0"/>
        <v>32</v>
      </c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</sheetData>
  <pageMargins left="0.75" right="0.75" top="1" bottom="1" header="0.5" footer="0.5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Assumptions</vt:lpstr>
      <vt:lpstr>Gain</vt:lpstr>
      <vt:lpstr>EBSCS IS</vt:lpstr>
      <vt:lpstr>CFsum</vt:lpstr>
      <vt:lpstr>EBSCS (cashtax)</vt:lpstr>
      <vt:lpstr>EBSCS FCF</vt:lpstr>
      <vt:lpstr>EBSCS CF</vt:lpstr>
      <vt:lpstr>EBSCS BS</vt:lpstr>
      <vt:lpstr>EBSCS Tax</vt:lpstr>
      <vt:lpstr>EBSCS Cap</vt:lpstr>
      <vt:lpstr>EBSCS Waterfall</vt:lpstr>
      <vt:lpstr>Disct</vt:lpstr>
      <vt:lpstr>Assumptions!Print_Area</vt:lpstr>
      <vt:lpstr>CFsum!Print_Area</vt:lpstr>
      <vt:lpstr>'EBSCS (cashtax)'!Print_Area</vt:lpstr>
      <vt:lpstr>'EBSCS BS'!Print_Area</vt:lpstr>
      <vt:lpstr>'EBSCS Cap'!Print_Area</vt:lpstr>
      <vt:lpstr>'EBSCS CF'!Print_Area</vt:lpstr>
      <vt:lpstr>'EBSCS FCF'!Print_Area</vt:lpstr>
      <vt:lpstr>'EBSCS IS'!Print_Area</vt:lpstr>
      <vt:lpstr>'EBSCS Tax'!Print_Area</vt:lpstr>
      <vt:lpstr>'EBSCS Waterfall'!Print_Area</vt:lpstr>
      <vt:lpstr>'EBSCS Cap'!Print_Titles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renee_stlouis</dc:creator>
  <cp:lastModifiedBy>Jan Havlíček</cp:lastModifiedBy>
  <cp:lastPrinted>2000-12-18T14:50:00Z</cp:lastPrinted>
  <dcterms:created xsi:type="dcterms:W3CDTF">2000-09-13T21:22:04Z</dcterms:created>
  <dcterms:modified xsi:type="dcterms:W3CDTF">2023-09-13T16:26:06Z</dcterms:modified>
</cp:coreProperties>
</file>