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6C9569E-7F49-4F3D-8963-61D6CD26885F}" xr6:coauthVersionLast="47" xr6:coauthVersionMax="47" xr10:uidLastSave="{00000000-0000-0000-0000-000000000000}"/>
  <bookViews>
    <workbookView xWindow="-120" yWindow="-120" windowWidth="38640" windowHeight="15720"/>
  </bookViews>
  <sheets>
    <sheet name="JCC Calculation" sheetId="6" r:id="rId1"/>
    <sheet name="Equations and Inputs" sheetId="1" r:id="rId2"/>
    <sheet name="Yen-$ Rates" sheetId="2" r:id="rId3"/>
    <sheet name="X1, X2, X3 Calculation" sheetId="3" r:id="rId4"/>
    <sheet name="Y Calculation" sheetId="5" r:id="rId5"/>
    <sheet name="Japan Import" sheetId="4" r:id="rId6"/>
  </sheets>
  <definedNames>
    <definedName name="_xlnm.Print_Area" localSheetId="1">'Equations and Inputs'!$A$1:$J$16</definedName>
    <definedName name="_xlnm.Print_Area" localSheetId="5">'Japan Import'!$A$1:$U$24</definedName>
    <definedName name="_xlnm.Print_Area" localSheetId="0">'JCC Calculation'!$A$1:$G$21</definedName>
    <definedName name="_xlnm.Print_Area" localSheetId="3">'X1, X2, X3 Calculation'!$A$1:$G$24</definedName>
    <definedName name="_xlnm.Print_Area" localSheetId="4">'Y Calculation'!$A$1:$H$21</definedName>
    <definedName name="_xlnm.Print_Area" localSheetId="2">'Yen-$ Rates'!$A$63:$G$82</definedName>
    <definedName name="_xlnm.Print_Titles" localSheetId="2">'Yen-$ Rates'!$2:$12</definedName>
  </definedNames>
  <calcPr calcId="0" fullCalcOnLoad="1"/>
</workbook>
</file>

<file path=xl/calcChain.xml><?xml version="1.0" encoding="utf-8"?>
<calcChain xmlns="http://schemas.openxmlformats.org/spreadsheetml/2006/main">
  <c r="E13" i="4" l="1"/>
  <c r="T13" i="4"/>
  <c r="U13" i="4"/>
  <c r="E14" i="4"/>
  <c r="T14" i="4"/>
  <c r="U14" i="4"/>
  <c r="C15" i="4"/>
  <c r="E15" i="4"/>
  <c r="T15" i="4"/>
  <c r="U15" i="4"/>
  <c r="E16" i="4"/>
  <c r="T16" i="4"/>
  <c r="U16" i="4"/>
  <c r="C17" i="4"/>
  <c r="E17" i="4"/>
  <c r="T17" i="4"/>
  <c r="U17" i="4"/>
  <c r="E18" i="4"/>
  <c r="T18" i="4"/>
  <c r="U18" i="4"/>
  <c r="E19" i="4"/>
  <c r="T19" i="4"/>
  <c r="U19" i="4"/>
  <c r="D20" i="4"/>
  <c r="E20" i="4"/>
  <c r="T20" i="4"/>
  <c r="U20" i="4"/>
  <c r="E21" i="4"/>
  <c r="T21" i="4"/>
  <c r="U21" i="4"/>
  <c r="E22" i="4"/>
  <c r="T22" i="4"/>
  <c r="U22" i="4"/>
  <c r="E23" i="4"/>
  <c r="J23" i="4"/>
  <c r="K23" i="4"/>
  <c r="L23" i="4"/>
  <c r="M23" i="4"/>
  <c r="T23" i="4"/>
  <c r="U23" i="4"/>
  <c r="E24" i="4"/>
  <c r="T24" i="4"/>
  <c r="U24" i="4"/>
  <c r="E26" i="4"/>
  <c r="E27" i="4"/>
  <c r="E28" i="4"/>
  <c r="E29" i="4"/>
  <c r="E30" i="4"/>
  <c r="E31" i="4"/>
  <c r="E32" i="4"/>
  <c r="D33" i="4"/>
  <c r="E33" i="4"/>
  <c r="E34" i="4"/>
  <c r="E35" i="4"/>
  <c r="T43" i="4"/>
  <c r="U43" i="4"/>
  <c r="T44" i="4"/>
  <c r="U44" i="4"/>
  <c r="T45" i="4"/>
  <c r="U45" i="4"/>
  <c r="T46" i="4"/>
  <c r="U46" i="4"/>
  <c r="T47" i="4"/>
  <c r="U47" i="4"/>
  <c r="T48" i="4"/>
  <c r="U48" i="4"/>
  <c r="T49" i="4"/>
  <c r="U49" i="4"/>
  <c r="T50" i="4"/>
  <c r="U50" i="4"/>
  <c r="T51" i="4"/>
  <c r="U51" i="4"/>
  <c r="T52" i="4"/>
  <c r="U52" i="4"/>
  <c r="T53" i="4"/>
  <c r="U53" i="4"/>
  <c r="T54" i="4"/>
  <c r="U54" i="4"/>
  <c r="G7" i="6"/>
  <c r="G8" i="6"/>
  <c r="G9" i="6"/>
  <c r="B10" i="6"/>
  <c r="C10" i="6"/>
  <c r="D10" i="6"/>
  <c r="G10" i="6"/>
  <c r="B11" i="6"/>
  <c r="C11" i="6"/>
  <c r="D11" i="6"/>
  <c r="E11" i="6"/>
  <c r="G11" i="6"/>
  <c r="B12" i="6"/>
  <c r="C12" i="6"/>
  <c r="D12" i="6"/>
  <c r="E12" i="6"/>
  <c r="G12" i="6"/>
  <c r="B13" i="6"/>
  <c r="C13" i="6"/>
  <c r="D13" i="6"/>
  <c r="E13" i="6"/>
  <c r="G13" i="6"/>
  <c r="B14" i="6"/>
  <c r="C14" i="6"/>
  <c r="D14" i="6"/>
  <c r="E14" i="6"/>
  <c r="G14" i="6"/>
  <c r="B15" i="6"/>
  <c r="C15" i="6"/>
  <c r="D15" i="6"/>
  <c r="E15" i="6"/>
  <c r="G15" i="6"/>
  <c r="B16" i="6"/>
  <c r="C16" i="6"/>
  <c r="D16" i="6"/>
  <c r="E16" i="6"/>
  <c r="G16" i="6"/>
  <c r="B17" i="6"/>
  <c r="C17" i="6"/>
  <c r="D17" i="6"/>
  <c r="E17" i="6"/>
  <c r="G17" i="6"/>
  <c r="B18" i="6"/>
  <c r="C18" i="6"/>
  <c r="D18" i="6"/>
  <c r="E18" i="6"/>
  <c r="G18" i="6"/>
  <c r="B19" i="6"/>
  <c r="C19" i="6"/>
  <c r="D19" i="6"/>
  <c r="E19" i="6"/>
  <c r="G19" i="6"/>
  <c r="B20" i="6"/>
  <c r="C20" i="6"/>
  <c r="D20" i="6"/>
  <c r="E20" i="6"/>
  <c r="G20" i="6"/>
  <c r="B21" i="6"/>
  <c r="C21" i="6"/>
  <c r="D21" i="6"/>
  <c r="E21" i="6"/>
  <c r="G21" i="6"/>
  <c r="B22" i="6"/>
  <c r="C22" i="6"/>
  <c r="D22" i="6"/>
  <c r="E22" i="6"/>
  <c r="F22" i="6"/>
  <c r="G22" i="6"/>
  <c r="B23" i="6"/>
  <c r="C23" i="6"/>
  <c r="D23" i="6"/>
  <c r="E23" i="6"/>
  <c r="G23" i="6"/>
  <c r="B24" i="6"/>
  <c r="C24" i="6"/>
  <c r="D24" i="6"/>
  <c r="E24" i="6"/>
  <c r="G24" i="6"/>
  <c r="B25" i="6"/>
  <c r="C25" i="6"/>
  <c r="D25" i="6"/>
  <c r="E25" i="6"/>
  <c r="G25" i="6"/>
  <c r="B26" i="6"/>
  <c r="C26" i="6"/>
  <c r="D26" i="6"/>
  <c r="E26" i="6"/>
  <c r="G26" i="6"/>
  <c r="B27" i="6"/>
  <c r="C27" i="6"/>
  <c r="B28" i="6"/>
  <c r="C28" i="6"/>
  <c r="B29" i="6"/>
  <c r="C29" i="6"/>
  <c r="B30" i="6"/>
  <c r="C30" i="6"/>
  <c r="B31" i="6"/>
  <c r="C31" i="6"/>
  <c r="B32" i="6"/>
  <c r="C32" i="6"/>
  <c r="B33" i="6"/>
  <c r="C33" i="6"/>
  <c r="E12" i="3"/>
  <c r="F12" i="3"/>
  <c r="G12" i="3"/>
  <c r="E13" i="3"/>
  <c r="F13" i="3"/>
  <c r="G13" i="3"/>
  <c r="E14" i="3"/>
  <c r="F14" i="3"/>
  <c r="G14" i="3"/>
  <c r="E15" i="3"/>
  <c r="F15" i="3"/>
  <c r="G15" i="3"/>
  <c r="E16" i="3"/>
  <c r="F16" i="3"/>
  <c r="G16" i="3"/>
  <c r="E17" i="3"/>
  <c r="F17" i="3"/>
  <c r="G17" i="3"/>
  <c r="E18" i="3"/>
  <c r="F18" i="3"/>
  <c r="G18" i="3"/>
  <c r="E19" i="3"/>
  <c r="F19" i="3"/>
  <c r="G19" i="3"/>
  <c r="E20" i="3"/>
  <c r="F20" i="3"/>
  <c r="G20" i="3"/>
  <c r="E21" i="3"/>
  <c r="F21" i="3"/>
  <c r="G21" i="3"/>
  <c r="E22" i="3"/>
  <c r="F22" i="3"/>
  <c r="G22" i="3"/>
  <c r="E23" i="3"/>
  <c r="F23" i="3"/>
  <c r="G23" i="3"/>
  <c r="E24" i="3"/>
  <c r="F24" i="3"/>
  <c r="G24" i="3"/>
  <c r="E25" i="3"/>
  <c r="F25" i="3"/>
  <c r="G25" i="3"/>
  <c r="E26" i="3"/>
  <c r="F26" i="3"/>
  <c r="G26" i="3"/>
  <c r="E27" i="3"/>
  <c r="F27" i="3"/>
  <c r="G27" i="3"/>
  <c r="E28" i="3"/>
  <c r="F28" i="3"/>
  <c r="G28" i="3"/>
  <c r="E29" i="3"/>
  <c r="F29" i="3"/>
  <c r="G29" i="3"/>
  <c r="E30" i="3"/>
  <c r="F30" i="3"/>
  <c r="G30" i="3"/>
  <c r="E31" i="3"/>
  <c r="F31" i="3"/>
  <c r="G31" i="3"/>
  <c r="E32" i="3"/>
  <c r="F32" i="3"/>
  <c r="G32" i="3"/>
  <c r="E33" i="3"/>
  <c r="F33" i="3"/>
  <c r="G33" i="3"/>
  <c r="E34" i="3"/>
  <c r="F34" i="3"/>
  <c r="G34" i="3"/>
  <c r="E35" i="3"/>
  <c r="F35" i="3"/>
  <c r="G35" i="3"/>
  <c r="C9" i="5"/>
  <c r="D9" i="5"/>
  <c r="F9" i="5"/>
  <c r="B10" i="5"/>
  <c r="C10" i="5"/>
  <c r="D10" i="5"/>
  <c r="E10" i="5"/>
  <c r="F10" i="5"/>
  <c r="G10" i="5"/>
  <c r="B11" i="5"/>
  <c r="C11" i="5"/>
  <c r="D11" i="5"/>
  <c r="E11" i="5"/>
  <c r="F11" i="5"/>
  <c r="G11" i="5"/>
  <c r="B12" i="5"/>
  <c r="C12" i="5"/>
  <c r="D12" i="5"/>
  <c r="E12" i="5"/>
  <c r="F12" i="5"/>
  <c r="G12" i="5"/>
  <c r="B13" i="5"/>
  <c r="C13" i="5"/>
  <c r="D13" i="5"/>
  <c r="E13" i="5"/>
  <c r="F13" i="5"/>
  <c r="G13" i="5"/>
  <c r="B14" i="5"/>
  <c r="C14" i="5"/>
  <c r="D14" i="5"/>
  <c r="E14" i="5"/>
  <c r="F14" i="5"/>
  <c r="G14" i="5"/>
  <c r="B15" i="5"/>
  <c r="C15" i="5"/>
  <c r="D15" i="5"/>
  <c r="E15" i="5"/>
  <c r="F15" i="5"/>
  <c r="G15" i="5"/>
  <c r="B16" i="5"/>
  <c r="C16" i="5"/>
  <c r="D16" i="5"/>
  <c r="E16" i="5"/>
  <c r="F16" i="5"/>
  <c r="G16" i="5"/>
  <c r="B17" i="5"/>
  <c r="C17" i="5"/>
  <c r="D17" i="5"/>
  <c r="E17" i="5"/>
  <c r="F17" i="5"/>
  <c r="G17" i="5"/>
  <c r="B18" i="5"/>
  <c r="C18" i="5"/>
  <c r="D18" i="5"/>
  <c r="E18" i="5"/>
  <c r="F18" i="5"/>
  <c r="G18" i="5"/>
  <c r="B19" i="5"/>
  <c r="C19" i="5"/>
  <c r="D19" i="5"/>
  <c r="E19" i="5"/>
  <c r="F19" i="5"/>
  <c r="G19" i="5"/>
  <c r="B20" i="5"/>
  <c r="C20" i="5"/>
  <c r="D20" i="5"/>
  <c r="E20" i="5"/>
  <c r="F20" i="5"/>
  <c r="G20" i="5"/>
  <c r="B21" i="5"/>
  <c r="C21" i="5"/>
  <c r="D21" i="5"/>
  <c r="E21" i="5"/>
  <c r="F21" i="5"/>
  <c r="G21" i="5"/>
  <c r="B22" i="5"/>
  <c r="C22" i="5"/>
  <c r="D22" i="5"/>
  <c r="E22" i="5"/>
  <c r="F22" i="5"/>
  <c r="G22" i="5"/>
  <c r="B23" i="5"/>
  <c r="C23" i="5"/>
  <c r="D23" i="5"/>
  <c r="E23" i="5"/>
  <c r="F23" i="5"/>
  <c r="G23" i="5"/>
  <c r="B24" i="5"/>
  <c r="C24" i="5"/>
  <c r="D24" i="5"/>
  <c r="E24" i="5"/>
  <c r="F24" i="5"/>
  <c r="G24" i="5"/>
  <c r="B25" i="5"/>
  <c r="C25" i="5"/>
  <c r="D25" i="5"/>
  <c r="E25" i="5"/>
  <c r="F25" i="5"/>
  <c r="G25" i="5"/>
  <c r="E26" i="5"/>
  <c r="F26" i="5"/>
  <c r="G26" i="5"/>
  <c r="E27" i="5"/>
  <c r="F27" i="5"/>
  <c r="G27" i="5"/>
  <c r="E28" i="5"/>
  <c r="F28" i="5"/>
  <c r="G28" i="5"/>
  <c r="E29" i="5"/>
  <c r="F29" i="5"/>
  <c r="G29" i="5"/>
  <c r="E30" i="5"/>
  <c r="F30" i="5"/>
  <c r="G30" i="5"/>
  <c r="E31" i="5"/>
  <c r="F31" i="5"/>
  <c r="G31" i="5"/>
  <c r="E32" i="5"/>
  <c r="F32" i="5"/>
  <c r="G32" i="5"/>
  <c r="E15" i="2"/>
  <c r="F17" i="2"/>
  <c r="D18" i="2"/>
  <c r="E19" i="2"/>
  <c r="F21" i="2"/>
  <c r="D22" i="2"/>
  <c r="E23" i="2"/>
  <c r="F25" i="2"/>
  <c r="D26" i="2"/>
  <c r="E28" i="2"/>
  <c r="F29" i="2"/>
  <c r="D31" i="2"/>
  <c r="E32" i="2"/>
  <c r="F34" i="2"/>
  <c r="D35" i="2"/>
  <c r="E37" i="2"/>
  <c r="F38" i="2"/>
  <c r="D39" i="2"/>
  <c r="E41" i="2"/>
  <c r="F42" i="2"/>
  <c r="D44" i="2"/>
  <c r="E45" i="2"/>
  <c r="F47" i="2"/>
  <c r="D48" i="2"/>
  <c r="E50" i="2"/>
  <c r="F51" i="2"/>
  <c r="D53" i="2"/>
  <c r="E54" i="2"/>
  <c r="F56" i="2"/>
  <c r="D57" i="2"/>
  <c r="E58" i="2"/>
  <c r="F60" i="2"/>
  <c r="D61" i="2"/>
  <c r="E63" i="2"/>
  <c r="F64" i="2"/>
  <c r="D66" i="2"/>
  <c r="E67" i="2"/>
  <c r="F69" i="2"/>
  <c r="D70" i="2"/>
  <c r="E72" i="2"/>
  <c r="F73" i="2"/>
  <c r="D74" i="2"/>
  <c r="E76" i="2"/>
  <c r="F77" i="2"/>
  <c r="D79" i="2"/>
  <c r="E80" i="2"/>
  <c r="F82" i="2"/>
  <c r="D83" i="2"/>
  <c r="E84" i="2"/>
  <c r="F86" i="2"/>
  <c r="D87" i="2"/>
  <c r="E89" i="2"/>
  <c r="F90" i="2"/>
  <c r="D92" i="2"/>
  <c r="E93" i="2"/>
  <c r="F95" i="2"/>
  <c r="D96" i="2"/>
  <c r="E98" i="2"/>
</calcChain>
</file>

<file path=xl/sharedStrings.xml><?xml version="1.0" encoding="utf-8"?>
<sst xmlns="http://schemas.openxmlformats.org/spreadsheetml/2006/main" count="488" uniqueCount="247">
  <si>
    <t>JCC Pricing Equations and Inputs</t>
  </si>
  <si>
    <t>JCC = Su x 0.158987 x 1000/(Sq x R)</t>
  </si>
  <si>
    <r>
      <t>JCC</t>
    </r>
    <r>
      <rPr>
        <sz val="10"/>
        <rFont val="Arial"/>
      </rPr>
      <t xml:space="preserve"> expressed in $US</t>
    </r>
  </si>
  <si>
    <t xml:space="preserve">Y = </t>
  </si>
  <si>
    <t>Su</t>
  </si>
  <si>
    <t>Sq</t>
  </si>
  <si>
    <t>R</t>
  </si>
  <si>
    <t>Note:</t>
  </si>
  <si>
    <t>sum in value of thousands of Yen for Raw Oils imported into Japan for specified month</t>
  </si>
  <si>
    <t>sum of the quantities in kiloliters for the Raw oils</t>
  </si>
  <si>
    <t>Yen/$ exchange rate for the specified month (rounded to two decimal places)</t>
  </si>
  <si>
    <t>0.158987 is the number of kiloliters equal to one barrel</t>
  </si>
  <si>
    <t>X/Y</t>
  </si>
  <si>
    <t>value of all imported commodities into Japan in millions of Yen for the specified month</t>
  </si>
  <si>
    <t>value of all imported commodities into Japan in millions of $US determined by the following formula:</t>
  </si>
  <si>
    <t>Y =</t>
  </si>
  <si>
    <t xml:space="preserve">R = </t>
  </si>
  <si>
    <t>X =</t>
  </si>
  <si>
    <t>X1/R1 + X2/R2 + X3/R3</t>
  </si>
  <si>
    <t>Note: Each of these three terms is expressed in millions of $US and rounded to three decimal places</t>
  </si>
  <si>
    <t>R1 = exchange rate for the first ten days of the month (1-10)</t>
  </si>
  <si>
    <t>R2 = exchange rate for the second ten days of the month (11-20)</t>
  </si>
  <si>
    <t>R3 = exchange rate for the remaining days of the month (21 - )</t>
  </si>
  <si>
    <t>R1, R2, R3 = averages weighted according to the number of days the rate applied each week</t>
  </si>
  <si>
    <t>Rate</t>
  </si>
  <si>
    <t>R1</t>
  </si>
  <si>
    <t>R2</t>
  </si>
  <si>
    <t>R3</t>
  </si>
  <si>
    <t>Weekly Exchange Rates between USD and JPY</t>
  </si>
  <si>
    <t>(Yen per U.S. Dollar)</t>
  </si>
  <si>
    <t>Source: Kanzei Shuho (Tariff Weekly), Japan's Ministry of Finance</t>
  </si>
  <si>
    <t>Week</t>
  </si>
  <si>
    <t>(Sunday to Saturday)</t>
  </si>
  <si>
    <t>Jan. 10 - 16</t>
  </si>
  <si>
    <t>Jan. 17 - 23</t>
  </si>
  <si>
    <t>Jan. 24 - 30</t>
  </si>
  <si>
    <t>Jan. 31 - Feb. 6</t>
  </si>
  <si>
    <t>Feb. 7 - 13</t>
  </si>
  <si>
    <t>Feb. 14 - 20</t>
  </si>
  <si>
    <t>Feb. 21 - 27</t>
  </si>
  <si>
    <t>Feb. 28 - March 6</t>
  </si>
  <si>
    <t>March 7- 13</t>
  </si>
  <si>
    <t>March 14 - 20</t>
  </si>
  <si>
    <t>March 21 - 27</t>
  </si>
  <si>
    <t>March 28 - April 3</t>
  </si>
  <si>
    <t>April 4 - 10</t>
  </si>
  <si>
    <t>April 11 - 17</t>
  </si>
  <si>
    <t>April 18 -24</t>
  </si>
  <si>
    <t>April 25 - May 1</t>
  </si>
  <si>
    <t>May 2 - 8</t>
  </si>
  <si>
    <t>May 9 - 15</t>
  </si>
  <si>
    <t>May 16 - 22</t>
  </si>
  <si>
    <t>May 23 - 29</t>
  </si>
  <si>
    <t>May 30 - June 5</t>
  </si>
  <si>
    <t>June 6 - 12</t>
  </si>
  <si>
    <t>June 13 - 19</t>
  </si>
  <si>
    <t>June 20 - 26</t>
  </si>
  <si>
    <t>June 27 - July 3</t>
  </si>
  <si>
    <t>July 4 - 10</t>
  </si>
  <si>
    <t>July 11 - 17</t>
  </si>
  <si>
    <t>July 18 - 24</t>
  </si>
  <si>
    <t>July 25 - 31</t>
  </si>
  <si>
    <t>Aug. 1 - 7</t>
  </si>
  <si>
    <t>Aug. 8 - 14</t>
  </si>
  <si>
    <t>Aug. 15 - 21</t>
  </si>
  <si>
    <t>Aug. 22 - 28</t>
  </si>
  <si>
    <t>Aug. 29 - Sep. 4</t>
  </si>
  <si>
    <t>Sep. 5 - 11</t>
  </si>
  <si>
    <t>Sep. 12 - 18</t>
  </si>
  <si>
    <t>Sep. 19 - 25</t>
  </si>
  <si>
    <t>Sep. 26 - Oct. 2</t>
  </si>
  <si>
    <t>Oct. 3 - 9</t>
  </si>
  <si>
    <t>Jan R2</t>
  </si>
  <si>
    <t>Jan R3</t>
  </si>
  <si>
    <t>Feb R1</t>
  </si>
  <si>
    <t>Feb R2</t>
  </si>
  <si>
    <t>Feb R3</t>
  </si>
  <si>
    <t>Apr R1</t>
  </si>
  <si>
    <t>Apr R2</t>
  </si>
  <si>
    <t>Apr R3</t>
  </si>
  <si>
    <t>May R1</t>
  </si>
  <si>
    <t>May R2</t>
  </si>
  <si>
    <t>May R3</t>
  </si>
  <si>
    <t>Mar R3</t>
  </si>
  <si>
    <t>Mar R2</t>
  </si>
  <si>
    <t>Mar R1</t>
  </si>
  <si>
    <t>Jun R1</t>
  </si>
  <si>
    <t>Jun R2</t>
  </si>
  <si>
    <t>Jun R3</t>
  </si>
  <si>
    <t>Jul R1</t>
  </si>
  <si>
    <t>Jul R2</t>
  </si>
  <si>
    <t>Jul R3</t>
  </si>
  <si>
    <t>Aug R1</t>
  </si>
  <si>
    <t>Aug R2</t>
  </si>
  <si>
    <t>Aug R3</t>
  </si>
  <si>
    <t>Sep R1</t>
  </si>
  <si>
    <t>Sep R2</t>
  </si>
  <si>
    <t>Sep R3</t>
  </si>
  <si>
    <t>Value of Imported Commodities into Japan</t>
  </si>
  <si>
    <t>1999 Monthly</t>
  </si>
  <si>
    <t>X1 = first 10 days of the month</t>
  </si>
  <si>
    <t>X2 = second 10 days of the month</t>
  </si>
  <si>
    <t>X3 = remaining days in the month</t>
  </si>
  <si>
    <t>Month</t>
  </si>
  <si>
    <t>X1</t>
  </si>
  <si>
    <t>X2</t>
  </si>
  <si>
    <t>X3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</si>
  <si>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</si>
  <si>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</si>
  <si>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</si>
  <si>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</si>
  <si>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</si>
  <si>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</si>
  <si>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</si>
  <si>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</si>
  <si>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</si>
  <si>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</si>
  <si>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</si>
  <si>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</si>
  <si>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NA</t>
  </si>
  <si>
    <t>First</t>
  </si>
  <si>
    <t>10 Days</t>
  </si>
  <si>
    <t>Provision</t>
  </si>
  <si>
    <t>Provisional</t>
  </si>
  <si>
    <t>Monthly</t>
  </si>
  <si>
    <t>Total</t>
  </si>
  <si>
    <t>20 Days</t>
  </si>
  <si>
    <t>* units in million of Yen</t>
  </si>
  <si>
    <t>Y = (X1/R1) + (X2/R2) + (X3/R3)</t>
  </si>
  <si>
    <t>Y</t>
  </si>
  <si>
    <t>X1/R1</t>
  </si>
  <si>
    <t>X2/R2</t>
  </si>
  <si>
    <t>X3/R3</t>
  </si>
  <si>
    <t>Millions of $US</t>
  </si>
  <si>
    <t>(X)</t>
  </si>
  <si>
    <t>X</t>
  </si>
  <si>
    <t>R = X/Y</t>
  </si>
  <si>
    <t>(million $US)</t>
  </si>
  <si>
    <t>(million Yen)</t>
  </si>
  <si>
    <t>(Yen/$)</t>
  </si>
  <si>
    <t>Calculation of Y, X &amp; R for JCC Pricing for 1999</t>
  </si>
  <si>
    <t>Calculation of Monthly Oil Imports to Japan</t>
  </si>
  <si>
    <t>Includes Crude Oils and oils obtained from bituminous minerals</t>
  </si>
  <si>
    <t>Published by Japan Tariff Association Under the following Codes:</t>
  </si>
  <si>
    <t>2709.00-.010, 090</t>
  </si>
  <si>
    <t>2710.00 - 162, 164, 166, 169, 172, 174, 179</t>
  </si>
  <si>
    <t>* Quantities Stated in Kiloliters</t>
  </si>
  <si>
    <t>** Values in 000's of Yen</t>
  </si>
  <si>
    <t>Commodity Codes</t>
  </si>
  <si>
    <t>Fuel Type</t>
  </si>
  <si>
    <t>Quantity/Value</t>
  </si>
  <si>
    <t>2709.00-010</t>
  </si>
  <si>
    <t>2709.00-090</t>
  </si>
  <si>
    <t>KL</t>
  </si>
  <si>
    <t>Yen</t>
  </si>
  <si>
    <t>2710.00-162</t>
  </si>
  <si>
    <t>2710.00-164</t>
  </si>
  <si>
    <t>2710.00-172</t>
  </si>
  <si>
    <t>2710.00-174</t>
  </si>
  <si>
    <t>2710.00-179</t>
  </si>
  <si>
    <t>Petrochem Feedstock</t>
  </si>
  <si>
    <t>Other oil from bitum.</t>
  </si>
  <si>
    <t>Refinery Feedstock</t>
  </si>
  <si>
    <t>Raw Oils</t>
  </si>
  <si>
    <t>TOTALS</t>
  </si>
  <si>
    <t>Calculation of JCC Monthly Prices for 1999</t>
  </si>
  <si>
    <t>JCC</t>
  </si>
  <si>
    <t>1 Barrel Brent = 5.5 MMBtu</t>
  </si>
  <si>
    <t>MMBtu Equiv.</t>
  </si>
  <si>
    <t>Oct. 10 - 16</t>
  </si>
  <si>
    <t>Oct. 17 - 23</t>
  </si>
  <si>
    <t>Oct. 24 - 30</t>
  </si>
  <si>
    <t>Oct. 31 - Nov. 6</t>
  </si>
  <si>
    <t>Nov. 7 - 13</t>
  </si>
  <si>
    <t>Nov. 14 - 20</t>
  </si>
  <si>
    <t>Oct R1</t>
  </si>
  <si>
    <t>Oct R2</t>
  </si>
  <si>
    <t>Oct R3</t>
  </si>
  <si>
    <t>Nov R1</t>
  </si>
  <si>
    <t>Nov R2</t>
  </si>
  <si>
    <t>Nov. 21 - 27</t>
  </si>
  <si>
    <t>Nov. 28 - Dec. 4</t>
  </si>
  <si>
    <t>Dec. 5 - 11</t>
  </si>
  <si>
    <t>Dec. 12 - 18</t>
  </si>
  <si>
    <t>Dec. 19 - 25</t>
  </si>
  <si>
    <t>Dec. 26 - Jan. 1</t>
  </si>
  <si>
    <t>Nov R3</t>
  </si>
  <si>
    <t>Dec R1</t>
  </si>
  <si>
    <t>Dec R2</t>
  </si>
  <si>
    <t>Dec R3</t>
  </si>
  <si>
    <t>Jan. 2 - Jan. 8</t>
  </si>
  <si>
    <t>Jan. 9 - Jan. 15</t>
  </si>
  <si>
    <t>Jan. 16 - Jan. 22</t>
  </si>
  <si>
    <t>Jan. 23 - Jan. 29</t>
  </si>
  <si>
    <t>Jan. 30 - Feb. 5</t>
  </si>
  <si>
    <t>Feb. 6 - Feb. 12</t>
  </si>
  <si>
    <t>Feb. 13 - Feb. 19</t>
  </si>
  <si>
    <t>Feb. 20 - Feb. 26</t>
  </si>
  <si>
    <t>Feb. 27 - Mar. 4</t>
  </si>
  <si>
    <t>Mar. 5 - Mar. 11</t>
  </si>
  <si>
    <t>Mar. 12 - Mar. 18</t>
  </si>
  <si>
    <t>Mar. 19 - Mar. 25</t>
  </si>
  <si>
    <t>Jan R1</t>
  </si>
  <si>
    <t>Apr. 2 - Apr. 8</t>
  </si>
  <si>
    <t>Apr. 9 - Apr. 15</t>
  </si>
  <si>
    <t>Apr. 16 - Apr. 22</t>
  </si>
  <si>
    <t>Apr. 23 - Apr. 29</t>
  </si>
  <si>
    <t>1999 Adjustments</t>
  </si>
  <si>
    <t>(listed in the back of the 12/99 Ex/Im Yellow Book, by month)</t>
  </si>
  <si>
    <t>Apr. 30 - May 6</t>
  </si>
  <si>
    <t>May 7 - May 13</t>
  </si>
  <si>
    <t>May 14 - May 20</t>
  </si>
  <si>
    <t>May 21 - May 27</t>
  </si>
  <si>
    <t>May 28 - Jun. 3</t>
  </si>
  <si>
    <t>Jun. 4 - Jun. 10</t>
  </si>
  <si>
    <t>Jun. 11 - Jun. 17</t>
  </si>
  <si>
    <t>Jun. 18 - Jun. 24</t>
  </si>
  <si>
    <t>Jun. 25 - Jul. 1</t>
  </si>
  <si>
    <t>Jul. 2 - Jul. 8</t>
  </si>
  <si>
    <t>Jul. 9 - Jul. 15</t>
  </si>
  <si>
    <t>Jul. 16 - Jul. 22</t>
  </si>
  <si>
    <t>Jul. 23 - Jul. 29</t>
  </si>
  <si>
    <t>Jul. 30 - Aug. 5</t>
  </si>
  <si>
    <t>Aug. 6 - Aug. 12</t>
  </si>
  <si>
    <t>Aug. 13 - Aug. 19</t>
  </si>
  <si>
    <t>Aug. 20 - Aug. 26</t>
  </si>
  <si>
    <t>Aug. 27 - Sep. 2</t>
  </si>
  <si>
    <t>Sep. 3 - Sep. 9</t>
  </si>
  <si>
    <t>Sep. 10 - Sep. 16</t>
  </si>
  <si>
    <t>Sep. 17 - Sep. 23</t>
  </si>
  <si>
    <t>Sep. 24 - Sep. 30</t>
  </si>
  <si>
    <t>Oct. 1 - Oct. 7</t>
  </si>
  <si>
    <t>Oct. 8 - Oct. 14</t>
  </si>
  <si>
    <t>Oct. 15 - Oct. 21</t>
  </si>
  <si>
    <t>Oct. 22 - Oct. 28</t>
  </si>
  <si>
    <t>Oct. 29 - Nov. 4</t>
  </si>
  <si>
    <t>Nov. 5 - Nov. 11</t>
  </si>
  <si>
    <t>Nov. 12 - Nov. 18</t>
  </si>
  <si>
    <t>Nov. 19 - Nov. 25</t>
  </si>
  <si>
    <t>Nov. 26 - Dec. 2</t>
  </si>
  <si>
    <t>Dec. 3 - Dec. 9</t>
  </si>
  <si>
    <t>Dec. 10 - Dec. 16</t>
  </si>
  <si>
    <t>Dec. 17 - Dec. 23</t>
  </si>
  <si>
    <t>Dec. 24 - Dec. 30</t>
  </si>
  <si>
    <t xml:space="preserve">Dec. 31 - </t>
  </si>
  <si>
    <t>Mar. 26 - Apr. 1</t>
  </si>
  <si>
    <t>unavailable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</si>
</sst>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7" formatCode="_(* #,##0_);_(* \(#,##0\);_(* &quot;-&quot;??_);_(@_)"/>
    <numFmt numFmtId="169" formatCode="0.000"/>
  </numFmts>
  <fonts count="13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10"/>
      <color indexed="12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b/>
      <sz val="10"/>
      <color indexed="48"/>
      <name val="Arial"/>
      <family val="2"/>
    </font>
    <font>
      <sz val="10"/>
      <color indexed="48"/>
      <name val="Arial"/>
      <family val="2"/>
    </font>
    <font>
      <b/>
      <sz val="16"/>
      <color indexed="10"/>
      <name val="Arial"/>
      <family val="2"/>
    </font>
    <font>
      <b/>
      <sz val="14"/>
      <color indexed="10"/>
      <name val="Arial"/>
      <family val="2"/>
    </font>
    <font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116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2" fillId="0" borderId="1" xfId="0" applyFont="1" applyBorder="1" applyAlignment="1">
      <alignment horizontal="center"/>
    </xf>
    <xf numFmtId="4" fontId="0" fillId="0" borderId="0" xfId="0" applyNumberFormat="1"/>
    <xf numFmtId="4" fontId="2" fillId="0" borderId="0" xfId="0" applyNumberFormat="1" applyFont="1" applyAlignment="1">
      <alignment horizontal="center"/>
    </xf>
    <xf numFmtId="2" fontId="0" fillId="0" borderId="0" xfId="0" applyNumberFormat="1"/>
    <xf numFmtId="0" fontId="0" fillId="0" borderId="2" xfId="0" applyBorder="1"/>
    <xf numFmtId="4" fontId="0" fillId="0" borderId="2" xfId="0" applyNumberFormat="1" applyBorder="1"/>
    <xf numFmtId="2" fontId="0" fillId="0" borderId="2" xfId="0" applyNumberFormat="1" applyBorder="1"/>
    <xf numFmtId="4" fontId="2" fillId="0" borderId="1" xfId="0" applyNumberFormat="1" applyFont="1" applyBorder="1" applyAlignment="1">
      <alignment horizontal="center"/>
    </xf>
    <xf numFmtId="0" fontId="0" fillId="0" borderId="1" xfId="0" applyBorder="1" applyAlignment="1">
      <alignment horizontal="center"/>
    </xf>
    <xf numFmtId="2" fontId="0" fillId="2" borderId="2" xfId="0" applyNumberFormat="1" applyFill="1" applyBorder="1"/>
    <xf numFmtId="0" fontId="2" fillId="0" borderId="0" xfId="0" applyFont="1" applyAlignment="1">
      <alignment horizontal="center"/>
    </xf>
    <xf numFmtId="0" fontId="7" fillId="0" borderId="0" xfId="0" applyFont="1"/>
    <xf numFmtId="0" fontId="8" fillId="0" borderId="0" xfId="0" applyFont="1" applyAlignment="1">
      <alignment horizontal="center"/>
    </xf>
    <xf numFmtId="0" fontId="8" fillId="0" borderId="1" xfId="0" applyFont="1" applyBorder="1" applyAlignment="1">
      <alignment horizontal="center"/>
    </xf>
    <xf numFmtId="0" fontId="7" fillId="0" borderId="0" xfId="0" applyFont="1" applyAlignment="1">
      <alignment horizontal="center"/>
    </xf>
    <xf numFmtId="0" fontId="10" fillId="0" borderId="0" xfId="0" applyFont="1"/>
    <xf numFmtId="0" fontId="11" fillId="0" borderId="0" xfId="0" applyFont="1"/>
    <xf numFmtId="0" fontId="7" fillId="0" borderId="1" xfId="0" applyFont="1" applyBorder="1"/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167" fontId="0" fillId="0" borderId="5" xfId="1" applyNumberFormat="1" applyFont="1" applyBorder="1"/>
    <xf numFmtId="167" fontId="0" fillId="0" borderId="6" xfId="1" applyNumberFormat="1" applyFont="1" applyBorder="1"/>
    <xf numFmtId="167" fontId="0" fillId="0" borderId="3" xfId="1" applyNumberFormat="1" applyFont="1" applyBorder="1"/>
    <xf numFmtId="167" fontId="0" fillId="0" borderId="4" xfId="1" applyNumberFormat="1" applyFont="1" applyBorder="1"/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167" fontId="0" fillId="0" borderId="9" xfId="1" applyNumberFormat="1" applyFont="1" applyBorder="1"/>
    <xf numFmtId="167" fontId="0" fillId="0" borderId="10" xfId="1" applyNumberFormat="1" applyFont="1" applyBorder="1"/>
    <xf numFmtId="167" fontId="0" fillId="0" borderId="8" xfId="1" applyNumberFormat="1" applyFont="1" applyBorder="1"/>
    <xf numFmtId="0" fontId="0" fillId="0" borderId="0" xfId="0" applyBorder="1"/>
    <xf numFmtId="167" fontId="0" fillId="0" borderId="0" xfId="0" applyNumberFormat="1"/>
    <xf numFmtId="0" fontId="0" fillId="0" borderId="11" xfId="0" applyBorder="1"/>
    <xf numFmtId="0" fontId="0" fillId="0" borderId="12" xfId="0" applyBorder="1"/>
    <xf numFmtId="167" fontId="0" fillId="0" borderId="5" xfId="0" applyNumberFormat="1" applyBorder="1"/>
    <xf numFmtId="167" fontId="0" fillId="0" borderId="6" xfId="0" applyNumberFormat="1" applyBorder="1"/>
    <xf numFmtId="167" fontId="0" fillId="0" borderId="3" xfId="0" applyNumberFormat="1" applyBorder="1"/>
    <xf numFmtId="167" fontId="0" fillId="0" borderId="4" xfId="0" applyNumberFormat="1" applyBorder="1"/>
    <xf numFmtId="0" fontId="2" fillId="0" borderId="13" xfId="0" applyFont="1" applyBorder="1" applyAlignment="1">
      <alignment horizontal="center"/>
    </xf>
    <xf numFmtId="0" fontId="2" fillId="0" borderId="5" xfId="0" applyFont="1" applyBorder="1"/>
    <xf numFmtId="0" fontId="2" fillId="0" borderId="3" xfId="0" applyFont="1" applyBorder="1"/>
    <xf numFmtId="0" fontId="2" fillId="0" borderId="14" xfId="0" applyFont="1" applyBorder="1" applyAlignment="1">
      <alignment horizontal="center"/>
    </xf>
    <xf numFmtId="167" fontId="0" fillId="0" borderId="15" xfId="1" applyNumberFormat="1" applyFont="1" applyBorder="1"/>
    <xf numFmtId="0" fontId="0" fillId="0" borderId="15" xfId="0" applyBorder="1" applyAlignment="1">
      <alignment horizontal="center"/>
    </xf>
    <xf numFmtId="0" fontId="2" fillId="0" borderId="16" xfId="0" applyFont="1" applyBorder="1" applyAlignment="1">
      <alignment horizontal="center"/>
    </xf>
    <xf numFmtId="0" fontId="12" fillId="0" borderId="16" xfId="0" applyFont="1" applyBorder="1" applyAlignment="1">
      <alignment horizontal="center"/>
    </xf>
    <xf numFmtId="0" fontId="12" fillId="0" borderId="15" xfId="0" applyFont="1" applyBorder="1" applyAlignment="1">
      <alignment horizontal="center"/>
    </xf>
    <xf numFmtId="0" fontId="2" fillId="0" borderId="17" xfId="0" applyFont="1" applyBorder="1" applyAlignment="1">
      <alignment horizontal="center"/>
    </xf>
    <xf numFmtId="17" fontId="2" fillId="0" borderId="16" xfId="0" applyNumberFormat="1" applyFont="1" applyBorder="1" applyAlignment="1">
      <alignment horizontal="left"/>
    </xf>
    <xf numFmtId="17" fontId="2" fillId="0" borderId="15" xfId="0" applyNumberFormat="1" applyFont="1" applyBorder="1" applyAlignment="1">
      <alignment horizontal="left"/>
    </xf>
    <xf numFmtId="0" fontId="2" fillId="0" borderId="15" xfId="0" applyFont="1" applyBorder="1"/>
    <xf numFmtId="0" fontId="2" fillId="0" borderId="17" xfId="0" applyFont="1" applyBorder="1"/>
    <xf numFmtId="0" fontId="0" fillId="0" borderId="18" xfId="0" applyBorder="1"/>
    <xf numFmtId="2" fontId="0" fillId="2" borderId="18" xfId="0" applyNumberFormat="1" applyFill="1" applyBorder="1"/>
    <xf numFmtId="0" fontId="0" fillId="2" borderId="18" xfId="0" applyFill="1" applyBorder="1"/>
    <xf numFmtId="2" fontId="0" fillId="0" borderId="18" xfId="0" applyNumberFormat="1" applyBorder="1"/>
    <xf numFmtId="2" fontId="0" fillId="0" borderId="15" xfId="0" applyNumberFormat="1" applyBorder="1" applyAlignment="1">
      <alignment horizontal="center"/>
    </xf>
    <xf numFmtId="169" fontId="2" fillId="0" borderId="16" xfId="0" applyNumberFormat="1" applyFont="1" applyBorder="1" applyAlignment="1">
      <alignment horizontal="center"/>
    </xf>
    <xf numFmtId="169" fontId="2" fillId="0" borderId="15" xfId="0" applyNumberFormat="1" applyFont="1" applyBorder="1" applyAlignment="1">
      <alignment horizontal="center"/>
    </xf>
    <xf numFmtId="169" fontId="2" fillId="0" borderId="17" xfId="0" applyNumberFormat="1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15" xfId="0" applyNumberFormat="1" applyFont="1" applyBorder="1" applyAlignment="1">
      <alignment horizontal="center"/>
    </xf>
    <xf numFmtId="2" fontId="2" fillId="0" borderId="15" xfId="0" applyNumberFormat="1" applyFont="1" applyBorder="1" applyAlignment="1">
      <alignment horizontal="center"/>
    </xf>
    <xf numFmtId="0" fontId="0" fillId="2" borderId="2" xfId="0" applyFill="1" applyBorder="1"/>
    <xf numFmtId="0" fontId="2" fillId="0" borderId="0" xfId="0" applyFont="1" applyAlignment="1">
      <alignment horizontal="left"/>
    </xf>
    <xf numFmtId="0" fontId="2" fillId="0" borderId="11" xfId="0" applyFont="1" applyBorder="1"/>
    <xf numFmtId="167" fontId="0" fillId="0" borderId="19" xfId="1" applyNumberFormat="1" applyFont="1" applyBorder="1"/>
    <xf numFmtId="167" fontId="9" fillId="0" borderId="19" xfId="1" applyNumberFormat="1" applyFont="1" applyBorder="1"/>
    <xf numFmtId="167" fontId="0" fillId="0" borderId="12" xfId="1" applyNumberFormat="1" applyFont="1" applyBorder="1"/>
    <xf numFmtId="167" fontId="0" fillId="0" borderId="0" xfId="1" applyNumberFormat="1" applyFont="1" applyBorder="1"/>
    <xf numFmtId="167" fontId="9" fillId="0" borderId="0" xfId="1" applyNumberFormat="1" applyFont="1" applyBorder="1"/>
    <xf numFmtId="167" fontId="0" fillId="0" borderId="1" xfId="1" applyNumberFormat="1" applyFont="1" applyBorder="1"/>
    <xf numFmtId="167" fontId="9" fillId="0" borderId="1" xfId="1" applyNumberFormat="1" applyFont="1" applyBorder="1"/>
    <xf numFmtId="0" fontId="2" fillId="0" borderId="6" xfId="0" applyFont="1" applyBorder="1" applyAlignment="1">
      <alignment horizontal="center"/>
    </xf>
    <xf numFmtId="0" fontId="7" fillId="0" borderId="0" xfId="0" applyFont="1" applyAlignment="1">
      <alignment horizontal="right"/>
    </xf>
    <xf numFmtId="17" fontId="2" fillId="0" borderId="11" xfId="0" applyNumberFormat="1" applyFont="1" applyBorder="1" applyAlignment="1">
      <alignment horizontal="left"/>
    </xf>
    <xf numFmtId="17" fontId="2" fillId="0" borderId="5" xfId="0" applyNumberFormat="1" applyFont="1" applyBorder="1" applyAlignment="1">
      <alignment horizontal="left"/>
    </xf>
    <xf numFmtId="17" fontId="2" fillId="0" borderId="3" xfId="0" applyNumberFormat="1" applyFont="1" applyBorder="1" applyAlignment="1">
      <alignment horizontal="left"/>
    </xf>
    <xf numFmtId="0" fontId="12" fillId="0" borderId="17" xfId="0" applyFont="1" applyBorder="1" applyAlignment="1">
      <alignment horizontal="center"/>
    </xf>
    <xf numFmtId="17" fontId="2" fillId="0" borderId="17" xfId="0" applyNumberFormat="1" applyFont="1" applyBorder="1" applyAlignment="1">
      <alignment horizontal="left"/>
    </xf>
    <xf numFmtId="0" fontId="0" fillId="0" borderId="16" xfId="0" applyBorder="1"/>
    <xf numFmtId="0" fontId="0" fillId="0" borderId="15" xfId="0" applyBorder="1"/>
    <xf numFmtId="0" fontId="0" fillId="0" borderId="17" xfId="0" applyBorder="1"/>
    <xf numFmtId="0" fontId="2" fillId="0" borderId="16" xfId="0" applyFont="1" applyBorder="1"/>
    <xf numFmtId="0" fontId="2" fillId="0" borderId="12" xfId="0" applyFont="1" applyBorder="1"/>
    <xf numFmtId="0" fontId="2" fillId="0" borderId="6" xfId="0" applyFont="1" applyBorder="1"/>
    <xf numFmtId="0" fontId="2" fillId="0" borderId="4" xfId="0" applyFont="1" applyBorder="1"/>
    <xf numFmtId="2" fontId="2" fillId="0" borderId="12" xfId="0" applyNumberFormat="1" applyFont="1" applyBorder="1" applyAlignment="1">
      <alignment horizontal="center"/>
    </xf>
    <xf numFmtId="167" fontId="0" fillId="0" borderId="16" xfId="1" applyNumberFormat="1" applyFont="1" applyBorder="1"/>
    <xf numFmtId="2" fontId="0" fillId="0" borderId="16" xfId="0" applyNumberFormat="1" applyBorder="1" applyAlignment="1">
      <alignment horizontal="center"/>
    </xf>
    <xf numFmtId="167" fontId="0" fillId="0" borderId="11" xfId="0" applyNumberFormat="1" applyBorder="1"/>
    <xf numFmtId="167" fontId="0" fillId="0" borderId="12" xfId="0" applyNumberFormat="1" applyBorder="1"/>
    <xf numFmtId="169" fontId="2" fillId="0" borderId="12" xfId="0" applyNumberFormat="1" applyFont="1" applyBorder="1" applyAlignment="1">
      <alignment horizontal="center"/>
    </xf>
    <xf numFmtId="0" fontId="0" fillId="0" borderId="16" xfId="0" applyBorder="1" applyAlignment="1">
      <alignment horizontal="center"/>
    </xf>
    <xf numFmtId="43" fontId="0" fillId="0" borderId="16" xfId="1" applyFont="1" applyBorder="1"/>
    <xf numFmtId="43" fontId="0" fillId="0" borderId="15" xfId="1" applyFont="1" applyBorder="1"/>
    <xf numFmtId="43" fontId="0" fillId="0" borderId="17" xfId="1" applyFont="1" applyBorder="1"/>
    <xf numFmtId="44" fontId="0" fillId="0" borderId="16" xfId="2" applyFont="1" applyBorder="1" applyAlignment="1">
      <alignment horizontal="center"/>
    </xf>
    <xf numFmtId="44" fontId="0" fillId="0" borderId="15" xfId="2" applyFont="1" applyBorder="1"/>
    <xf numFmtId="44" fontId="0" fillId="0" borderId="17" xfId="2" applyFont="1" applyBorder="1"/>
    <xf numFmtId="44" fontId="0" fillId="0" borderId="16" xfId="2" applyFont="1" applyBorder="1"/>
    <xf numFmtId="44" fontId="0" fillId="0" borderId="15" xfId="2" applyFont="1" applyBorder="1" applyAlignment="1">
      <alignment horizontal="center"/>
    </xf>
    <xf numFmtId="44" fontId="0" fillId="0" borderId="17" xfId="2" applyFont="1" applyBorder="1" applyAlignment="1">
      <alignment horizontal="center"/>
    </xf>
    <xf numFmtId="2" fontId="2" fillId="0" borderId="6" xfId="0" applyNumberFormat="1" applyFont="1" applyBorder="1" applyAlignment="1">
      <alignment horizontal="center"/>
    </xf>
    <xf numFmtId="3" fontId="0" fillId="0" borderId="15" xfId="0" applyNumberFormat="1" applyBorder="1"/>
    <xf numFmtId="0" fontId="2" fillId="0" borderId="11" xfId="0" applyFont="1" applyBorder="1" applyAlignment="1">
      <alignment horizontal="center"/>
    </xf>
    <xf numFmtId="0" fontId="2" fillId="0" borderId="12" xfId="0" applyFont="1" applyBorder="1" applyAlignment="1">
      <alignment horizontal="center"/>
    </xf>
    <xf numFmtId="0" fontId="2" fillId="0" borderId="20" xfId="0" applyFont="1" applyBorder="1" applyAlignment="1">
      <alignment horizontal="center"/>
    </xf>
    <xf numFmtId="0" fontId="2" fillId="0" borderId="21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</cellXfs>
  <cellStyles count="3">
    <cellStyle name="Comma" xfId="1" builtinId="3"/>
    <cellStyle name="Currency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19050</xdr:colOff>
      <xdr:row>9</xdr:row>
      <xdr:rowOff>9525</xdr:rowOff>
    </xdr:from>
    <xdr:to>
      <xdr:col>8</xdr:col>
      <xdr:colOff>285750</xdr:colOff>
      <xdr:row>13</xdr:row>
      <xdr:rowOff>76200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EB5AD64-5790-677A-935E-B345BD917AA4}"/>
            </a:ext>
          </a:extLst>
        </xdr:cNvPr>
        <xdr:cNvSpPr>
          <a:spLocks noChangeShapeType="1"/>
        </xdr:cNvSpPr>
      </xdr:nvSpPr>
      <xdr:spPr bwMode="auto">
        <a:xfrm flipH="1" flipV="1">
          <a:off x="5410200" y="1600200"/>
          <a:ext cx="876300" cy="7143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13</xdr:row>
      <xdr:rowOff>114300</xdr:rowOff>
    </xdr:from>
    <xdr:to>
      <xdr:col>8</xdr:col>
      <xdr:colOff>314325</xdr:colOff>
      <xdr:row>20</xdr:row>
      <xdr:rowOff>152400</xdr:rowOff>
    </xdr:to>
    <xdr:sp macro="" textlink="">
      <xdr:nvSpPr>
        <xdr:cNvPr id="2050" name="Line 2">
          <a:extLst>
            <a:ext uri="{FF2B5EF4-FFF2-40B4-BE49-F238E27FC236}">
              <a16:creationId xmlns:a16="http://schemas.microsoft.com/office/drawing/2014/main" id="{29F34130-07A8-98DC-333D-BDDA91F04A95}"/>
            </a:ext>
          </a:extLst>
        </xdr:cNvPr>
        <xdr:cNvSpPr>
          <a:spLocks noChangeShapeType="1"/>
        </xdr:cNvSpPr>
      </xdr:nvSpPr>
      <xdr:spPr bwMode="auto">
        <a:xfrm flipH="1">
          <a:off x="5410200" y="2352675"/>
          <a:ext cx="904875" cy="11715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6</xdr:row>
      <xdr:rowOff>19050</xdr:rowOff>
    </xdr:from>
    <xdr:to>
      <xdr:col>8</xdr:col>
      <xdr:colOff>333375</xdr:colOff>
      <xdr:row>7</xdr:row>
      <xdr:rowOff>95250</xdr:rowOff>
    </xdr:to>
    <xdr:sp macro="" textlink="">
      <xdr:nvSpPr>
        <xdr:cNvPr id="2051" name="Line 3">
          <a:extLst>
            <a:ext uri="{FF2B5EF4-FFF2-40B4-BE49-F238E27FC236}">
              <a16:creationId xmlns:a16="http://schemas.microsoft.com/office/drawing/2014/main" id="{0B9C8ED9-B950-14C5-468C-FC72EBA8DED2}"/>
            </a:ext>
          </a:extLst>
        </xdr:cNvPr>
        <xdr:cNvSpPr>
          <a:spLocks noChangeShapeType="1"/>
        </xdr:cNvSpPr>
      </xdr:nvSpPr>
      <xdr:spPr bwMode="auto">
        <a:xfrm flipH="1" flipV="1">
          <a:off x="5410200" y="1114425"/>
          <a:ext cx="923925" cy="23812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19050</xdr:colOff>
      <xdr:row>7</xdr:row>
      <xdr:rowOff>104775</xdr:rowOff>
    </xdr:from>
    <xdr:to>
      <xdr:col>8</xdr:col>
      <xdr:colOff>333375</xdr:colOff>
      <xdr:row>9</xdr:row>
      <xdr:rowOff>0</xdr:rowOff>
    </xdr:to>
    <xdr:sp macro="" textlink="">
      <xdr:nvSpPr>
        <xdr:cNvPr id="2052" name="Line 4">
          <a:extLst>
            <a:ext uri="{FF2B5EF4-FFF2-40B4-BE49-F238E27FC236}">
              <a16:creationId xmlns:a16="http://schemas.microsoft.com/office/drawing/2014/main" id="{C44DC7E6-4981-F49C-348F-1768938AEB45}"/>
            </a:ext>
          </a:extLst>
        </xdr:cNvPr>
        <xdr:cNvSpPr>
          <a:spLocks noChangeShapeType="1"/>
        </xdr:cNvSpPr>
      </xdr:nvSpPr>
      <xdr:spPr bwMode="auto">
        <a:xfrm flipH="1">
          <a:off x="5410200" y="1362075"/>
          <a:ext cx="923925" cy="2286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28575</xdr:colOff>
      <xdr:row>21</xdr:row>
      <xdr:rowOff>28575</xdr:rowOff>
    </xdr:from>
    <xdr:to>
      <xdr:col>8</xdr:col>
      <xdr:colOff>323850</xdr:colOff>
      <xdr:row>26</xdr:row>
      <xdr:rowOff>85725</xdr:rowOff>
    </xdr:to>
    <xdr:sp macro="" textlink="">
      <xdr:nvSpPr>
        <xdr:cNvPr id="2053" name="Line 5">
          <a:extLst>
            <a:ext uri="{FF2B5EF4-FFF2-40B4-BE49-F238E27FC236}">
              <a16:creationId xmlns:a16="http://schemas.microsoft.com/office/drawing/2014/main" id="{21A7CC74-A1C5-D3A6-C9E0-F211FEDF2165}"/>
            </a:ext>
          </a:extLst>
        </xdr:cNvPr>
        <xdr:cNvSpPr>
          <a:spLocks noChangeShapeType="1"/>
        </xdr:cNvSpPr>
      </xdr:nvSpPr>
      <xdr:spPr bwMode="auto">
        <a:xfrm flipH="1" flipV="1">
          <a:off x="5419725" y="3571875"/>
          <a:ext cx="904875" cy="866775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9525</xdr:colOff>
      <xdr:row>26</xdr:row>
      <xdr:rowOff>95250</xdr:rowOff>
    </xdr:from>
    <xdr:to>
      <xdr:col>8</xdr:col>
      <xdr:colOff>323850</xdr:colOff>
      <xdr:row>32</xdr:row>
      <xdr:rowOff>152400</xdr:rowOff>
    </xdr:to>
    <xdr:sp macro="" textlink="">
      <xdr:nvSpPr>
        <xdr:cNvPr id="2054" name="Line 6">
          <a:extLst>
            <a:ext uri="{FF2B5EF4-FFF2-40B4-BE49-F238E27FC236}">
              <a16:creationId xmlns:a16="http://schemas.microsoft.com/office/drawing/2014/main" id="{774352B9-4922-6C2D-792A-2ADD37E41428}"/>
            </a:ext>
          </a:extLst>
        </xdr:cNvPr>
        <xdr:cNvSpPr>
          <a:spLocks noChangeShapeType="1"/>
        </xdr:cNvSpPr>
      </xdr:nvSpPr>
      <xdr:spPr bwMode="auto">
        <a:xfrm flipH="1">
          <a:off x="5400675" y="4448175"/>
          <a:ext cx="923925" cy="102870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23</xdr:row>
      <xdr:rowOff>38100</xdr:rowOff>
    </xdr:from>
    <xdr:to>
      <xdr:col>7</xdr:col>
      <xdr:colOff>276225</xdr:colOff>
      <xdr:row>34</xdr:row>
      <xdr:rowOff>142875</xdr:rowOff>
    </xdr:to>
    <xdr:sp macro="" textlink="">
      <xdr:nvSpPr>
        <xdr:cNvPr id="1025" name="Freeform 1">
          <a:extLst>
            <a:ext uri="{FF2B5EF4-FFF2-40B4-BE49-F238E27FC236}">
              <a16:creationId xmlns:a16="http://schemas.microsoft.com/office/drawing/2014/main" id="{B7EB6BA1-A653-12E2-CC81-F8386C9BB342}"/>
            </a:ext>
          </a:extLst>
        </xdr:cNvPr>
        <xdr:cNvSpPr>
          <a:spLocks/>
        </xdr:cNvSpPr>
      </xdr:nvSpPr>
      <xdr:spPr bwMode="auto">
        <a:xfrm>
          <a:off x="5143500" y="3876675"/>
          <a:ext cx="276225" cy="1885950"/>
        </a:xfrm>
        <a:custGeom>
          <a:avLst/>
          <a:gdLst>
            <a:gd name="T0" fmla="*/ 1 w 29"/>
            <a:gd name="T1" fmla="*/ 1 h 198"/>
            <a:gd name="T2" fmla="*/ 13 w 29"/>
            <a:gd name="T3" fmla="*/ 8 h 198"/>
            <a:gd name="T4" fmla="*/ 24 w 29"/>
            <a:gd name="T5" fmla="*/ 49 h 198"/>
            <a:gd name="T6" fmla="*/ 20 w 29"/>
            <a:gd name="T7" fmla="*/ 64 h 198"/>
            <a:gd name="T8" fmla="*/ 1 w 29"/>
            <a:gd name="T9" fmla="*/ 83 h 198"/>
            <a:gd name="T10" fmla="*/ 24 w 29"/>
            <a:gd name="T11" fmla="*/ 98 h 198"/>
            <a:gd name="T12" fmla="*/ 1 w 29"/>
            <a:gd name="T13" fmla="*/ 118 h 198"/>
            <a:gd name="T14" fmla="*/ 25 w 29"/>
            <a:gd name="T15" fmla="*/ 134 h 198"/>
            <a:gd name="T16" fmla="*/ 26 w 29"/>
            <a:gd name="T17" fmla="*/ 175 h 198"/>
            <a:gd name="T18" fmla="*/ 5 w 29"/>
            <a:gd name="T19" fmla="*/ 198 h 19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29" h="198">
              <a:moveTo>
                <a:pt x="1" y="1"/>
              </a:moveTo>
              <a:cubicBezTo>
                <a:pt x="5" y="0"/>
                <a:pt x="9" y="0"/>
                <a:pt x="13" y="8"/>
              </a:cubicBezTo>
              <a:cubicBezTo>
                <a:pt x="17" y="16"/>
                <a:pt x="23" y="40"/>
                <a:pt x="24" y="49"/>
              </a:cubicBezTo>
              <a:cubicBezTo>
                <a:pt x="25" y="58"/>
                <a:pt x="24" y="58"/>
                <a:pt x="20" y="64"/>
              </a:cubicBezTo>
              <a:cubicBezTo>
                <a:pt x="16" y="70"/>
                <a:pt x="0" y="77"/>
                <a:pt x="1" y="83"/>
              </a:cubicBezTo>
              <a:cubicBezTo>
                <a:pt x="2" y="89"/>
                <a:pt x="24" y="92"/>
                <a:pt x="24" y="98"/>
              </a:cubicBezTo>
              <a:cubicBezTo>
                <a:pt x="24" y="104"/>
                <a:pt x="1" y="112"/>
                <a:pt x="1" y="118"/>
              </a:cubicBezTo>
              <a:cubicBezTo>
                <a:pt x="1" y="124"/>
                <a:pt x="21" y="125"/>
                <a:pt x="25" y="134"/>
              </a:cubicBezTo>
              <a:cubicBezTo>
                <a:pt x="29" y="143"/>
                <a:pt x="29" y="164"/>
                <a:pt x="26" y="175"/>
              </a:cubicBezTo>
              <a:cubicBezTo>
                <a:pt x="23" y="186"/>
                <a:pt x="9" y="194"/>
                <a:pt x="5" y="198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  <xdr:twoCellAnchor>
    <xdr:from>
      <xdr:col>7</xdr:col>
      <xdr:colOff>0</xdr:colOff>
      <xdr:row>10</xdr:row>
      <xdr:rowOff>161925</xdr:rowOff>
    </xdr:from>
    <xdr:to>
      <xdr:col>7</xdr:col>
      <xdr:colOff>276225</xdr:colOff>
      <xdr:row>22</xdr:row>
      <xdr:rowOff>95250</xdr:rowOff>
    </xdr:to>
    <xdr:sp macro="" textlink="">
      <xdr:nvSpPr>
        <xdr:cNvPr id="1026" name="Freeform 2">
          <a:extLst>
            <a:ext uri="{FF2B5EF4-FFF2-40B4-BE49-F238E27FC236}">
              <a16:creationId xmlns:a16="http://schemas.microsoft.com/office/drawing/2014/main" id="{F5CF551B-895B-56E7-201D-32F3D80A3791}"/>
            </a:ext>
          </a:extLst>
        </xdr:cNvPr>
        <xdr:cNvSpPr>
          <a:spLocks/>
        </xdr:cNvSpPr>
      </xdr:nvSpPr>
      <xdr:spPr bwMode="auto">
        <a:xfrm>
          <a:off x="5143500" y="1876425"/>
          <a:ext cx="276225" cy="1885950"/>
        </a:xfrm>
        <a:custGeom>
          <a:avLst/>
          <a:gdLst>
            <a:gd name="T0" fmla="*/ 1 w 29"/>
            <a:gd name="T1" fmla="*/ 1 h 198"/>
            <a:gd name="T2" fmla="*/ 13 w 29"/>
            <a:gd name="T3" fmla="*/ 8 h 198"/>
            <a:gd name="T4" fmla="*/ 24 w 29"/>
            <a:gd name="T5" fmla="*/ 49 h 198"/>
            <a:gd name="T6" fmla="*/ 20 w 29"/>
            <a:gd name="T7" fmla="*/ 64 h 198"/>
            <a:gd name="T8" fmla="*/ 1 w 29"/>
            <a:gd name="T9" fmla="*/ 83 h 198"/>
            <a:gd name="T10" fmla="*/ 24 w 29"/>
            <a:gd name="T11" fmla="*/ 98 h 198"/>
            <a:gd name="T12" fmla="*/ 1 w 29"/>
            <a:gd name="T13" fmla="*/ 118 h 198"/>
            <a:gd name="T14" fmla="*/ 25 w 29"/>
            <a:gd name="T15" fmla="*/ 134 h 198"/>
            <a:gd name="T16" fmla="*/ 26 w 29"/>
            <a:gd name="T17" fmla="*/ 175 h 198"/>
            <a:gd name="T18" fmla="*/ 5 w 29"/>
            <a:gd name="T19" fmla="*/ 198 h 198"/>
          </a:gdLst>
          <a:ahLst/>
          <a:cxnLst>
            <a:cxn ang="0">
              <a:pos x="T0" y="T1"/>
            </a:cxn>
            <a:cxn ang="0">
              <a:pos x="T2" y="T3"/>
            </a:cxn>
            <a:cxn ang="0">
              <a:pos x="T4" y="T5"/>
            </a:cxn>
            <a:cxn ang="0">
              <a:pos x="T6" y="T7"/>
            </a:cxn>
            <a:cxn ang="0">
              <a:pos x="T8" y="T9"/>
            </a:cxn>
            <a:cxn ang="0">
              <a:pos x="T10" y="T11"/>
            </a:cxn>
            <a:cxn ang="0">
              <a:pos x="T12" y="T13"/>
            </a:cxn>
            <a:cxn ang="0">
              <a:pos x="T14" y="T15"/>
            </a:cxn>
            <a:cxn ang="0">
              <a:pos x="T16" y="T17"/>
            </a:cxn>
            <a:cxn ang="0">
              <a:pos x="T18" y="T19"/>
            </a:cxn>
          </a:cxnLst>
          <a:rect l="0" t="0" r="r" b="b"/>
          <a:pathLst>
            <a:path w="29" h="198">
              <a:moveTo>
                <a:pt x="1" y="1"/>
              </a:moveTo>
              <a:cubicBezTo>
                <a:pt x="5" y="0"/>
                <a:pt x="9" y="0"/>
                <a:pt x="13" y="8"/>
              </a:cubicBezTo>
              <a:cubicBezTo>
                <a:pt x="17" y="16"/>
                <a:pt x="23" y="40"/>
                <a:pt x="24" y="49"/>
              </a:cubicBezTo>
              <a:cubicBezTo>
                <a:pt x="25" y="58"/>
                <a:pt x="24" y="58"/>
                <a:pt x="20" y="64"/>
              </a:cubicBezTo>
              <a:cubicBezTo>
                <a:pt x="16" y="70"/>
                <a:pt x="0" y="77"/>
                <a:pt x="1" y="83"/>
              </a:cubicBezTo>
              <a:cubicBezTo>
                <a:pt x="2" y="89"/>
                <a:pt x="24" y="92"/>
                <a:pt x="24" y="98"/>
              </a:cubicBezTo>
              <a:cubicBezTo>
                <a:pt x="24" y="104"/>
                <a:pt x="1" y="112"/>
                <a:pt x="1" y="118"/>
              </a:cubicBezTo>
              <a:cubicBezTo>
                <a:pt x="1" y="124"/>
                <a:pt x="21" y="125"/>
                <a:pt x="25" y="134"/>
              </a:cubicBezTo>
              <a:cubicBezTo>
                <a:pt x="29" y="143"/>
                <a:pt x="29" y="164"/>
                <a:pt x="26" y="175"/>
              </a:cubicBezTo>
              <a:cubicBezTo>
                <a:pt x="23" y="186"/>
                <a:pt x="9" y="194"/>
                <a:pt x="5" y="198"/>
              </a:cubicBezTo>
            </a:path>
          </a:pathLst>
        </a:cu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3"/>
  <sheetViews>
    <sheetView tabSelected="1" topLeftCell="A3" workbookViewId="0">
      <selection activeCell="E7" sqref="E7:E26"/>
    </sheetView>
  </sheetViews>
  <sheetFormatPr defaultRowHeight="12.75" x14ac:dyDescent="0.2"/>
  <cols>
    <col min="1" max="1" width="12.42578125" customWidth="1"/>
    <col min="2" max="2" width="12.28515625" bestFit="1" customWidth="1"/>
    <col min="3" max="3" width="11.28515625" bestFit="1" customWidth="1"/>
    <col min="6" max="7" width="13.28515625" bestFit="1" customWidth="1"/>
  </cols>
  <sheetData>
    <row r="1" spans="1:9" ht="20.25" x14ac:dyDescent="0.3">
      <c r="A1" s="21" t="s">
        <v>165</v>
      </c>
    </row>
    <row r="3" spans="1:9" x14ac:dyDescent="0.2">
      <c r="A3" t="s">
        <v>1</v>
      </c>
      <c r="E3" t="s">
        <v>167</v>
      </c>
    </row>
    <row r="4" spans="1:9" ht="13.5" thickBot="1" x14ac:dyDescent="0.25">
      <c r="A4">
        <v>0.15898699999999999</v>
      </c>
    </row>
    <row r="5" spans="1:9" ht="13.5" thickBot="1" x14ac:dyDescent="0.25">
      <c r="G5" s="49" t="s">
        <v>166</v>
      </c>
    </row>
    <row r="6" spans="1:9" ht="13.5" thickBot="1" x14ac:dyDescent="0.25">
      <c r="A6" s="43" t="s">
        <v>103</v>
      </c>
      <c r="B6" s="46" t="s">
        <v>4</v>
      </c>
      <c r="C6" s="46" t="s">
        <v>5</v>
      </c>
      <c r="D6" s="46" t="s">
        <v>6</v>
      </c>
      <c r="E6" s="46" t="s">
        <v>166</v>
      </c>
      <c r="F6" s="46" t="s">
        <v>103</v>
      </c>
      <c r="G6" s="52" t="s">
        <v>168</v>
      </c>
    </row>
    <row r="7" spans="1:9" x14ac:dyDescent="0.2">
      <c r="A7" s="80">
        <v>36069</v>
      </c>
      <c r="B7" s="50" t="s">
        <v>119</v>
      </c>
      <c r="C7" s="50" t="s">
        <v>119</v>
      </c>
      <c r="D7" s="50" t="s">
        <v>119</v>
      </c>
      <c r="E7" s="49">
        <v>13.85</v>
      </c>
      <c r="F7" s="53">
        <v>36069</v>
      </c>
      <c r="G7" s="62">
        <f t="shared" ref="G7:G26" si="0">E7/5.5</f>
        <v>2.5181818181818181</v>
      </c>
    </row>
    <row r="8" spans="1:9" x14ac:dyDescent="0.2">
      <c r="A8" s="81">
        <v>36100</v>
      </c>
      <c r="B8" s="51" t="s">
        <v>119</v>
      </c>
      <c r="C8" s="51" t="s">
        <v>119</v>
      </c>
      <c r="D8" s="51" t="s">
        <v>119</v>
      </c>
      <c r="E8" s="65">
        <v>13.74</v>
      </c>
      <c r="F8" s="54">
        <v>36100</v>
      </c>
      <c r="G8" s="63">
        <f t="shared" si="0"/>
        <v>2.4981818181818181</v>
      </c>
      <c r="I8" s="1">
        <v>1998</v>
      </c>
    </row>
    <row r="9" spans="1:9" ht="13.5" thickBot="1" x14ac:dyDescent="0.25">
      <c r="A9" s="82">
        <v>36130</v>
      </c>
      <c r="B9" s="83" t="s">
        <v>119</v>
      </c>
      <c r="C9" s="83" t="s">
        <v>119</v>
      </c>
      <c r="D9" s="83" t="s">
        <v>119</v>
      </c>
      <c r="E9" s="52">
        <v>12.87</v>
      </c>
      <c r="F9" s="84">
        <v>36130</v>
      </c>
      <c r="G9" s="64">
        <f t="shared" si="0"/>
        <v>2.34</v>
      </c>
    </row>
    <row r="10" spans="1:9" x14ac:dyDescent="0.2">
      <c r="A10" s="44" t="s">
        <v>107</v>
      </c>
      <c r="B10" s="47">
        <f>'Japan Import'!U13</f>
        <v>169591073</v>
      </c>
      <c r="C10" s="47">
        <f>'Japan Import'!T13</f>
        <v>20817730</v>
      </c>
      <c r="D10" s="48" t="str">
        <f>'Y Calculation'!G9</f>
        <v>NA</v>
      </c>
      <c r="E10" s="66">
        <v>11.35</v>
      </c>
      <c r="F10" s="55" t="s">
        <v>107</v>
      </c>
      <c r="G10" s="63">
        <f t="shared" si="0"/>
        <v>2.0636363636363635</v>
      </c>
    </row>
    <row r="11" spans="1:9" x14ac:dyDescent="0.2">
      <c r="A11" s="44" t="s">
        <v>108</v>
      </c>
      <c r="B11" s="47">
        <f>'Japan Import'!U14</f>
        <v>172587523</v>
      </c>
      <c r="C11" s="47">
        <f>'Japan Import'!T14</f>
        <v>20955384</v>
      </c>
      <c r="D11" s="61">
        <f>'Y Calculation'!G10</f>
        <v>114.16955165596713</v>
      </c>
      <c r="E11" s="67">
        <f t="shared" ref="E11:E22" si="1">(B11*$A$4*1000)/(C11*D11)</f>
        <v>11.468987809738701</v>
      </c>
      <c r="F11" s="55" t="s">
        <v>108</v>
      </c>
      <c r="G11" s="63">
        <f t="shared" si="0"/>
        <v>2.0852705108615819</v>
      </c>
    </row>
    <row r="12" spans="1:9" x14ac:dyDescent="0.2">
      <c r="A12" s="44" t="s">
        <v>109</v>
      </c>
      <c r="B12" s="47">
        <f>'Japan Import'!U15</f>
        <v>195808714</v>
      </c>
      <c r="C12" s="47">
        <f>'Japan Import'!T15</f>
        <v>23054846</v>
      </c>
      <c r="D12" s="61">
        <f>'Y Calculation'!G11</f>
        <v>119.88489317238638</v>
      </c>
      <c r="E12" s="67">
        <f t="shared" si="1"/>
        <v>11.263333498783563</v>
      </c>
      <c r="F12" s="55" t="s">
        <v>109</v>
      </c>
      <c r="G12" s="63">
        <f t="shared" si="0"/>
        <v>2.047878817960648</v>
      </c>
    </row>
    <row r="13" spans="1:9" x14ac:dyDescent="0.2">
      <c r="A13" s="44" t="s">
        <v>110</v>
      </c>
      <c r="B13" s="47">
        <f>'Japan Import'!U16</f>
        <v>231790737</v>
      </c>
      <c r="C13" s="47">
        <f>'Japan Import'!T16</f>
        <v>23742586</v>
      </c>
      <c r="D13" s="61">
        <f>'Y Calculation'!G12</f>
        <v>119.59384289102611</v>
      </c>
      <c r="E13" s="67">
        <f t="shared" si="1"/>
        <v>12.978390876435329</v>
      </c>
      <c r="F13" s="55" t="s">
        <v>110</v>
      </c>
      <c r="G13" s="63">
        <f t="shared" si="0"/>
        <v>2.3597074320791509</v>
      </c>
    </row>
    <row r="14" spans="1:9" x14ac:dyDescent="0.2">
      <c r="A14" s="44" t="s">
        <v>111</v>
      </c>
      <c r="B14" s="47">
        <f>'Japan Import'!U17</f>
        <v>203346469</v>
      </c>
      <c r="C14" s="47">
        <f>'Japan Import'!T17</f>
        <v>17314645</v>
      </c>
      <c r="D14" s="61">
        <f>'Y Calculation'!G13</f>
        <v>120.20954490877392</v>
      </c>
      <c r="E14" s="67">
        <f t="shared" si="1"/>
        <v>15.532655329980679</v>
      </c>
      <c r="F14" s="55" t="s">
        <v>111</v>
      </c>
      <c r="G14" s="63">
        <f t="shared" si="0"/>
        <v>2.8241191509055779</v>
      </c>
      <c r="I14" s="1">
        <v>1999</v>
      </c>
    </row>
    <row r="15" spans="1:9" x14ac:dyDescent="0.2">
      <c r="A15" s="44" t="s">
        <v>112</v>
      </c>
      <c r="B15" s="47">
        <f>'Japan Import'!U18</f>
        <v>238000482</v>
      </c>
      <c r="C15" s="47">
        <f>'Japan Import'!T18</f>
        <v>19056681</v>
      </c>
      <c r="D15" s="61">
        <f>'Y Calculation'!G14</f>
        <v>121.52072330267332</v>
      </c>
      <c r="E15" s="67">
        <f t="shared" si="1"/>
        <v>16.339615821219237</v>
      </c>
      <c r="F15" s="55" t="s">
        <v>112</v>
      </c>
      <c r="G15" s="63">
        <f t="shared" si="0"/>
        <v>2.9708392402216792</v>
      </c>
    </row>
    <row r="16" spans="1:9" x14ac:dyDescent="0.2">
      <c r="A16" s="44" t="s">
        <v>113</v>
      </c>
      <c r="B16" s="47">
        <f>'Japan Import'!U19</f>
        <v>230943264</v>
      </c>
      <c r="C16" s="47">
        <f>'Japan Import'!T19</f>
        <v>18108366</v>
      </c>
      <c r="D16" s="61">
        <f>'Y Calculation'!G15</f>
        <v>121.56854352714552</v>
      </c>
      <c r="E16" s="67">
        <f t="shared" si="1"/>
        <v>16.678862821518177</v>
      </c>
      <c r="F16" s="55" t="s">
        <v>113</v>
      </c>
      <c r="G16" s="63">
        <f t="shared" si="0"/>
        <v>3.0325205130033051</v>
      </c>
    </row>
    <row r="17" spans="1:9" x14ac:dyDescent="0.2">
      <c r="A17" s="44" t="s">
        <v>114</v>
      </c>
      <c r="B17" s="47">
        <f>'Japan Import'!U20</f>
        <v>305302538</v>
      </c>
      <c r="C17" s="47">
        <f>'Japan Import'!T20</f>
        <v>22584292</v>
      </c>
      <c r="D17" s="61">
        <f>'Y Calculation'!G16</f>
        <v>115.95560741804408</v>
      </c>
      <c r="E17" s="67">
        <f t="shared" si="1"/>
        <v>18.53505135214639</v>
      </c>
      <c r="F17" s="55" t="s">
        <v>114</v>
      </c>
      <c r="G17" s="63">
        <f t="shared" si="0"/>
        <v>3.3700093367538888</v>
      </c>
    </row>
    <row r="18" spans="1:9" x14ac:dyDescent="0.2">
      <c r="A18" s="44" t="s">
        <v>115</v>
      </c>
      <c r="B18" s="47">
        <f>'Japan Import'!U21</f>
        <v>272350378</v>
      </c>
      <c r="C18" s="47">
        <f>'Japan Import'!T21</f>
        <v>19414853</v>
      </c>
      <c r="D18" s="61">
        <f>'Y Calculation'!G17</f>
        <v>110.20350127628073</v>
      </c>
      <c r="E18" s="67">
        <f t="shared" si="1"/>
        <v>20.237650784011613</v>
      </c>
      <c r="F18" s="55" t="s">
        <v>115</v>
      </c>
      <c r="G18" s="63">
        <f t="shared" si="0"/>
        <v>3.6795728698202934</v>
      </c>
    </row>
    <row r="19" spans="1:9" x14ac:dyDescent="0.2">
      <c r="A19" s="44" t="s">
        <v>116</v>
      </c>
      <c r="B19" s="47">
        <f>'Japan Import'!U22</f>
        <v>294908345</v>
      </c>
      <c r="C19" s="47">
        <f>'Japan Import'!T22</f>
        <v>19535688</v>
      </c>
      <c r="D19" s="61">
        <f>'Y Calculation'!G18</f>
        <v>106.34095617258485</v>
      </c>
      <c r="E19" s="67">
        <f t="shared" si="1"/>
        <v>22.569368359745891</v>
      </c>
      <c r="F19" s="55" t="s">
        <v>116</v>
      </c>
      <c r="G19" s="63">
        <f t="shared" si="0"/>
        <v>4.103521519953798</v>
      </c>
    </row>
    <row r="20" spans="1:9" x14ac:dyDescent="0.2">
      <c r="A20" s="44" t="s">
        <v>117</v>
      </c>
      <c r="B20" s="47">
        <f>'Japan Import'!U23</f>
        <v>339564424</v>
      </c>
      <c r="C20" s="47">
        <f>'Japan Import'!T23</f>
        <v>22191444</v>
      </c>
      <c r="D20" s="61">
        <f>'Y Calculation'!G19</f>
        <v>105.20934687157886</v>
      </c>
      <c r="E20" s="67">
        <f t="shared" si="1"/>
        <v>23.122985686373436</v>
      </c>
      <c r="F20" s="55" t="s">
        <v>117</v>
      </c>
      <c r="G20" s="63">
        <f t="shared" si="0"/>
        <v>4.2041792157042615</v>
      </c>
    </row>
    <row r="21" spans="1:9" ht="13.5" thickBot="1" x14ac:dyDescent="0.25">
      <c r="A21" s="45" t="s">
        <v>118</v>
      </c>
      <c r="B21" s="47">
        <f>'Japan Import'!U24</f>
        <v>385948462</v>
      </c>
      <c r="C21" s="47">
        <f>'Japan Import'!T24</f>
        <v>23979601</v>
      </c>
      <c r="D21" s="61">
        <f>'Y Calculation'!G20</f>
        <v>103.73248299319123</v>
      </c>
      <c r="E21" s="67">
        <f t="shared" si="1"/>
        <v>24.668014956867122</v>
      </c>
      <c r="F21" s="56" t="s">
        <v>118</v>
      </c>
      <c r="G21" s="64">
        <f t="shared" si="0"/>
        <v>4.4850936285212946</v>
      </c>
    </row>
    <row r="22" spans="1:9" x14ac:dyDescent="0.2">
      <c r="A22" s="70" t="s">
        <v>107</v>
      </c>
      <c r="B22" s="93">
        <f>'Japan Import'!U43</f>
        <v>341640429</v>
      </c>
      <c r="C22" s="93">
        <f>'Japan Import'!T43</f>
        <v>20379950</v>
      </c>
      <c r="D22" s="94">
        <f>'Y Calculation'!G21</f>
        <v>103.76607335046228</v>
      </c>
      <c r="E22" s="92">
        <f t="shared" si="1"/>
        <v>25.684574540742783</v>
      </c>
      <c r="F22" s="89" t="str">
        <f>A22</f>
        <v>January</v>
      </c>
      <c r="G22" s="97">
        <f t="shared" si="0"/>
        <v>4.6699226437714154</v>
      </c>
    </row>
    <row r="23" spans="1:9" x14ac:dyDescent="0.2">
      <c r="A23" s="44" t="s">
        <v>108</v>
      </c>
      <c r="B23" s="109">
        <f>'Japan Import'!U44</f>
        <v>356597324</v>
      </c>
      <c r="C23" s="109">
        <f>'Japan Import'!T44</f>
        <v>20445024</v>
      </c>
      <c r="D23" s="61">
        <f>'Y Calculation'!G22</f>
        <v>107.05409461041791</v>
      </c>
      <c r="E23" s="108">
        <f>(B23*$A$4*1000)/(C23*D23)</f>
        <v>25.902923727111109</v>
      </c>
      <c r="F23" s="90" t="s">
        <v>108</v>
      </c>
      <c r="G23" s="63">
        <f t="shared" si="0"/>
        <v>4.7096224958383832</v>
      </c>
    </row>
    <row r="24" spans="1:9" x14ac:dyDescent="0.2">
      <c r="A24" s="44" t="s">
        <v>109</v>
      </c>
      <c r="B24" s="109">
        <f>'Japan Import'!U45</f>
        <v>443181614</v>
      </c>
      <c r="C24" s="109">
        <f>'Japan Import'!T45</f>
        <v>24256289</v>
      </c>
      <c r="D24" s="61" t="e">
        <f>'Y Calculation'!G23</f>
        <v>#VALUE!</v>
      </c>
      <c r="E24" s="108" t="e">
        <f>(B24*$A$4*1000)/(C24*D24)</f>
        <v>#VALUE!</v>
      </c>
      <c r="F24" s="90" t="s">
        <v>109</v>
      </c>
      <c r="G24" s="63" t="e">
        <f t="shared" si="0"/>
        <v>#VALUE!</v>
      </c>
    </row>
    <row r="25" spans="1:9" x14ac:dyDescent="0.2">
      <c r="A25" s="44" t="s">
        <v>110</v>
      </c>
      <c r="B25" s="109">
        <f>'Japan Import'!U46</f>
        <v>390694585</v>
      </c>
      <c r="C25" s="109">
        <f>'Japan Import'!T46</f>
        <v>21516674</v>
      </c>
      <c r="D25" s="61">
        <f>'Y Calculation'!G24</f>
        <v>106.01621320865048</v>
      </c>
      <c r="E25" s="108">
        <f>(B25*$A$4*1000)/(C25*D25)</f>
        <v>27.230246888773245</v>
      </c>
      <c r="F25" s="90" t="s">
        <v>110</v>
      </c>
      <c r="G25" s="63">
        <f t="shared" si="0"/>
        <v>4.950953979776954</v>
      </c>
    </row>
    <row r="26" spans="1:9" x14ac:dyDescent="0.2">
      <c r="A26" s="44" t="s">
        <v>111</v>
      </c>
      <c r="B26" s="109">
        <f>'Japan Import'!U47</f>
        <v>316268532</v>
      </c>
      <c r="C26" s="109">
        <f>'Japan Import'!T47</f>
        <v>18643461</v>
      </c>
      <c r="D26" s="61">
        <f>'Y Calculation'!G25</f>
        <v>107.37753018018063</v>
      </c>
      <c r="E26" s="108">
        <f>(B26*$A$4*1000)/(C26*D26)</f>
        <v>25.117571561801466</v>
      </c>
      <c r="F26" s="90" t="s">
        <v>111</v>
      </c>
      <c r="G26" s="63">
        <f t="shared" si="0"/>
        <v>4.5668311930548118</v>
      </c>
    </row>
    <row r="27" spans="1:9" x14ac:dyDescent="0.2">
      <c r="A27" s="44" t="s">
        <v>112</v>
      </c>
      <c r="B27" s="109">
        <f>'Japan Import'!U48</f>
        <v>351232315</v>
      </c>
      <c r="C27" s="109">
        <f>'Japan Import'!T48</f>
        <v>19025952</v>
      </c>
      <c r="D27" s="86"/>
      <c r="E27" s="90"/>
      <c r="F27" s="90" t="s">
        <v>112</v>
      </c>
      <c r="G27" s="78"/>
      <c r="I27" s="1">
        <v>2000</v>
      </c>
    </row>
    <row r="28" spans="1:9" x14ac:dyDescent="0.2">
      <c r="A28" s="44" t="s">
        <v>113</v>
      </c>
      <c r="B28" s="86">
        <f>'Japan Import'!U49</f>
        <v>0</v>
      </c>
      <c r="C28" s="86">
        <f>'Japan Import'!T49</f>
        <v>0</v>
      </c>
      <c r="D28" s="86"/>
      <c r="E28" s="90"/>
      <c r="F28" s="90" t="s">
        <v>113</v>
      </c>
      <c r="G28" s="78"/>
    </row>
    <row r="29" spans="1:9" x14ac:dyDescent="0.2">
      <c r="A29" s="44" t="s">
        <v>114</v>
      </c>
      <c r="B29" s="86">
        <f>'Japan Import'!U50</f>
        <v>0</v>
      </c>
      <c r="C29" s="86">
        <f>'Japan Import'!T50</f>
        <v>0</v>
      </c>
      <c r="D29" s="86"/>
      <c r="E29" s="90"/>
      <c r="F29" s="90" t="s">
        <v>114</v>
      </c>
      <c r="G29" s="78"/>
    </row>
    <row r="30" spans="1:9" x14ac:dyDescent="0.2">
      <c r="A30" s="44" t="s">
        <v>115</v>
      </c>
      <c r="B30" s="86">
        <f>'Japan Import'!U51</f>
        <v>0</v>
      </c>
      <c r="C30" s="86">
        <f>'Japan Import'!T51</f>
        <v>0</v>
      </c>
      <c r="D30" s="86"/>
      <c r="E30" s="90"/>
      <c r="F30" s="90" t="s">
        <v>115</v>
      </c>
      <c r="G30" s="78"/>
    </row>
    <row r="31" spans="1:9" x14ac:dyDescent="0.2">
      <c r="A31" s="44" t="s">
        <v>116</v>
      </c>
      <c r="B31" s="86">
        <f>'Japan Import'!U52</f>
        <v>0</v>
      </c>
      <c r="C31" s="86">
        <f>'Japan Import'!T52</f>
        <v>0</v>
      </c>
      <c r="D31" s="86"/>
      <c r="E31" s="90"/>
      <c r="F31" s="90" t="s">
        <v>116</v>
      </c>
      <c r="G31" s="78"/>
    </row>
    <row r="32" spans="1:9" x14ac:dyDescent="0.2">
      <c r="A32" s="44" t="s">
        <v>117</v>
      </c>
      <c r="B32" s="86">
        <f>'Japan Import'!U53</f>
        <v>0</v>
      </c>
      <c r="C32" s="86">
        <f>'Japan Import'!T53</f>
        <v>0</v>
      </c>
      <c r="D32" s="86"/>
      <c r="E32" s="90"/>
      <c r="F32" s="90" t="s">
        <v>117</v>
      </c>
      <c r="G32" s="78"/>
    </row>
    <row r="33" spans="1:7" ht="13.5" thickBot="1" x14ac:dyDescent="0.25">
      <c r="A33" s="45" t="s">
        <v>118</v>
      </c>
      <c r="B33" s="87">
        <f>'Japan Import'!U54</f>
        <v>0</v>
      </c>
      <c r="C33" s="87">
        <f>'Japan Import'!T54</f>
        <v>0</v>
      </c>
      <c r="D33" s="87"/>
      <c r="E33" s="91"/>
      <c r="F33" s="91" t="s">
        <v>118</v>
      </c>
      <c r="G33" s="25"/>
    </row>
  </sheetData>
  <pageMargins left="0.75" right="0.75" top="1" bottom="1" header="0.5" footer="0.5"/>
  <pageSetup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15"/>
  <sheetViews>
    <sheetView workbookViewId="0">
      <selection activeCell="G34" sqref="G34"/>
    </sheetView>
  </sheetViews>
  <sheetFormatPr defaultRowHeight="12.75" x14ac:dyDescent="0.2"/>
  <sheetData>
    <row r="1" spans="1:2" ht="20.25" x14ac:dyDescent="0.3">
      <c r="A1" s="21" t="s">
        <v>0</v>
      </c>
    </row>
    <row r="3" spans="1:2" x14ac:dyDescent="0.2">
      <c r="A3" s="3" t="s">
        <v>1</v>
      </c>
    </row>
    <row r="5" spans="1:2" x14ac:dyDescent="0.2">
      <c r="A5" s="1" t="s">
        <v>2</v>
      </c>
    </row>
    <row r="6" spans="1:2" x14ac:dyDescent="0.2">
      <c r="A6" t="s">
        <v>4</v>
      </c>
      <c r="B6" t="s">
        <v>8</v>
      </c>
    </row>
    <row r="7" spans="1:2" x14ac:dyDescent="0.2">
      <c r="A7" t="s">
        <v>5</v>
      </c>
      <c r="B7" t="s">
        <v>9</v>
      </c>
    </row>
    <row r="8" spans="1:2" x14ac:dyDescent="0.2">
      <c r="A8" t="s">
        <v>6</v>
      </c>
      <c r="B8" t="s">
        <v>10</v>
      </c>
    </row>
    <row r="9" spans="1:2" x14ac:dyDescent="0.2">
      <c r="A9" t="s">
        <v>7</v>
      </c>
      <c r="B9" t="s">
        <v>11</v>
      </c>
    </row>
    <row r="11" spans="1:2" x14ac:dyDescent="0.2">
      <c r="A11" s="4" t="s">
        <v>16</v>
      </c>
      <c r="B11" s="4" t="s">
        <v>12</v>
      </c>
    </row>
    <row r="12" spans="1:2" x14ac:dyDescent="0.2">
      <c r="A12" t="s">
        <v>17</v>
      </c>
      <c r="B12" t="s">
        <v>13</v>
      </c>
    </row>
    <row r="13" spans="1:2" x14ac:dyDescent="0.2">
      <c r="A13" t="s">
        <v>3</v>
      </c>
      <c r="B13" t="s">
        <v>14</v>
      </c>
    </row>
    <row r="14" spans="1:2" x14ac:dyDescent="0.2">
      <c r="A14" s="4" t="s">
        <v>15</v>
      </c>
      <c r="B14" s="4" t="s">
        <v>18</v>
      </c>
    </row>
    <row r="15" spans="1:2" x14ac:dyDescent="0.2">
      <c r="B15" s="5" t="s">
        <v>19</v>
      </c>
    </row>
  </sheetData>
  <pageMargins left="0.75" right="0.75" top="1" bottom="1" header="0.5" footer="0.5"/>
  <pageSetup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117"/>
  <sheetViews>
    <sheetView topLeftCell="A2" workbookViewId="0">
      <pane ySplit="11" topLeftCell="A81" activePane="bottomLeft" state="frozen"/>
      <selection activeCell="A2" sqref="A2"/>
      <selection pane="bottomLeft" activeCell="F86" sqref="F86"/>
    </sheetView>
  </sheetViews>
  <sheetFormatPr defaultRowHeight="12.75" x14ac:dyDescent="0.2"/>
  <cols>
    <col min="1" max="1" width="18.28515625" customWidth="1"/>
    <col min="4" max="4" width="8.5703125" bestFit="1" customWidth="1"/>
    <col min="5" max="6" width="7" bestFit="1" customWidth="1"/>
  </cols>
  <sheetData>
    <row r="1" spans="1:7" ht="18" x14ac:dyDescent="0.25">
      <c r="A1" s="22" t="s">
        <v>28</v>
      </c>
      <c r="C1" s="7"/>
    </row>
    <row r="2" spans="1:7" x14ac:dyDescent="0.2">
      <c r="A2" s="1" t="s">
        <v>29</v>
      </c>
      <c r="C2" s="7"/>
    </row>
    <row r="3" spans="1:7" x14ac:dyDescent="0.2">
      <c r="A3" t="s">
        <v>30</v>
      </c>
      <c r="C3" s="7"/>
    </row>
    <row r="4" spans="1:7" x14ac:dyDescent="0.2">
      <c r="A4" s="2"/>
    </row>
    <row r="6" spans="1:7" x14ac:dyDescent="0.2">
      <c r="A6" t="s">
        <v>20</v>
      </c>
    </row>
    <row r="7" spans="1:7" x14ac:dyDescent="0.2">
      <c r="A7" t="s">
        <v>21</v>
      </c>
    </row>
    <row r="8" spans="1:7" x14ac:dyDescent="0.2">
      <c r="A8" t="s">
        <v>22</v>
      </c>
    </row>
    <row r="9" spans="1:7" x14ac:dyDescent="0.2">
      <c r="A9" t="s">
        <v>23</v>
      </c>
    </row>
    <row r="11" spans="1:7" ht="13.5" thickBot="1" x14ac:dyDescent="0.25">
      <c r="A11" s="6" t="s">
        <v>31</v>
      </c>
      <c r="B11" s="13" t="s">
        <v>24</v>
      </c>
      <c r="C11" s="14"/>
      <c r="D11" s="6" t="s">
        <v>25</v>
      </c>
      <c r="E11" s="6" t="s">
        <v>26</v>
      </c>
      <c r="F11" s="6" t="s">
        <v>27</v>
      </c>
    </row>
    <row r="12" spans="1:7" x14ac:dyDescent="0.2">
      <c r="A12" t="s">
        <v>32</v>
      </c>
      <c r="B12" s="8"/>
    </row>
    <row r="13" spans="1:7" x14ac:dyDescent="0.2">
      <c r="B13" s="8"/>
      <c r="D13" s="9"/>
      <c r="E13" s="9"/>
      <c r="F13" s="9"/>
    </row>
    <row r="14" spans="1:7" x14ac:dyDescent="0.2">
      <c r="A14" s="10" t="s">
        <v>33</v>
      </c>
      <c r="B14" s="11">
        <v>115.97</v>
      </c>
      <c r="C14" s="10"/>
      <c r="D14" s="12"/>
      <c r="E14" s="12"/>
      <c r="F14" s="12"/>
    </row>
    <row r="15" spans="1:7" x14ac:dyDescent="0.2">
      <c r="A15" s="10" t="s">
        <v>34</v>
      </c>
      <c r="B15" s="11">
        <v>112.18</v>
      </c>
      <c r="C15" s="10"/>
      <c r="D15" s="12"/>
      <c r="E15" s="15">
        <f>0.6*B14+0.4*B15</f>
        <v>114.45400000000001</v>
      </c>
      <c r="F15" s="12"/>
      <c r="G15" t="s">
        <v>72</v>
      </c>
    </row>
    <row r="16" spans="1:7" x14ac:dyDescent="0.2">
      <c r="A16" s="10" t="s">
        <v>35</v>
      </c>
      <c r="B16" s="11">
        <v>111.92</v>
      </c>
      <c r="C16" s="10"/>
      <c r="D16" s="12"/>
      <c r="E16" s="12"/>
      <c r="F16" s="12"/>
    </row>
    <row r="17" spans="1:7" x14ac:dyDescent="0.2">
      <c r="A17" s="10" t="s">
        <v>36</v>
      </c>
      <c r="B17" s="11">
        <v>113.71</v>
      </c>
      <c r="C17" s="10"/>
      <c r="D17" s="12"/>
      <c r="E17" s="12"/>
      <c r="F17" s="15">
        <f>(3/11)*B15+(7/11)*B16+(1/11)*B17</f>
        <v>112.15363636363637</v>
      </c>
      <c r="G17" t="s">
        <v>73</v>
      </c>
    </row>
    <row r="18" spans="1:7" x14ac:dyDescent="0.2">
      <c r="A18" s="10" t="s">
        <v>37</v>
      </c>
      <c r="B18" s="11">
        <v>114.67</v>
      </c>
      <c r="C18" s="10"/>
      <c r="D18" s="15">
        <f>(0.6*B17)+(0.4*B18)</f>
        <v>114.09399999999999</v>
      </c>
      <c r="E18" s="12"/>
      <c r="F18" s="12"/>
      <c r="G18" t="s">
        <v>74</v>
      </c>
    </row>
    <row r="19" spans="1:7" x14ac:dyDescent="0.2">
      <c r="A19" s="10" t="s">
        <v>38</v>
      </c>
      <c r="B19" s="11">
        <v>113.69</v>
      </c>
      <c r="C19" s="10"/>
      <c r="D19" s="12"/>
      <c r="E19" s="15">
        <f>0.3*B18+0.7*B19</f>
        <v>113.98399999999999</v>
      </c>
      <c r="F19" s="12"/>
      <c r="G19" t="s">
        <v>75</v>
      </c>
    </row>
    <row r="20" spans="1:7" x14ac:dyDescent="0.2">
      <c r="A20" s="10" t="s">
        <v>39</v>
      </c>
      <c r="B20" s="11">
        <v>114.09</v>
      </c>
      <c r="C20" s="10"/>
      <c r="D20" s="12"/>
      <c r="E20" s="12"/>
      <c r="F20" s="12"/>
    </row>
    <row r="21" spans="1:7" x14ac:dyDescent="0.2">
      <c r="A21" s="10" t="s">
        <v>40</v>
      </c>
      <c r="B21" s="11">
        <v>117.62</v>
      </c>
      <c r="C21" s="10"/>
      <c r="D21" s="12"/>
      <c r="E21" s="12"/>
      <c r="F21" s="15">
        <f>(7*B20/8)+(1*B21/8)</f>
        <v>114.53125</v>
      </c>
      <c r="G21" t="s">
        <v>76</v>
      </c>
    </row>
    <row r="22" spans="1:7" x14ac:dyDescent="0.2">
      <c r="A22" s="10" t="s">
        <v>41</v>
      </c>
      <c r="B22" s="11">
        <v>120.73</v>
      </c>
      <c r="C22" s="10"/>
      <c r="D22" s="15">
        <f>0.6*B21+0.4*B22</f>
        <v>118.864</v>
      </c>
      <c r="E22" s="12"/>
      <c r="F22" s="12"/>
      <c r="G22" t="s">
        <v>85</v>
      </c>
    </row>
    <row r="23" spans="1:7" x14ac:dyDescent="0.2">
      <c r="A23" s="10" t="s">
        <v>42</v>
      </c>
      <c r="B23" s="11">
        <v>121.17</v>
      </c>
      <c r="C23" s="10"/>
      <c r="D23" s="12"/>
      <c r="E23" s="15">
        <f>0.3*B22+0.7*B23</f>
        <v>121.03800000000001</v>
      </c>
      <c r="F23" s="12"/>
      <c r="G23" t="s">
        <v>84</v>
      </c>
    </row>
    <row r="24" spans="1:7" x14ac:dyDescent="0.2">
      <c r="A24" s="10" t="s">
        <v>43</v>
      </c>
      <c r="B24" s="11">
        <v>120.9</v>
      </c>
      <c r="C24" s="10"/>
      <c r="D24" s="12"/>
      <c r="E24" s="12"/>
      <c r="F24" s="12"/>
    </row>
    <row r="25" spans="1:7" x14ac:dyDescent="0.2">
      <c r="A25" s="10" t="s">
        <v>44</v>
      </c>
      <c r="B25" s="11">
        <v>118.28</v>
      </c>
      <c r="C25" s="10"/>
      <c r="D25" s="12"/>
      <c r="E25" s="12"/>
      <c r="F25" s="15">
        <f>(7*B24/11)+(4*B25/11)</f>
        <v>119.94727272727272</v>
      </c>
      <c r="G25" t="s">
        <v>83</v>
      </c>
    </row>
    <row r="26" spans="1:7" x14ac:dyDescent="0.2">
      <c r="A26" s="10" t="s">
        <v>45</v>
      </c>
      <c r="B26" s="11">
        <v>118.16</v>
      </c>
      <c r="C26" s="10"/>
      <c r="D26" s="15">
        <f>(0.3*B25)+(0.7*B26)</f>
        <v>118.196</v>
      </c>
      <c r="E26" s="12"/>
      <c r="F26" s="12"/>
      <c r="G26" t="s">
        <v>77</v>
      </c>
    </row>
    <row r="27" spans="1:7" x14ac:dyDescent="0.2">
      <c r="A27" s="10" t="s">
        <v>46</v>
      </c>
      <c r="B27" s="11">
        <v>120.05</v>
      </c>
      <c r="C27" s="10"/>
      <c r="D27" s="12"/>
      <c r="F27" s="12"/>
    </row>
    <row r="28" spans="1:7" x14ac:dyDescent="0.2">
      <c r="A28" s="10" t="s">
        <v>47</v>
      </c>
      <c r="B28" s="11">
        <v>121.14</v>
      </c>
      <c r="C28" s="10"/>
      <c r="D28" s="12"/>
      <c r="E28" s="15">
        <f>(0.7*B27)+(0.3*B28)</f>
        <v>120.377</v>
      </c>
      <c r="F28" s="12"/>
      <c r="G28" t="s">
        <v>78</v>
      </c>
    </row>
    <row r="29" spans="1:7" x14ac:dyDescent="0.2">
      <c r="A29" s="10" t="s">
        <v>48</v>
      </c>
      <c r="B29" s="11">
        <v>119.74</v>
      </c>
      <c r="C29" s="10"/>
      <c r="D29" s="12"/>
      <c r="E29" s="12"/>
      <c r="F29" s="15">
        <f>(0.4*B28)+(0.6*B29)</f>
        <v>120.3</v>
      </c>
      <c r="G29" t="s">
        <v>79</v>
      </c>
    </row>
    <row r="30" spans="1:7" x14ac:dyDescent="0.2">
      <c r="A30" s="10" t="s">
        <v>49</v>
      </c>
      <c r="B30" s="11">
        <v>118.9</v>
      </c>
      <c r="C30" s="10"/>
      <c r="D30" s="12"/>
      <c r="E30" s="12"/>
      <c r="F30" s="12"/>
    </row>
    <row r="31" spans="1:7" x14ac:dyDescent="0.2">
      <c r="A31" s="10" t="s">
        <v>50</v>
      </c>
      <c r="B31" s="11">
        <v>119.36</v>
      </c>
      <c r="C31" s="10"/>
      <c r="D31" s="15">
        <f>(0.1*B29)+(0.7*B30)+(0.2*B31)</f>
        <v>119.07600000000001</v>
      </c>
      <c r="E31" s="12"/>
      <c r="F31" s="12"/>
      <c r="G31" t="s">
        <v>80</v>
      </c>
    </row>
    <row r="32" spans="1:7" x14ac:dyDescent="0.2">
      <c r="A32" s="10" t="s">
        <v>51</v>
      </c>
      <c r="B32" s="11">
        <v>120.34</v>
      </c>
      <c r="C32" s="10"/>
      <c r="D32" s="12"/>
      <c r="E32" s="15">
        <f>(0.5*B31)+(0.5*B32)</f>
        <v>119.85</v>
      </c>
      <c r="F32" s="12"/>
      <c r="G32" t="s">
        <v>81</v>
      </c>
    </row>
    <row r="33" spans="1:7" x14ac:dyDescent="0.2">
      <c r="A33" s="10" t="s">
        <v>52</v>
      </c>
      <c r="B33" s="11">
        <v>121.07</v>
      </c>
      <c r="C33" s="10"/>
      <c r="D33" s="12"/>
      <c r="E33" s="12"/>
      <c r="F33" s="12"/>
    </row>
    <row r="34" spans="1:7" x14ac:dyDescent="0.2">
      <c r="A34" s="10" t="s">
        <v>53</v>
      </c>
      <c r="B34" s="11">
        <v>123.65</v>
      </c>
      <c r="C34" s="10"/>
      <c r="D34" s="12"/>
      <c r="E34" s="12"/>
      <c r="F34" s="15">
        <f>((2/11)*B32)+((7/11)*B33)+((2/11)*B34)</f>
        <v>121.40636363636362</v>
      </c>
      <c r="G34" t="s">
        <v>82</v>
      </c>
    </row>
    <row r="35" spans="1:7" x14ac:dyDescent="0.2">
      <c r="A35" s="10" t="s">
        <v>54</v>
      </c>
      <c r="B35" s="11">
        <v>122.47</v>
      </c>
      <c r="C35" s="10"/>
      <c r="D35" s="15">
        <f>(0.5*B34)+(0.5*B35)</f>
        <v>123.06</v>
      </c>
      <c r="E35" s="12"/>
      <c r="F35" s="12"/>
      <c r="G35" t="s">
        <v>86</v>
      </c>
    </row>
    <row r="36" spans="1:7" x14ac:dyDescent="0.2">
      <c r="A36" s="10" t="s">
        <v>55</v>
      </c>
      <c r="B36" s="11">
        <v>121.41</v>
      </c>
      <c r="C36" s="10"/>
      <c r="D36" s="12"/>
      <c r="E36" s="12"/>
      <c r="F36" s="12"/>
    </row>
    <row r="37" spans="1:7" x14ac:dyDescent="0.2">
      <c r="A37" s="10" t="s">
        <v>56</v>
      </c>
      <c r="B37" s="11">
        <v>120.08</v>
      </c>
      <c r="C37" s="10"/>
      <c r="D37" s="12"/>
      <c r="E37" s="15">
        <f>(0.2*B35)+(0.7*B36)+(0.1*B37)</f>
        <v>121.48899999999999</v>
      </c>
      <c r="F37" s="12"/>
      <c r="G37" t="s">
        <v>87</v>
      </c>
    </row>
    <row r="38" spans="1:7" x14ac:dyDescent="0.2">
      <c r="A38" s="10" t="s">
        <v>57</v>
      </c>
      <c r="B38" s="11">
        <v>120.01</v>
      </c>
      <c r="C38" s="10"/>
      <c r="D38" s="12"/>
      <c r="E38" s="12"/>
      <c r="F38" s="15">
        <f>(0.6*B37)+(0.4*B38)</f>
        <v>120.05200000000001</v>
      </c>
      <c r="G38" t="s">
        <v>88</v>
      </c>
    </row>
    <row r="39" spans="1:7" x14ac:dyDescent="0.2">
      <c r="A39" s="10" t="s">
        <v>58</v>
      </c>
      <c r="B39" s="11">
        <v>122</v>
      </c>
      <c r="C39" s="10"/>
      <c r="D39" s="15">
        <f>(0.3*B38)+(0.7*B39)</f>
        <v>121.40299999999999</v>
      </c>
      <c r="E39" s="12"/>
      <c r="F39" s="12"/>
      <c r="G39" t="s">
        <v>89</v>
      </c>
    </row>
    <row r="40" spans="1:7" x14ac:dyDescent="0.2">
      <c r="A40" s="10" t="s">
        <v>59</v>
      </c>
      <c r="B40" s="11">
        <v>121.11</v>
      </c>
      <c r="C40" s="10"/>
      <c r="D40" s="12"/>
      <c r="E40" s="12"/>
      <c r="F40" s="12"/>
    </row>
    <row r="41" spans="1:7" x14ac:dyDescent="0.2">
      <c r="A41" s="10" t="s">
        <v>60</v>
      </c>
      <c r="B41" s="11">
        <v>122.4</v>
      </c>
      <c r="C41" s="10"/>
      <c r="D41" s="12"/>
      <c r="E41" s="15">
        <f>(0.7*B40)+(0.3*B41)</f>
        <v>121.497</v>
      </c>
      <c r="F41" s="12"/>
      <c r="G41" t="s">
        <v>90</v>
      </c>
    </row>
    <row r="42" spans="1:7" x14ac:dyDescent="0.2">
      <c r="A42" s="10" t="s">
        <v>61</v>
      </c>
      <c r="B42" s="11">
        <v>121.41</v>
      </c>
      <c r="C42" s="10"/>
      <c r="D42" s="12"/>
      <c r="E42" s="12"/>
      <c r="F42" s="15">
        <f>((4/11)*B41)+((7/11)*B42)</f>
        <v>121.77</v>
      </c>
      <c r="G42" t="s">
        <v>91</v>
      </c>
    </row>
    <row r="43" spans="1:7" x14ac:dyDescent="0.2">
      <c r="A43" s="10" t="s">
        <v>62</v>
      </c>
      <c r="B43" s="11">
        <v>118.86</v>
      </c>
      <c r="C43" s="10"/>
      <c r="D43" s="12"/>
      <c r="E43" s="12"/>
      <c r="F43" s="12"/>
    </row>
    <row r="44" spans="1:7" x14ac:dyDescent="0.2">
      <c r="A44" s="10" t="s">
        <v>63</v>
      </c>
      <c r="B44" s="11">
        <v>116.14</v>
      </c>
      <c r="C44" s="10"/>
      <c r="D44" s="15">
        <f>(0.7*B43)+(0.3*B44)</f>
        <v>118.044</v>
      </c>
      <c r="E44" s="12"/>
      <c r="F44" s="12"/>
      <c r="G44" t="s">
        <v>92</v>
      </c>
    </row>
    <row r="45" spans="1:7" x14ac:dyDescent="0.2">
      <c r="A45" s="10" t="s">
        <v>64</v>
      </c>
      <c r="B45" s="11">
        <v>114.55</v>
      </c>
      <c r="C45" s="10"/>
      <c r="D45" s="12"/>
      <c r="E45" s="15">
        <f>(0.4*B44)+(0.6*B45)</f>
        <v>115.18599999999999</v>
      </c>
      <c r="F45" s="12"/>
      <c r="G45" t="s">
        <v>93</v>
      </c>
    </row>
    <row r="46" spans="1:7" x14ac:dyDescent="0.2">
      <c r="A46" s="10" t="s">
        <v>65</v>
      </c>
      <c r="B46" s="11">
        <v>115.13</v>
      </c>
      <c r="C46" s="10"/>
      <c r="D46" s="12"/>
      <c r="E46" s="12"/>
      <c r="F46" s="12"/>
    </row>
    <row r="47" spans="1:7" x14ac:dyDescent="0.2">
      <c r="A47" s="10" t="s">
        <v>66</v>
      </c>
      <c r="B47" s="11">
        <v>113.5</v>
      </c>
      <c r="C47" s="10"/>
      <c r="D47" s="12"/>
      <c r="E47" s="12"/>
      <c r="F47" s="15">
        <f>((1/11)*B45)+((7/11)*B46)+((3/11)*B47)</f>
        <v>114.63272727272728</v>
      </c>
      <c r="G47" t="s">
        <v>94</v>
      </c>
    </row>
    <row r="48" spans="1:7" x14ac:dyDescent="0.2">
      <c r="A48" s="10" t="s">
        <v>67</v>
      </c>
      <c r="B48" s="11">
        <v>111.41</v>
      </c>
      <c r="C48" s="10"/>
      <c r="D48" s="15">
        <f>(0.4*B47)+(0.6*B48)</f>
        <v>112.246</v>
      </c>
      <c r="E48" s="12"/>
      <c r="F48" s="12"/>
      <c r="G48" t="s">
        <v>95</v>
      </c>
    </row>
    <row r="49" spans="1:7" x14ac:dyDescent="0.2">
      <c r="A49" s="10" t="s">
        <v>68</v>
      </c>
      <c r="B49" s="11">
        <v>110.08</v>
      </c>
      <c r="C49" s="10"/>
      <c r="D49" s="12"/>
      <c r="E49" s="12"/>
      <c r="F49" s="12"/>
    </row>
    <row r="50" spans="1:7" x14ac:dyDescent="0.2">
      <c r="A50" s="10" t="s">
        <v>69</v>
      </c>
      <c r="B50" s="11">
        <v>109.71</v>
      </c>
      <c r="C50" s="10"/>
      <c r="D50" s="12"/>
      <c r="E50" s="15">
        <f>(0.1*B48)+(0.7*B49)+(0.2*B50)</f>
        <v>110.13900000000001</v>
      </c>
      <c r="F50" s="12"/>
      <c r="G50" t="s">
        <v>96</v>
      </c>
    </row>
    <row r="51" spans="1:7" x14ac:dyDescent="0.2">
      <c r="A51" s="10" t="s">
        <v>70</v>
      </c>
      <c r="B51" s="11">
        <v>106.56</v>
      </c>
      <c r="C51" s="10"/>
      <c r="D51" s="12"/>
      <c r="E51" s="12"/>
      <c r="F51" s="15">
        <f>(0.5*B50)+(0.5*B51)</f>
        <v>108.13499999999999</v>
      </c>
      <c r="G51" t="s">
        <v>97</v>
      </c>
    </row>
    <row r="52" spans="1:7" x14ac:dyDescent="0.2">
      <c r="A52" s="10" t="s">
        <v>71</v>
      </c>
      <c r="B52" s="11">
        <v>105.92</v>
      </c>
      <c r="C52" s="10"/>
      <c r="D52" s="12"/>
      <c r="E52" s="12"/>
      <c r="F52" s="12"/>
    </row>
    <row r="53" spans="1:7" x14ac:dyDescent="0.2">
      <c r="A53" s="10" t="s">
        <v>169</v>
      </c>
      <c r="B53" s="10">
        <v>106.09</v>
      </c>
      <c r="C53" s="10"/>
      <c r="D53" s="15">
        <f>(0.2*B51)+(0.7*B52)+(0.1*B53)</f>
        <v>106.065</v>
      </c>
      <c r="E53" s="10"/>
      <c r="F53" s="10"/>
      <c r="G53" t="s">
        <v>175</v>
      </c>
    </row>
    <row r="54" spans="1:7" x14ac:dyDescent="0.2">
      <c r="A54" s="10" t="s">
        <v>170</v>
      </c>
      <c r="B54" s="10">
        <v>106.78</v>
      </c>
      <c r="C54" s="10"/>
      <c r="D54" s="10"/>
      <c r="E54" s="15">
        <f>(0.6*B53)+(0.4*B54)</f>
        <v>106.366</v>
      </c>
      <c r="F54" s="10"/>
      <c r="G54" t="s">
        <v>176</v>
      </c>
    </row>
    <row r="55" spans="1:7" x14ac:dyDescent="0.2">
      <c r="A55" s="57" t="s">
        <v>171</v>
      </c>
      <c r="B55" s="57">
        <v>106.59</v>
      </c>
      <c r="C55" s="57"/>
      <c r="D55" s="57"/>
      <c r="E55" s="57"/>
      <c r="F55" s="57"/>
    </row>
    <row r="56" spans="1:7" x14ac:dyDescent="0.2">
      <c r="A56" s="57" t="s">
        <v>172</v>
      </c>
      <c r="B56" s="57">
        <v>105.88</v>
      </c>
      <c r="C56" s="57"/>
      <c r="D56" s="57"/>
      <c r="E56" s="57"/>
      <c r="F56" s="58">
        <f>((3/11)*B54)+((7/11)*B55)+((1/11)*B56)</f>
        <v>106.57727272727273</v>
      </c>
      <c r="G56" t="s">
        <v>177</v>
      </c>
    </row>
    <row r="57" spans="1:7" x14ac:dyDescent="0.2">
      <c r="A57" s="57" t="s">
        <v>173</v>
      </c>
      <c r="B57" s="57">
        <v>104.78</v>
      </c>
      <c r="C57" s="57"/>
      <c r="D57" s="59">
        <f>(0.6*B56)+(0.4*B57)</f>
        <v>105.44</v>
      </c>
      <c r="E57" s="57"/>
      <c r="F57" s="57"/>
      <c r="G57" t="s">
        <v>178</v>
      </c>
    </row>
    <row r="58" spans="1:7" x14ac:dyDescent="0.2">
      <c r="A58" s="57" t="s">
        <v>174</v>
      </c>
      <c r="B58" s="57">
        <v>104.81</v>
      </c>
      <c r="C58" s="57"/>
      <c r="D58" s="57"/>
      <c r="E58" s="58">
        <f>(0.3*B57)+(0.7*B58)</f>
        <v>104.80099999999999</v>
      </c>
      <c r="F58" s="57"/>
      <c r="G58" t="s">
        <v>179</v>
      </c>
    </row>
    <row r="59" spans="1:7" x14ac:dyDescent="0.2">
      <c r="A59" s="57" t="s">
        <v>180</v>
      </c>
      <c r="B59" s="57">
        <v>105.27</v>
      </c>
      <c r="C59" s="57"/>
      <c r="D59" s="57"/>
      <c r="E59" s="57"/>
      <c r="F59" s="57"/>
    </row>
    <row r="60" spans="1:7" x14ac:dyDescent="0.2">
      <c r="A60" s="57" t="s">
        <v>181</v>
      </c>
      <c r="B60" s="57">
        <v>105.57</v>
      </c>
      <c r="C60" s="57"/>
      <c r="D60" s="57"/>
      <c r="E60" s="57"/>
      <c r="F60" s="59">
        <f>(0.7*B59)+(0.3*B60)</f>
        <v>105.35999999999999</v>
      </c>
      <c r="G60" t="s">
        <v>186</v>
      </c>
    </row>
    <row r="61" spans="1:7" x14ac:dyDescent="0.2">
      <c r="A61" s="57" t="s">
        <v>182</v>
      </c>
      <c r="B61" s="57">
        <v>104.89</v>
      </c>
      <c r="C61" s="57"/>
      <c r="D61" s="58">
        <f>(0.4*B60)+(0.6*B61)</f>
        <v>105.16200000000001</v>
      </c>
      <c r="E61" s="57"/>
      <c r="F61" s="57"/>
      <c r="G61" t="s">
        <v>187</v>
      </c>
    </row>
    <row r="62" spans="1:7" x14ac:dyDescent="0.2">
      <c r="A62" s="57" t="s">
        <v>183</v>
      </c>
      <c r="B62" s="57">
        <v>102.64</v>
      </c>
      <c r="C62" s="57"/>
      <c r="D62" s="57"/>
      <c r="E62" s="57"/>
      <c r="F62" s="57"/>
    </row>
    <row r="63" spans="1:7" x14ac:dyDescent="0.2">
      <c r="A63" s="57" t="s">
        <v>184</v>
      </c>
      <c r="B63" s="57">
        <v>102.65</v>
      </c>
      <c r="C63" s="57"/>
      <c r="D63" s="57"/>
      <c r="E63" s="58">
        <f>(0.1*B61)+(0.7*B62)+(0.2*B63)</f>
        <v>102.867</v>
      </c>
      <c r="F63" s="57"/>
      <c r="G63" t="s">
        <v>188</v>
      </c>
    </row>
    <row r="64" spans="1:7" x14ac:dyDescent="0.2">
      <c r="A64" s="57" t="s">
        <v>185</v>
      </c>
      <c r="B64" s="60">
        <v>103.1</v>
      </c>
      <c r="C64" s="57"/>
      <c r="D64" s="57"/>
      <c r="E64" s="57"/>
      <c r="F64" s="58">
        <f>((5/11)*B63)+((6/11)*B64)</f>
        <v>102.89545454545454</v>
      </c>
      <c r="G64" t="s">
        <v>189</v>
      </c>
    </row>
    <row r="65" spans="1:7" x14ac:dyDescent="0.2">
      <c r="A65" s="57" t="s">
        <v>190</v>
      </c>
      <c r="B65" s="60">
        <v>102.7</v>
      </c>
      <c r="C65" s="57"/>
      <c r="D65" s="57"/>
      <c r="E65" s="57"/>
      <c r="F65" s="57"/>
    </row>
    <row r="66" spans="1:7" x14ac:dyDescent="0.2">
      <c r="A66" s="10" t="s">
        <v>191</v>
      </c>
      <c r="B66" s="10">
        <v>102.41</v>
      </c>
      <c r="C66" s="10"/>
      <c r="D66" s="68">
        <f>(0.1*B64)+(0.7*B65)+(0.2*B66)</f>
        <v>102.682</v>
      </c>
      <c r="E66" s="10"/>
      <c r="F66" s="10"/>
      <c r="G66" t="s">
        <v>202</v>
      </c>
    </row>
    <row r="67" spans="1:7" x14ac:dyDescent="0.2">
      <c r="A67" s="57" t="s">
        <v>192</v>
      </c>
      <c r="B67" s="57">
        <v>103.81</v>
      </c>
      <c r="C67" s="57"/>
      <c r="D67" s="57"/>
      <c r="E67" s="59">
        <f>(0.5*B66)+(0.5*B67)</f>
        <v>103.11</v>
      </c>
      <c r="F67" s="57"/>
      <c r="G67" t="s">
        <v>72</v>
      </c>
    </row>
    <row r="68" spans="1:7" x14ac:dyDescent="0.2">
      <c r="A68" s="57" t="s">
        <v>193</v>
      </c>
      <c r="B68" s="57">
        <v>105.76</v>
      </c>
      <c r="C68" s="57"/>
      <c r="D68" s="57"/>
      <c r="E68" s="57"/>
      <c r="F68" s="57"/>
    </row>
    <row r="69" spans="1:7" x14ac:dyDescent="0.2">
      <c r="A69" s="57" t="s">
        <v>194</v>
      </c>
      <c r="B69" s="57">
        <v>105.21</v>
      </c>
      <c r="C69" s="57"/>
      <c r="D69" s="57"/>
      <c r="E69" s="57"/>
      <c r="F69" s="58">
        <f>((2/11)*B67)+((7/11)*B68)+((2/11)*B69)</f>
        <v>105.30545454545454</v>
      </c>
      <c r="G69" t="s">
        <v>73</v>
      </c>
    </row>
    <row r="70" spans="1:7" x14ac:dyDescent="0.2">
      <c r="A70" s="57" t="s">
        <v>195</v>
      </c>
      <c r="B70" s="57">
        <v>105.38</v>
      </c>
      <c r="C70" s="57"/>
      <c r="D70" s="58">
        <f>(0.5*B69)+(0.5*B70)</f>
        <v>105.29499999999999</v>
      </c>
      <c r="E70" s="57"/>
      <c r="F70" s="57"/>
      <c r="G70" t="s">
        <v>74</v>
      </c>
    </row>
    <row r="71" spans="1:7" x14ac:dyDescent="0.2">
      <c r="A71" s="57" t="s">
        <v>196</v>
      </c>
      <c r="B71" s="57">
        <v>107.64</v>
      </c>
      <c r="C71" s="57"/>
      <c r="D71" s="57"/>
      <c r="E71" s="57"/>
      <c r="F71" s="57"/>
    </row>
    <row r="72" spans="1:7" x14ac:dyDescent="0.2">
      <c r="A72" s="57" t="s">
        <v>197</v>
      </c>
      <c r="B72" s="57">
        <v>108.66</v>
      </c>
      <c r="C72" s="57"/>
      <c r="D72" s="57"/>
      <c r="E72" s="59">
        <f>(0.2*B70)+(0.7*B71)+(0.1*B72)</f>
        <v>107.29</v>
      </c>
      <c r="F72" s="57"/>
      <c r="G72" t="s">
        <v>75</v>
      </c>
    </row>
    <row r="73" spans="1:7" x14ac:dyDescent="0.2">
      <c r="A73" s="57" t="s">
        <v>198</v>
      </c>
      <c r="B73" s="57">
        <v>109.42</v>
      </c>
      <c r="C73" s="57"/>
      <c r="D73" s="57"/>
      <c r="E73" s="57"/>
      <c r="F73" s="58">
        <f>((6/9)*B72)+((3/9)*B73)</f>
        <v>108.91333333333333</v>
      </c>
      <c r="G73" t="s">
        <v>76</v>
      </c>
    </row>
    <row r="74" spans="1:7" x14ac:dyDescent="0.2">
      <c r="A74" s="57" t="s">
        <v>199</v>
      </c>
      <c r="B74" s="57">
        <v>110.94</v>
      </c>
      <c r="C74" s="57"/>
      <c r="D74" s="58">
        <f>(0.4*B73)+(0.6*B74)</f>
        <v>110.33199999999999</v>
      </c>
      <c r="E74" s="57"/>
      <c r="F74" s="57"/>
      <c r="G74" t="s">
        <v>85</v>
      </c>
    </row>
    <row r="75" spans="1:7" x14ac:dyDescent="0.2">
      <c r="A75" s="57" t="s">
        <v>200</v>
      </c>
      <c r="B75" s="57">
        <v>108.67</v>
      </c>
      <c r="C75" s="57"/>
      <c r="D75" s="57"/>
      <c r="E75" s="57"/>
      <c r="F75" s="57"/>
    </row>
    <row r="76" spans="1:7" x14ac:dyDescent="0.2">
      <c r="A76" s="57" t="s">
        <v>201</v>
      </c>
      <c r="B76" s="57">
        <v>107.16</v>
      </c>
      <c r="C76" s="57"/>
      <c r="D76" s="57"/>
      <c r="E76" s="58">
        <f>(0.1*B74)+(0.7*B75)+(0.2*B76)</f>
        <v>108.59500000000001</v>
      </c>
      <c r="F76" s="57"/>
      <c r="G76" t="s">
        <v>84</v>
      </c>
    </row>
    <row r="77" spans="1:7" x14ac:dyDescent="0.2">
      <c r="A77" s="57" t="s">
        <v>245</v>
      </c>
      <c r="B77" s="57">
        <v>105.74</v>
      </c>
      <c r="C77" s="57"/>
      <c r="D77" s="57"/>
      <c r="E77" s="57"/>
      <c r="F77" s="58">
        <f>(5/11*B76)+(6/11*B77)</f>
        <v>106.38545454545454</v>
      </c>
      <c r="G77" t="s">
        <v>83</v>
      </c>
    </row>
    <row r="78" spans="1:7" x14ac:dyDescent="0.2">
      <c r="A78" s="10" t="s">
        <v>203</v>
      </c>
      <c r="B78" s="12">
        <v>107</v>
      </c>
      <c r="C78" s="10"/>
      <c r="D78" s="10"/>
      <c r="E78" s="10"/>
      <c r="F78" s="10"/>
    </row>
    <row r="79" spans="1:7" x14ac:dyDescent="0.2">
      <c r="A79" s="57" t="s">
        <v>204</v>
      </c>
      <c r="B79" s="57">
        <v>106.16</v>
      </c>
      <c r="C79" s="57"/>
      <c r="D79" s="58">
        <f>(0.1*B77)+(0.7*B78)+(0.2*B79)</f>
        <v>106.70599999999999</v>
      </c>
      <c r="E79" s="57"/>
      <c r="F79" s="57"/>
      <c r="G79" t="s">
        <v>77</v>
      </c>
    </row>
    <row r="80" spans="1:7" x14ac:dyDescent="0.2">
      <c r="A80" s="57" t="s">
        <v>205</v>
      </c>
      <c r="B80" s="57">
        <v>104.96</v>
      </c>
      <c r="C80" s="57"/>
      <c r="D80" s="57"/>
      <c r="E80" s="58">
        <f>(0.5*B79)+(0.5*B80)</f>
        <v>105.56</v>
      </c>
      <c r="F80" s="57"/>
      <c r="G80" t="s">
        <v>78</v>
      </c>
    </row>
    <row r="81" spans="1:7" x14ac:dyDescent="0.2">
      <c r="A81" s="57" t="s">
        <v>206</v>
      </c>
      <c r="B81" s="57">
        <v>106.19</v>
      </c>
      <c r="C81" s="57"/>
      <c r="D81" s="57"/>
      <c r="E81" s="57"/>
      <c r="F81" s="57"/>
    </row>
    <row r="82" spans="1:7" x14ac:dyDescent="0.2">
      <c r="A82" s="57" t="s">
        <v>209</v>
      </c>
      <c r="B82" s="57">
        <v>104.81</v>
      </c>
      <c r="C82" s="57"/>
      <c r="D82" s="57"/>
      <c r="E82" s="57"/>
      <c r="F82" s="58">
        <f>(0.2*B80)+(0.7*B81)+(0.1*B82)</f>
        <v>105.80600000000001</v>
      </c>
      <c r="G82" t="s">
        <v>79</v>
      </c>
    </row>
    <row r="83" spans="1:7" x14ac:dyDescent="0.2">
      <c r="A83" s="10" t="s">
        <v>210</v>
      </c>
      <c r="B83" s="10">
        <v>105.98</v>
      </c>
      <c r="C83" s="10"/>
      <c r="D83" s="58">
        <f>(0.6*B82)+(0.4*B83)</f>
        <v>105.27799999999999</v>
      </c>
      <c r="E83" s="10"/>
      <c r="F83" s="10"/>
      <c r="G83" t="s">
        <v>80</v>
      </c>
    </row>
    <row r="84" spans="1:7" x14ac:dyDescent="0.2">
      <c r="A84" s="57" t="s">
        <v>211</v>
      </c>
      <c r="B84" s="60">
        <v>108.2</v>
      </c>
      <c r="C84" s="57"/>
      <c r="D84" s="57"/>
      <c r="E84" s="58">
        <f>(0.3*B83)+(0.7*B84)</f>
        <v>107.53399999999999</v>
      </c>
      <c r="F84" s="57"/>
      <c r="G84" t="s">
        <v>81</v>
      </c>
    </row>
    <row r="85" spans="1:7" x14ac:dyDescent="0.2">
      <c r="A85" s="57" t="s">
        <v>212</v>
      </c>
      <c r="B85" s="60">
        <v>109.03</v>
      </c>
      <c r="C85" s="57"/>
      <c r="D85" s="57"/>
      <c r="E85" s="57"/>
      <c r="F85" s="57"/>
    </row>
    <row r="86" spans="1:7" x14ac:dyDescent="0.2">
      <c r="A86" s="57" t="s">
        <v>213</v>
      </c>
      <c r="B86" s="60">
        <v>108.87</v>
      </c>
      <c r="C86" s="57"/>
      <c r="D86" s="57"/>
      <c r="E86" s="57"/>
      <c r="F86" s="58">
        <f>(7/11*B85)+(4/11*B86)</f>
        <v>108.97181818181818</v>
      </c>
      <c r="G86" t="s">
        <v>82</v>
      </c>
    </row>
    <row r="87" spans="1:7" x14ac:dyDescent="0.2">
      <c r="A87" s="57" t="s">
        <v>214</v>
      </c>
      <c r="B87" s="60">
        <v>107.18</v>
      </c>
      <c r="C87" s="57"/>
      <c r="D87" s="58">
        <f>(0.3*B86)+(0.7*B87)</f>
        <v>107.687</v>
      </c>
      <c r="E87" s="57"/>
      <c r="F87" s="57"/>
      <c r="G87" t="s">
        <v>86</v>
      </c>
    </row>
    <row r="88" spans="1:7" x14ac:dyDescent="0.2">
      <c r="A88" s="57" t="s">
        <v>215</v>
      </c>
      <c r="B88" s="60">
        <v>107.55</v>
      </c>
      <c r="C88" s="57"/>
      <c r="D88" s="57"/>
      <c r="E88" s="57"/>
      <c r="F88" s="57"/>
    </row>
    <row r="89" spans="1:7" x14ac:dyDescent="0.2">
      <c r="A89" s="57" t="s">
        <v>216</v>
      </c>
      <c r="B89" s="60">
        <v>106.65</v>
      </c>
      <c r="C89" s="57"/>
      <c r="D89" s="57"/>
      <c r="E89" s="58">
        <f>(0.7*B88)+(0.3*B89)</f>
        <v>107.28</v>
      </c>
      <c r="F89" s="57"/>
      <c r="G89" t="s">
        <v>87</v>
      </c>
    </row>
    <row r="90" spans="1:7" x14ac:dyDescent="0.2">
      <c r="A90" s="57" t="s">
        <v>217</v>
      </c>
      <c r="B90" s="60">
        <v>106.66</v>
      </c>
      <c r="C90" s="57"/>
      <c r="D90" s="57"/>
      <c r="E90" s="57"/>
      <c r="F90" s="58">
        <f>(0.4*B89)+(0.6*B90)</f>
        <v>106.65600000000001</v>
      </c>
      <c r="G90" t="s">
        <v>88</v>
      </c>
    </row>
    <row r="91" spans="1:7" x14ac:dyDescent="0.2">
      <c r="A91" s="57" t="s">
        <v>218</v>
      </c>
      <c r="B91" s="60">
        <v>105.42</v>
      </c>
      <c r="C91" s="57"/>
      <c r="D91" s="57"/>
      <c r="E91" s="57"/>
      <c r="F91" s="57"/>
    </row>
    <row r="92" spans="1:7" x14ac:dyDescent="0.2">
      <c r="A92" s="57" t="s">
        <v>219</v>
      </c>
      <c r="B92" s="60">
        <v>105.2</v>
      </c>
      <c r="C92" s="57"/>
      <c r="D92" s="58">
        <f>(0.1*B90)+(0.7*B91)+(0.2*B92)</f>
        <v>105.5</v>
      </c>
      <c r="E92" s="57"/>
      <c r="F92" s="57"/>
      <c r="G92" t="s">
        <v>89</v>
      </c>
    </row>
    <row r="93" spans="1:7" x14ac:dyDescent="0.2">
      <c r="A93" s="57" t="s">
        <v>220</v>
      </c>
      <c r="B93" s="57">
        <v>106.56</v>
      </c>
      <c r="C93" s="57"/>
      <c r="D93" s="57"/>
      <c r="E93" s="58">
        <f>(0.5*B92)+(0.5*B93)</f>
        <v>105.88</v>
      </c>
      <c r="F93" s="57"/>
      <c r="G93" t="s">
        <v>90</v>
      </c>
    </row>
    <row r="94" spans="1:7" x14ac:dyDescent="0.2">
      <c r="A94" s="57" t="s">
        <v>221</v>
      </c>
      <c r="B94" s="60">
        <v>107.6</v>
      </c>
      <c r="C94" s="57"/>
      <c r="D94" s="57"/>
      <c r="E94" s="57"/>
      <c r="F94" s="57"/>
    </row>
    <row r="95" spans="1:7" x14ac:dyDescent="0.2">
      <c r="A95" s="57" t="s">
        <v>222</v>
      </c>
      <c r="B95" s="60">
        <v>108.18</v>
      </c>
      <c r="C95" s="57"/>
      <c r="D95" s="57"/>
      <c r="E95" s="57"/>
      <c r="F95" s="58">
        <f>(2/11*B93)+(7/11*B94)+(2/11*B95)</f>
        <v>107.51636363636364</v>
      </c>
      <c r="G95" t="s">
        <v>91</v>
      </c>
    </row>
    <row r="96" spans="1:7" x14ac:dyDescent="0.2">
      <c r="A96" s="57" t="s">
        <v>223</v>
      </c>
      <c r="B96" s="60">
        <v>109</v>
      </c>
      <c r="C96" s="57"/>
      <c r="D96" s="58">
        <f>(0.5*B95)+(0.5*B96)</f>
        <v>108.59</v>
      </c>
      <c r="E96" s="57"/>
      <c r="F96" s="57"/>
      <c r="G96" t="s">
        <v>92</v>
      </c>
    </row>
    <row r="97" spans="1:7" x14ac:dyDescent="0.2">
      <c r="A97" s="57" t="s">
        <v>224</v>
      </c>
      <c r="B97" s="60">
        <v>109.02</v>
      </c>
      <c r="C97" s="57"/>
      <c r="D97" s="57"/>
      <c r="E97" s="57"/>
      <c r="F97" s="57"/>
    </row>
    <row r="98" spans="1:7" x14ac:dyDescent="0.2">
      <c r="A98" s="57" t="s">
        <v>225</v>
      </c>
      <c r="B98" s="60">
        <v>108.44</v>
      </c>
      <c r="C98" s="57"/>
      <c r="D98" s="57"/>
      <c r="E98" s="58">
        <f>(0.2*B96)+(0.7*B97)+(0.1*B98)</f>
        <v>108.958</v>
      </c>
      <c r="F98" s="57"/>
      <c r="G98" t="s">
        <v>93</v>
      </c>
    </row>
    <row r="99" spans="1:7" x14ac:dyDescent="0.2">
      <c r="A99" s="57" t="s">
        <v>226</v>
      </c>
      <c r="B99" s="60"/>
      <c r="C99" s="57"/>
      <c r="D99" s="57"/>
      <c r="E99" s="57"/>
      <c r="F99" s="59"/>
      <c r="G99" t="s">
        <v>94</v>
      </c>
    </row>
    <row r="100" spans="1:7" x14ac:dyDescent="0.2">
      <c r="A100" s="57" t="s">
        <v>227</v>
      </c>
      <c r="B100" s="60"/>
      <c r="C100" s="57"/>
      <c r="D100" s="57"/>
      <c r="E100" s="57"/>
      <c r="F100" s="57"/>
    </row>
    <row r="101" spans="1:7" x14ac:dyDescent="0.2">
      <c r="A101" s="57" t="s">
        <v>228</v>
      </c>
      <c r="B101" s="60"/>
      <c r="C101" s="57"/>
      <c r="D101" s="59"/>
      <c r="E101" s="57"/>
      <c r="F101" s="57"/>
      <c r="G101" t="s">
        <v>95</v>
      </c>
    </row>
    <row r="102" spans="1:7" x14ac:dyDescent="0.2">
      <c r="A102" s="57" t="s">
        <v>229</v>
      </c>
      <c r="B102" s="60"/>
      <c r="C102" s="57"/>
      <c r="D102" s="57"/>
      <c r="E102" s="59"/>
      <c r="F102" s="57"/>
      <c r="G102" t="s">
        <v>96</v>
      </c>
    </row>
    <row r="103" spans="1:7" x14ac:dyDescent="0.2">
      <c r="A103" s="57" t="s">
        <v>230</v>
      </c>
      <c r="B103" s="60"/>
      <c r="C103" s="57"/>
      <c r="D103" s="57"/>
      <c r="E103" s="57"/>
      <c r="F103" s="59"/>
      <c r="G103" t="s">
        <v>97</v>
      </c>
    </row>
    <row r="104" spans="1:7" x14ac:dyDescent="0.2">
      <c r="A104" s="57" t="s">
        <v>231</v>
      </c>
      <c r="B104" s="60"/>
      <c r="C104" s="57"/>
      <c r="D104" s="57"/>
      <c r="E104" s="57"/>
      <c r="F104" s="57"/>
    </row>
    <row r="105" spans="1:7" x14ac:dyDescent="0.2">
      <c r="A105" s="57" t="s">
        <v>232</v>
      </c>
      <c r="B105" s="60"/>
      <c r="C105" s="57"/>
      <c r="D105" s="59"/>
      <c r="E105" s="57"/>
      <c r="F105" s="57"/>
      <c r="G105" t="s">
        <v>175</v>
      </c>
    </row>
    <row r="106" spans="1:7" x14ac:dyDescent="0.2">
      <c r="A106" s="57" t="s">
        <v>233</v>
      </c>
      <c r="B106" s="60"/>
      <c r="C106" s="57"/>
      <c r="D106" s="57"/>
      <c r="E106" s="59"/>
      <c r="F106" s="57"/>
      <c r="G106" t="s">
        <v>176</v>
      </c>
    </row>
    <row r="107" spans="1:7" x14ac:dyDescent="0.2">
      <c r="A107" s="10" t="s">
        <v>234</v>
      </c>
      <c r="B107" s="10"/>
      <c r="C107" s="10"/>
      <c r="D107" s="10"/>
      <c r="E107" s="10"/>
      <c r="F107" s="10"/>
    </row>
    <row r="108" spans="1:7" x14ac:dyDescent="0.2">
      <c r="A108" s="10" t="s">
        <v>235</v>
      </c>
      <c r="B108" s="10"/>
      <c r="C108" s="10"/>
      <c r="D108" s="10"/>
      <c r="E108" s="10"/>
      <c r="F108" s="68"/>
      <c r="G108" t="s">
        <v>177</v>
      </c>
    </row>
    <row r="109" spans="1:7" x14ac:dyDescent="0.2">
      <c r="A109" s="10" t="s">
        <v>236</v>
      </c>
      <c r="B109" s="10"/>
      <c r="C109" s="10"/>
      <c r="D109" s="68"/>
      <c r="E109" s="10"/>
      <c r="F109" s="10"/>
      <c r="G109" t="s">
        <v>178</v>
      </c>
    </row>
    <row r="110" spans="1:7" x14ac:dyDescent="0.2">
      <c r="A110" s="10" t="s">
        <v>237</v>
      </c>
      <c r="B110" s="10"/>
      <c r="C110" s="10"/>
      <c r="D110" s="10"/>
      <c r="E110" s="10"/>
      <c r="F110" s="10"/>
    </row>
    <row r="111" spans="1:7" x14ac:dyDescent="0.2">
      <c r="A111" s="10" t="s">
        <v>238</v>
      </c>
      <c r="B111" s="10"/>
      <c r="C111" s="10"/>
      <c r="D111" s="10"/>
      <c r="E111" s="68"/>
      <c r="F111" s="10"/>
      <c r="G111" t="s">
        <v>179</v>
      </c>
    </row>
    <row r="112" spans="1:7" x14ac:dyDescent="0.2">
      <c r="A112" s="10" t="s">
        <v>239</v>
      </c>
      <c r="B112" s="10"/>
      <c r="C112" s="10"/>
      <c r="D112" s="10"/>
      <c r="E112" s="10"/>
      <c r="F112" s="68"/>
      <c r="G112" t="s">
        <v>186</v>
      </c>
    </row>
    <row r="113" spans="1:7" x14ac:dyDescent="0.2">
      <c r="A113" s="10" t="s">
        <v>240</v>
      </c>
      <c r="B113" s="10"/>
      <c r="C113" s="10"/>
      <c r="D113" s="10"/>
      <c r="E113" s="10"/>
      <c r="F113" s="10"/>
    </row>
    <row r="114" spans="1:7" x14ac:dyDescent="0.2">
      <c r="A114" s="10" t="s">
        <v>241</v>
      </c>
      <c r="B114" s="10"/>
      <c r="C114" s="10"/>
      <c r="D114" s="68"/>
      <c r="E114" s="10"/>
      <c r="F114" s="10"/>
      <c r="G114" t="s">
        <v>187</v>
      </c>
    </row>
    <row r="115" spans="1:7" x14ac:dyDescent="0.2">
      <c r="A115" s="10" t="s">
        <v>242</v>
      </c>
      <c r="B115" s="10"/>
      <c r="C115" s="10"/>
      <c r="D115" s="10"/>
      <c r="E115" s="68"/>
      <c r="F115" s="10"/>
      <c r="G115" t="s">
        <v>188</v>
      </c>
    </row>
    <row r="116" spans="1:7" x14ac:dyDescent="0.2">
      <c r="A116" s="10" t="s">
        <v>243</v>
      </c>
      <c r="B116" s="10"/>
      <c r="C116" s="10"/>
      <c r="D116" s="10"/>
      <c r="E116" s="10"/>
      <c r="F116" s="10"/>
    </row>
    <row r="117" spans="1:7" x14ac:dyDescent="0.2">
      <c r="A117" s="10" t="s">
        <v>244</v>
      </c>
      <c r="B117" s="10"/>
      <c r="C117" s="10"/>
      <c r="D117" s="10"/>
      <c r="E117" s="10"/>
      <c r="F117" s="68"/>
      <c r="G117" t="s">
        <v>189</v>
      </c>
    </row>
  </sheetData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35"/>
  <sheetViews>
    <sheetView topLeftCell="A10" workbookViewId="0">
      <selection activeCell="D32" sqref="D32"/>
    </sheetView>
  </sheetViews>
  <sheetFormatPr defaultRowHeight="12.75" x14ac:dyDescent="0.2"/>
  <cols>
    <col min="1" max="1" width="11.28515625" customWidth="1"/>
    <col min="2" max="2" width="11.28515625" bestFit="1" customWidth="1"/>
    <col min="3" max="3" width="12.85546875" bestFit="1" customWidth="1"/>
    <col min="4" max="6" width="10.28515625" bestFit="1" customWidth="1"/>
    <col min="7" max="7" width="10.85546875" bestFit="1" customWidth="1"/>
  </cols>
  <sheetData>
    <row r="1" spans="1:7" ht="20.25" x14ac:dyDescent="0.3">
      <c r="A1" s="21" t="s">
        <v>98</v>
      </c>
    </row>
    <row r="2" spans="1:7" x14ac:dyDescent="0.2">
      <c r="A2" t="s">
        <v>99</v>
      </c>
    </row>
    <row r="3" spans="1:7" x14ac:dyDescent="0.2">
      <c r="A3" t="s">
        <v>100</v>
      </c>
    </row>
    <row r="4" spans="1:7" x14ac:dyDescent="0.2">
      <c r="A4" t="s">
        <v>101</v>
      </c>
    </row>
    <row r="5" spans="1:7" x14ac:dyDescent="0.2">
      <c r="A5" t="s">
        <v>102</v>
      </c>
    </row>
    <row r="6" spans="1:7" x14ac:dyDescent="0.2">
      <c r="A6" s="17" t="s">
        <v>127</v>
      </c>
    </row>
    <row r="7" spans="1:7" x14ac:dyDescent="0.2">
      <c r="A7" s="17"/>
    </row>
    <row r="8" spans="1:7" x14ac:dyDescent="0.2">
      <c r="A8" s="17"/>
    </row>
    <row r="9" spans="1:7" x14ac:dyDescent="0.2">
      <c r="B9" s="16" t="s">
        <v>120</v>
      </c>
      <c r="C9" s="16" t="s">
        <v>120</v>
      </c>
      <c r="D9" s="18" t="s">
        <v>134</v>
      </c>
    </row>
    <row r="10" spans="1:7" x14ac:dyDescent="0.2">
      <c r="B10" s="16" t="s">
        <v>121</v>
      </c>
      <c r="C10" s="16" t="s">
        <v>126</v>
      </c>
      <c r="D10" s="18" t="s">
        <v>124</v>
      </c>
    </row>
    <row r="11" spans="1:7" ht="13.5" thickBot="1" x14ac:dyDescent="0.25">
      <c r="A11" s="6" t="s">
        <v>103</v>
      </c>
      <c r="B11" s="6" t="s">
        <v>122</v>
      </c>
      <c r="C11" s="6" t="s">
        <v>123</v>
      </c>
      <c r="D11" s="19" t="s">
        <v>125</v>
      </c>
      <c r="E11" s="6" t="s">
        <v>104</v>
      </c>
      <c r="F11" s="6" t="s">
        <v>105</v>
      </c>
      <c r="G11" s="6" t="s">
        <v>106</v>
      </c>
    </row>
    <row r="12" spans="1:7" x14ac:dyDescent="0.2">
      <c r="A12" s="70" t="s">
        <v>107</v>
      </c>
      <c r="B12" s="71">
        <v>731733</v>
      </c>
      <c r="C12" s="71">
        <v>1803693</v>
      </c>
      <c r="D12" s="72">
        <v>2692107</v>
      </c>
      <c r="E12" s="71">
        <f>B12</f>
        <v>731733</v>
      </c>
      <c r="F12" s="71">
        <f>C12-B12</f>
        <v>1071960</v>
      </c>
      <c r="G12" s="73">
        <f>D12-C12</f>
        <v>888414</v>
      </c>
    </row>
    <row r="13" spans="1:7" x14ac:dyDescent="0.2">
      <c r="A13" s="44" t="s">
        <v>108</v>
      </c>
      <c r="B13" s="74">
        <v>1144677</v>
      </c>
      <c r="C13" s="74">
        <v>1984313</v>
      </c>
      <c r="D13" s="75">
        <v>2657132</v>
      </c>
      <c r="E13" s="74">
        <f t="shared" ref="E13:E23" si="0">B13</f>
        <v>1144677</v>
      </c>
      <c r="F13" s="74">
        <f t="shared" ref="F13:F23" si="1">C13-B13</f>
        <v>839636</v>
      </c>
      <c r="G13" s="27">
        <f t="shared" ref="G13:G23" si="2">D13-C13</f>
        <v>672819</v>
      </c>
    </row>
    <row r="14" spans="1:7" x14ac:dyDescent="0.2">
      <c r="A14" s="44" t="s">
        <v>109</v>
      </c>
      <c r="B14" s="74">
        <v>1065941</v>
      </c>
      <c r="C14" s="74">
        <v>1971020</v>
      </c>
      <c r="D14" s="75">
        <v>2995096</v>
      </c>
      <c r="E14" s="74">
        <f t="shared" si="0"/>
        <v>1065941</v>
      </c>
      <c r="F14" s="74">
        <f t="shared" si="1"/>
        <v>905079</v>
      </c>
      <c r="G14" s="27">
        <f t="shared" si="2"/>
        <v>1024076</v>
      </c>
    </row>
    <row r="15" spans="1:7" x14ac:dyDescent="0.2">
      <c r="A15" s="44" t="s">
        <v>110</v>
      </c>
      <c r="B15" s="74">
        <v>1022945</v>
      </c>
      <c r="C15" s="74">
        <v>1987229</v>
      </c>
      <c r="D15" s="75">
        <v>2979455</v>
      </c>
      <c r="E15" s="74">
        <f t="shared" si="0"/>
        <v>1022945</v>
      </c>
      <c r="F15" s="74">
        <f t="shared" si="1"/>
        <v>964284</v>
      </c>
      <c r="G15" s="27">
        <f t="shared" si="2"/>
        <v>992226</v>
      </c>
    </row>
    <row r="16" spans="1:7" x14ac:dyDescent="0.2">
      <c r="A16" s="44" t="s">
        <v>111</v>
      </c>
      <c r="B16" s="74">
        <v>616179</v>
      </c>
      <c r="C16" s="74">
        <v>1783013</v>
      </c>
      <c r="D16" s="75">
        <v>2733126</v>
      </c>
      <c r="E16" s="74">
        <f t="shared" si="0"/>
        <v>616179</v>
      </c>
      <c r="F16" s="74">
        <f t="shared" si="1"/>
        <v>1166834</v>
      </c>
      <c r="G16" s="27">
        <f t="shared" si="2"/>
        <v>950113</v>
      </c>
    </row>
    <row r="17" spans="1:9" x14ac:dyDescent="0.2">
      <c r="A17" s="44" t="s">
        <v>112</v>
      </c>
      <c r="B17" s="74">
        <v>1046410</v>
      </c>
      <c r="C17" s="74">
        <v>1866002</v>
      </c>
      <c r="D17" s="75">
        <v>2918379</v>
      </c>
      <c r="E17" s="74">
        <f t="shared" si="0"/>
        <v>1046410</v>
      </c>
      <c r="F17" s="74">
        <f t="shared" si="1"/>
        <v>819592</v>
      </c>
      <c r="G17" s="27">
        <f t="shared" si="2"/>
        <v>1052377</v>
      </c>
      <c r="I17" s="69">
        <v>1999</v>
      </c>
    </row>
    <row r="18" spans="1:9" x14ac:dyDescent="0.2">
      <c r="A18" s="44" t="s">
        <v>113</v>
      </c>
      <c r="B18" s="74">
        <v>977646</v>
      </c>
      <c r="C18" s="74">
        <v>1852901</v>
      </c>
      <c r="D18" s="75">
        <v>2970223</v>
      </c>
      <c r="E18" s="74">
        <f t="shared" si="0"/>
        <v>977646</v>
      </c>
      <c r="F18" s="74">
        <f t="shared" si="1"/>
        <v>875255</v>
      </c>
      <c r="G18" s="27">
        <f t="shared" si="2"/>
        <v>1117322</v>
      </c>
    </row>
    <row r="19" spans="1:9" x14ac:dyDescent="0.2">
      <c r="A19" s="44" t="s">
        <v>114</v>
      </c>
      <c r="B19" s="74">
        <v>1024364</v>
      </c>
      <c r="C19" s="74">
        <v>2072510</v>
      </c>
      <c r="D19" s="75">
        <v>3036064</v>
      </c>
      <c r="E19" s="74">
        <f t="shared" si="0"/>
        <v>1024364</v>
      </c>
      <c r="F19" s="74">
        <f t="shared" si="1"/>
        <v>1048146</v>
      </c>
      <c r="G19" s="27">
        <f t="shared" si="2"/>
        <v>963554</v>
      </c>
    </row>
    <row r="20" spans="1:9" x14ac:dyDescent="0.2">
      <c r="A20" s="44" t="s">
        <v>115</v>
      </c>
      <c r="B20" s="74">
        <v>1068609</v>
      </c>
      <c r="C20" s="74">
        <v>1896435</v>
      </c>
      <c r="D20" s="75">
        <v>2887621</v>
      </c>
      <c r="E20" s="74">
        <f t="shared" si="0"/>
        <v>1068609</v>
      </c>
      <c r="F20" s="74">
        <f t="shared" si="1"/>
        <v>827826</v>
      </c>
      <c r="G20" s="27">
        <f t="shared" si="2"/>
        <v>991186</v>
      </c>
    </row>
    <row r="21" spans="1:9" x14ac:dyDescent="0.2">
      <c r="A21" s="44" t="s">
        <v>116</v>
      </c>
      <c r="B21" s="74">
        <v>938259</v>
      </c>
      <c r="C21" s="74">
        <v>1971131</v>
      </c>
      <c r="D21" s="75">
        <v>2962388</v>
      </c>
      <c r="E21" s="74">
        <f t="shared" si="0"/>
        <v>938259</v>
      </c>
      <c r="F21" s="74">
        <f t="shared" si="1"/>
        <v>1032872</v>
      </c>
      <c r="G21" s="27">
        <f t="shared" si="2"/>
        <v>991257</v>
      </c>
    </row>
    <row r="22" spans="1:9" x14ac:dyDescent="0.2">
      <c r="A22" s="44" t="s">
        <v>117</v>
      </c>
      <c r="B22" s="74">
        <v>1178430</v>
      </c>
      <c r="C22" s="74">
        <v>2211694</v>
      </c>
      <c r="D22" s="75">
        <v>3224473</v>
      </c>
      <c r="E22" s="74">
        <f t="shared" si="0"/>
        <v>1178430</v>
      </c>
      <c r="F22" s="74">
        <f t="shared" si="1"/>
        <v>1033264</v>
      </c>
      <c r="G22" s="27">
        <f t="shared" si="2"/>
        <v>1012779</v>
      </c>
    </row>
    <row r="23" spans="1:9" ht="13.5" thickBot="1" x14ac:dyDescent="0.25">
      <c r="A23" s="45" t="s">
        <v>118</v>
      </c>
      <c r="B23" s="76">
        <v>1193876</v>
      </c>
      <c r="C23" s="76">
        <v>2255428</v>
      </c>
      <c r="D23" s="77">
        <v>3152498</v>
      </c>
      <c r="E23" s="76">
        <f t="shared" si="0"/>
        <v>1193876</v>
      </c>
      <c r="F23" s="76">
        <f t="shared" si="1"/>
        <v>1061552</v>
      </c>
      <c r="G23" s="29">
        <f t="shared" si="2"/>
        <v>897070</v>
      </c>
    </row>
    <row r="24" spans="1:9" x14ac:dyDescent="0.2">
      <c r="A24" s="70" t="s">
        <v>107</v>
      </c>
      <c r="B24" s="71">
        <v>603670</v>
      </c>
      <c r="C24" s="71">
        <v>1962866</v>
      </c>
      <c r="D24" s="72">
        <v>2990462</v>
      </c>
      <c r="E24" s="71">
        <f t="shared" ref="E24:E35" si="3">B24</f>
        <v>603670</v>
      </c>
      <c r="F24" s="71">
        <f t="shared" ref="F24:F35" si="4">C24-B24</f>
        <v>1359196</v>
      </c>
      <c r="G24" s="73">
        <f t="shared" ref="G24:G35" si="5">D24-C24</f>
        <v>1027596</v>
      </c>
    </row>
    <row r="25" spans="1:9" x14ac:dyDescent="0.2">
      <c r="A25" s="44" t="s">
        <v>108</v>
      </c>
      <c r="B25" s="74">
        <v>1143424</v>
      </c>
      <c r="C25" s="74">
        <v>1940386</v>
      </c>
      <c r="D25" s="75">
        <v>2956747</v>
      </c>
      <c r="E25" s="74">
        <f t="shared" si="3"/>
        <v>1143424</v>
      </c>
      <c r="F25" s="74">
        <f t="shared" si="4"/>
        <v>796962</v>
      </c>
      <c r="G25" s="27">
        <f t="shared" si="5"/>
        <v>1016361</v>
      </c>
    </row>
    <row r="26" spans="1:9" x14ac:dyDescent="0.2">
      <c r="A26" s="44" t="s">
        <v>109</v>
      </c>
      <c r="B26" s="74">
        <v>1285192</v>
      </c>
      <c r="C26" s="74" t="s">
        <v>246</v>
      </c>
      <c r="D26" s="75">
        <v>3593331</v>
      </c>
      <c r="E26" s="74">
        <f t="shared" si="3"/>
        <v>1285192</v>
      </c>
      <c r="F26" s="74" t="e">
        <f t="shared" si="4"/>
        <v>#VALUE!</v>
      </c>
      <c r="G26" s="27" t="e">
        <f t="shared" si="5"/>
        <v>#VALUE!</v>
      </c>
    </row>
    <row r="27" spans="1:9" x14ac:dyDescent="0.2">
      <c r="A27" s="44" t="s">
        <v>110</v>
      </c>
      <c r="B27" s="74">
        <v>1097967</v>
      </c>
      <c r="C27" s="74">
        <v>2319387</v>
      </c>
      <c r="D27" s="75">
        <v>3234880</v>
      </c>
      <c r="E27" s="74">
        <f t="shared" si="3"/>
        <v>1097967</v>
      </c>
      <c r="F27" s="74">
        <f t="shared" si="4"/>
        <v>1221420</v>
      </c>
      <c r="G27" s="27">
        <f t="shared" si="5"/>
        <v>915493</v>
      </c>
    </row>
    <row r="28" spans="1:9" x14ac:dyDescent="0.2">
      <c r="A28" s="44" t="s">
        <v>111</v>
      </c>
      <c r="B28" s="74">
        <v>958983</v>
      </c>
      <c r="C28" s="74">
        <v>2077639</v>
      </c>
      <c r="D28" s="75">
        <v>3273584</v>
      </c>
      <c r="E28" s="74">
        <f t="shared" si="3"/>
        <v>958983</v>
      </c>
      <c r="F28" s="74">
        <f t="shared" si="4"/>
        <v>1118656</v>
      </c>
      <c r="G28" s="27">
        <f t="shared" si="5"/>
        <v>1195945</v>
      </c>
    </row>
    <row r="29" spans="1:9" x14ac:dyDescent="0.2">
      <c r="A29" s="44" t="s">
        <v>112</v>
      </c>
      <c r="B29" s="74">
        <v>1010552</v>
      </c>
      <c r="C29" s="74">
        <v>2128455</v>
      </c>
      <c r="D29" s="74" t="s">
        <v>246</v>
      </c>
      <c r="E29" s="74">
        <f t="shared" si="3"/>
        <v>1010552</v>
      </c>
      <c r="F29" s="74">
        <f t="shared" si="4"/>
        <v>1117903</v>
      </c>
      <c r="G29" s="27" t="e">
        <f t="shared" si="5"/>
        <v>#VALUE!</v>
      </c>
      <c r="I29" s="69">
        <v>2000</v>
      </c>
    </row>
    <row r="30" spans="1:9" x14ac:dyDescent="0.2">
      <c r="A30" s="44" t="s">
        <v>113</v>
      </c>
      <c r="B30" s="74">
        <v>993089</v>
      </c>
      <c r="C30" s="74">
        <v>2684440</v>
      </c>
      <c r="D30" s="74" t="s">
        <v>246</v>
      </c>
      <c r="E30" s="74">
        <f t="shared" si="3"/>
        <v>993089</v>
      </c>
      <c r="F30" s="74">
        <f t="shared" si="4"/>
        <v>1691351</v>
      </c>
      <c r="G30" s="27" t="e">
        <f t="shared" si="5"/>
        <v>#VALUE!</v>
      </c>
    </row>
    <row r="31" spans="1:9" x14ac:dyDescent="0.2">
      <c r="A31" s="44" t="s">
        <v>114</v>
      </c>
      <c r="B31" s="74">
        <v>1302561</v>
      </c>
      <c r="C31" s="74">
        <v>2158988</v>
      </c>
      <c r="D31" s="74" t="s">
        <v>246</v>
      </c>
      <c r="E31" s="74">
        <f t="shared" si="3"/>
        <v>1302561</v>
      </c>
      <c r="F31" s="74">
        <f t="shared" si="4"/>
        <v>856427</v>
      </c>
      <c r="G31" s="27" t="e">
        <f t="shared" si="5"/>
        <v>#VALUE!</v>
      </c>
    </row>
    <row r="32" spans="1:9" x14ac:dyDescent="0.2">
      <c r="A32" s="44" t="s">
        <v>115</v>
      </c>
      <c r="B32" s="74"/>
      <c r="C32" s="74"/>
      <c r="D32" s="75"/>
      <c r="E32" s="74">
        <f t="shared" si="3"/>
        <v>0</v>
      </c>
      <c r="F32" s="74">
        <f t="shared" si="4"/>
        <v>0</v>
      </c>
      <c r="G32" s="27">
        <f t="shared" si="5"/>
        <v>0</v>
      </c>
    </row>
    <row r="33" spans="1:7" x14ac:dyDescent="0.2">
      <c r="A33" s="44" t="s">
        <v>116</v>
      </c>
      <c r="B33" s="74"/>
      <c r="C33" s="74"/>
      <c r="D33" s="75"/>
      <c r="E33" s="74">
        <f t="shared" si="3"/>
        <v>0</v>
      </c>
      <c r="F33" s="74">
        <f t="shared" si="4"/>
        <v>0</v>
      </c>
      <c r="G33" s="27">
        <f t="shared" si="5"/>
        <v>0</v>
      </c>
    </row>
    <row r="34" spans="1:7" x14ac:dyDescent="0.2">
      <c r="A34" s="44" t="s">
        <v>117</v>
      </c>
      <c r="B34" s="74"/>
      <c r="C34" s="74"/>
      <c r="D34" s="75"/>
      <c r="E34" s="74">
        <f t="shared" si="3"/>
        <v>0</v>
      </c>
      <c r="F34" s="74">
        <f t="shared" si="4"/>
        <v>0</v>
      </c>
      <c r="G34" s="27">
        <f t="shared" si="5"/>
        <v>0</v>
      </c>
    </row>
    <row r="35" spans="1:7" ht="13.5" thickBot="1" x14ac:dyDescent="0.25">
      <c r="A35" s="45" t="s">
        <v>118</v>
      </c>
      <c r="B35" s="76"/>
      <c r="C35" s="76"/>
      <c r="D35" s="77"/>
      <c r="E35" s="76">
        <f t="shared" si="3"/>
        <v>0</v>
      </c>
      <c r="F35" s="76">
        <f t="shared" si="4"/>
        <v>0</v>
      </c>
      <c r="G35" s="29">
        <f t="shared" si="5"/>
        <v>0</v>
      </c>
    </row>
  </sheetData>
  <pageMargins left="0.75" right="0.75" top="1" bottom="1" header="0.5" footer="0.5"/>
  <pageSetup orientation="landscape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32"/>
  <sheetViews>
    <sheetView workbookViewId="0">
      <selection activeCell="C23" sqref="C23"/>
    </sheetView>
  </sheetViews>
  <sheetFormatPr defaultRowHeight="12.75" x14ac:dyDescent="0.2"/>
  <cols>
    <col min="1" max="1" width="10.7109375" customWidth="1"/>
    <col min="2" max="2" width="11.28515625" bestFit="1" customWidth="1"/>
    <col min="3" max="4" width="11.85546875" bestFit="1" customWidth="1"/>
    <col min="5" max="5" width="11.28515625" bestFit="1" customWidth="1"/>
    <col min="6" max="6" width="12.85546875" bestFit="1" customWidth="1"/>
  </cols>
  <sheetData>
    <row r="1" spans="1:7" ht="20.25" x14ac:dyDescent="0.3">
      <c r="A1" s="21" t="s">
        <v>140</v>
      </c>
    </row>
    <row r="2" spans="1:7" x14ac:dyDescent="0.2">
      <c r="A2" s="1" t="s">
        <v>133</v>
      </c>
    </row>
    <row r="4" spans="1:7" x14ac:dyDescent="0.2">
      <c r="A4" s="1" t="s">
        <v>128</v>
      </c>
    </row>
    <row r="5" spans="1:7" x14ac:dyDescent="0.2">
      <c r="A5" s="1"/>
    </row>
    <row r="6" spans="1:7" x14ac:dyDescent="0.2">
      <c r="A6" s="1" t="s">
        <v>136</v>
      </c>
    </row>
    <row r="7" spans="1:7" x14ac:dyDescent="0.2">
      <c r="E7" s="20" t="s">
        <v>137</v>
      </c>
      <c r="F7" s="20" t="s">
        <v>138</v>
      </c>
      <c r="G7" s="20" t="s">
        <v>139</v>
      </c>
    </row>
    <row r="8" spans="1:7" ht="13.5" thickBot="1" x14ac:dyDescent="0.25">
      <c r="A8" s="6" t="s">
        <v>103</v>
      </c>
      <c r="B8" s="6" t="s">
        <v>130</v>
      </c>
      <c r="C8" s="6" t="s">
        <v>131</v>
      </c>
      <c r="D8" s="6" t="s">
        <v>132</v>
      </c>
      <c r="E8" s="6" t="s">
        <v>129</v>
      </c>
      <c r="F8" s="6" t="s">
        <v>135</v>
      </c>
      <c r="G8" s="6" t="s">
        <v>6</v>
      </c>
    </row>
    <row r="9" spans="1:7" x14ac:dyDescent="0.2">
      <c r="A9" s="70" t="s">
        <v>107</v>
      </c>
      <c r="B9" s="102" t="s">
        <v>119</v>
      </c>
      <c r="C9" s="105">
        <f>'X1, X2, X3 Calculation'!F12/'Yen-$ Rates'!E15</f>
        <v>9365.8587729568208</v>
      </c>
      <c r="D9" s="105">
        <f>'X1, X2, X3 Calculation'!G12/'Yen-$ Rates'!F17</f>
        <v>7921.401648712399</v>
      </c>
      <c r="E9" s="102" t="s">
        <v>119</v>
      </c>
      <c r="F9" s="99">
        <f>'X1, X2, X3 Calculation'!D12</f>
        <v>2692107</v>
      </c>
      <c r="G9" s="98" t="s">
        <v>119</v>
      </c>
    </row>
    <row r="10" spans="1:7" x14ac:dyDescent="0.2">
      <c r="A10" s="44" t="s">
        <v>108</v>
      </c>
      <c r="B10" s="103">
        <f>'X1, X2, X3 Calculation'!E13/'Yen-$ Rates'!D18</f>
        <v>10032.753694322226</v>
      </c>
      <c r="C10" s="103">
        <f>'X1, X2, X3 Calculation'!F13/'Yen-$ Rates'!E19</f>
        <v>7366.261931499158</v>
      </c>
      <c r="D10" s="103">
        <f>'X1, X2, X3 Calculation'!G13/'Yen-$ Rates'!F21</f>
        <v>5874.545156889495</v>
      </c>
      <c r="E10" s="103">
        <f t="shared" ref="E10:E20" si="0">SUM(B10:D10)</f>
        <v>23273.560782710876</v>
      </c>
      <c r="F10" s="100">
        <f>'X1, X2, X3 Calculation'!D13</f>
        <v>2657132</v>
      </c>
      <c r="G10" s="86">
        <f>F10/E10</f>
        <v>114.16955165596713</v>
      </c>
    </row>
    <row r="11" spans="1:7" x14ac:dyDescent="0.2">
      <c r="A11" s="44" t="s">
        <v>109</v>
      </c>
      <c r="B11" s="103">
        <f>'X1, X2, X3 Calculation'!E14/'Yen-$ Rates'!D22</f>
        <v>8967.7362363709781</v>
      </c>
      <c r="C11" s="103">
        <f>'X1, X2, X3 Calculation'!F14/'Yen-$ Rates'!E23</f>
        <v>7477.6433847221524</v>
      </c>
      <c r="D11" s="103">
        <f>'X1, X2, X3 Calculation'!G14/'Yen-$ Rates'!F25</f>
        <v>8537.7180882508983</v>
      </c>
      <c r="E11" s="103">
        <f t="shared" si="0"/>
        <v>24983.097709344031</v>
      </c>
      <c r="F11" s="100">
        <f>'X1, X2, X3 Calculation'!D14</f>
        <v>2995096</v>
      </c>
      <c r="G11" s="86">
        <f t="shared" ref="G11:G20" si="1">F11/E11</f>
        <v>119.88489317238638</v>
      </c>
    </row>
    <row r="12" spans="1:7" x14ac:dyDescent="0.2">
      <c r="A12" s="44" t="s">
        <v>110</v>
      </c>
      <c r="B12" s="103">
        <f>'X1, X2, X3 Calculation'!E15/'Yen-$ Rates'!D26</f>
        <v>8654.6499035500365</v>
      </c>
      <c r="C12" s="103">
        <f>'X1, X2, X3 Calculation'!F15/'Yen-$ Rates'!E28</f>
        <v>8010.5335736893267</v>
      </c>
      <c r="D12" s="103">
        <f>'X1, X2, X3 Calculation'!G15/'Yen-$ Rates'!F29</f>
        <v>8247.9301745635912</v>
      </c>
      <c r="E12" s="103">
        <f t="shared" si="0"/>
        <v>24913.113651802953</v>
      </c>
      <c r="F12" s="100">
        <f>'X1, X2, X3 Calculation'!D15</f>
        <v>2979455</v>
      </c>
      <c r="G12" s="86">
        <f t="shared" si="1"/>
        <v>119.59384289102611</v>
      </c>
    </row>
    <row r="13" spans="1:7" x14ac:dyDescent="0.2">
      <c r="A13" s="44" t="s">
        <v>111</v>
      </c>
      <c r="B13" s="103">
        <f>'X1, X2, X3 Calculation'!E16/'Yen-$ Rates'!D31</f>
        <v>5174.6699586818495</v>
      </c>
      <c r="C13" s="103">
        <f>'X1, X2, X3 Calculation'!F16/'Yen-$ Rates'!E32</f>
        <v>9735.7863996662491</v>
      </c>
      <c r="D13" s="103">
        <f>'X1, X2, X3 Calculation'!G16/'Yen-$ Rates'!F34</f>
        <v>7825.8912592570414</v>
      </c>
      <c r="E13" s="103">
        <f t="shared" si="0"/>
        <v>22736.347617605141</v>
      </c>
      <c r="F13" s="100">
        <f>'X1, X2, X3 Calculation'!D16</f>
        <v>2733126</v>
      </c>
      <c r="G13" s="86">
        <f t="shared" si="1"/>
        <v>120.20954490877392</v>
      </c>
    </row>
    <row r="14" spans="1:7" x14ac:dyDescent="0.2">
      <c r="A14" s="44" t="s">
        <v>112</v>
      </c>
      <c r="B14" s="103">
        <f>'X1, X2, X3 Calculation'!E17/'Yen-$ Rates'!D35</f>
        <v>8503.250446936454</v>
      </c>
      <c r="C14" s="103">
        <f>'X1, X2, X3 Calculation'!F17/'Yen-$ Rates'!E37</f>
        <v>6746.223937969693</v>
      </c>
      <c r="D14" s="103">
        <f>'X1, X2, X3 Calculation'!G17/'Yen-$ Rates'!F38</f>
        <v>8766.0097291173824</v>
      </c>
      <c r="E14" s="103">
        <f t="shared" si="0"/>
        <v>24015.484114023529</v>
      </c>
      <c r="F14" s="100">
        <f>'X1, X2, X3 Calculation'!D17</f>
        <v>2918379</v>
      </c>
      <c r="G14" s="86">
        <f t="shared" si="1"/>
        <v>121.52072330267332</v>
      </c>
    </row>
    <row r="15" spans="1:7" x14ac:dyDescent="0.2">
      <c r="A15" s="44" t="s">
        <v>113</v>
      </c>
      <c r="B15" s="103">
        <f>'X1, X2, X3 Calculation'!E18/'Yen-$ Rates'!D39</f>
        <v>8052.8981985618157</v>
      </c>
      <c r="C15" s="103">
        <f>'X1, X2, X3 Calculation'!F18/'Yen-$ Rates'!E41</f>
        <v>7203.9227306024013</v>
      </c>
      <c r="D15" s="103">
        <f>'X1, X2, X3 Calculation'!G18/'Yen-$ Rates'!F42</f>
        <v>9175.6754537242341</v>
      </c>
      <c r="E15" s="103">
        <f t="shared" si="0"/>
        <v>24432.49638288845</v>
      </c>
      <c r="F15" s="100">
        <f>'X1, X2, X3 Calculation'!D18</f>
        <v>2970223</v>
      </c>
      <c r="G15" s="86">
        <f t="shared" si="1"/>
        <v>121.56854352714552</v>
      </c>
    </row>
    <row r="16" spans="1:7" x14ac:dyDescent="0.2">
      <c r="A16" s="44" t="s">
        <v>114</v>
      </c>
      <c r="B16" s="103">
        <f>'X1, X2, X3 Calculation'!E19/'Yen-$ Rates'!D44</f>
        <v>8677.8150520145027</v>
      </c>
      <c r="C16" s="103">
        <f>'X1, X2, X3 Calculation'!F19/'Yen-$ Rates'!E45</f>
        <v>9099.595436945463</v>
      </c>
      <c r="D16" s="103">
        <f>'X1, X2, X3 Calculation'!G19/'Yen-$ Rates'!F47</f>
        <v>8405.5751173708923</v>
      </c>
      <c r="E16" s="103">
        <f t="shared" si="0"/>
        <v>26182.985606330858</v>
      </c>
      <c r="F16" s="100">
        <f>'X1, X2, X3 Calculation'!D19</f>
        <v>3036064</v>
      </c>
      <c r="G16" s="86">
        <f t="shared" si="1"/>
        <v>115.95560741804408</v>
      </c>
    </row>
    <row r="17" spans="1:7" x14ac:dyDescent="0.2">
      <c r="A17" s="44" t="s">
        <v>115</v>
      </c>
      <c r="B17" s="103">
        <f>'X1, X2, X3 Calculation'!E20/'Yen-$ Rates'!D48</f>
        <v>9520.2412558131255</v>
      </c>
      <c r="C17" s="103">
        <f>'X1, X2, X3 Calculation'!F20/'Yen-$ Rates'!E50</f>
        <v>7516.1931740800255</v>
      </c>
      <c r="D17" s="106">
        <f>'X1, X2, X3 Calculation'!G20/'Yen-$ Rates'!F51</f>
        <v>9166.1904101354794</v>
      </c>
      <c r="E17" s="103">
        <f t="shared" si="0"/>
        <v>26202.624840028628</v>
      </c>
      <c r="F17" s="100">
        <f>'X1, X2, X3 Calculation'!D20</f>
        <v>2887621</v>
      </c>
      <c r="G17" s="86">
        <f t="shared" si="1"/>
        <v>110.20350127628073</v>
      </c>
    </row>
    <row r="18" spans="1:7" x14ac:dyDescent="0.2">
      <c r="A18" s="44" t="s">
        <v>116</v>
      </c>
      <c r="B18" s="106">
        <f>'X1, X2, X3 Calculation'!E21/'Yen-$ Rates'!D53</f>
        <v>8846.0755197284689</v>
      </c>
      <c r="C18" s="106">
        <f>'X1, X2, X3 Calculation'!F21/'Yen-$ Rates'!E54</f>
        <v>9710.5466032378772</v>
      </c>
      <c r="D18" s="106">
        <f>'X1, X2, X3 Calculation'!G21/'Yen-$ Rates'!F56</f>
        <v>9300.8291039365376</v>
      </c>
      <c r="E18" s="103">
        <f t="shared" si="0"/>
        <v>27857.451226902886</v>
      </c>
      <c r="F18" s="100">
        <f>'X1, X2, X3 Calculation'!D21</f>
        <v>2962388</v>
      </c>
      <c r="G18" s="86">
        <f t="shared" si="1"/>
        <v>106.34095617258485</v>
      </c>
    </row>
    <row r="19" spans="1:7" x14ac:dyDescent="0.2">
      <c r="A19" s="44" t="s">
        <v>117</v>
      </c>
      <c r="B19" s="106">
        <f>'X1, X2, X3 Calculation'!E22/'Yen-$ Rates'!D57</f>
        <v>11176.308801213961</v>
      </c>
      <c r="C19" s="106">
        <f>'X1, X2, X3 Calculation'!F22/'Yen-$ Rates'!E58</f>
        <v>9859.2952357324848</v>
      </c>
      <c r="D19" s="106">
        <f>'X1, X2, X3 Calculation'!G22/'Yen-$ Rates'!F60</f>
        <v>9612.5569476082019</v>
      </c>
      <c r="E19" s="103">
        <f t="shared" si="0"/>
        <v>30648.160984554648</v>
      </c>
      <c r="F19" s="100">
        <f>'X1, X2, X3 Calculation'!D22</f>
        <v>3224473</v>
      </c>
      <c r="G19" s="86">
        <f t="shared" si="1"/>
        <v>105.20934687157886</v>
      </c>
    </row>
    <row r="20" spans="1:7" ht="13.5" thickBot="1" x14ac:dyDescent="0.25">
      <c r="A20" s="45" t="s">
        <v>118</v>
      </c>
      <c r="B20" s="107">
        <f>'X1, X2, X3 Calculation'!E23/'Yen-$ Rates'!D61</f>
        <v>11352.731975428385</v>
      </c>
      <c r="C20" s="107">
        <f>'X1, X2, X3 Calculation'!F23/'Yen-$ Rates'!E63</f>
        <v>10319.655477461187</v>
      </c>
      <c r="D20" s="107">
        <f>'X1, X2, X3 Calculation'!G23/'Yen-$ Rates'!F64</f>
        <v>8718.2665547554898</v>
      </c>
      <c r="E20" s="104">
        <f t="shared" si="0"/>
        <v>30390.654007645062</v>
      </c>
      <c r="F20" s="101">
        <f>'X1, X2, X3 Calculation'!D23</f>
        <v>3152498</v>
      </c>
      <c r="G20" s="87">
        <f t="shared" si="1"/>
        <v>103.73248299319123</v>
      </c>
    </row>
    <row r="21" spans="1:7" x14ac:dyDescent="0.2">
      <c r="A21" s="70" t="s">
        <v>107</v>
      </c>
      <c r="B21" s="102">
        <f>'X1, X2, X3 Calculation'!E24/'Yen-$ Rates'!D66</f>
        <v>5879.0245612668241</v>
      </c>
      <c r="C21" s="102">
        <f>'X1, X2, X3 Calculation'!F24/'Yen-$ Rates'!E67</f>
        <v>13181.999806032392</v>
      </c>
      <c r="D21" s="102">
        <f>'X1, X2, X3 Calculation'!G24/'Yen-$ Rates'!F69</f>
        <v>9758.2409613591644</v>
      </c>
      <c r="E21" s="105">
        <f>SUM(B21:D21)</f>
        <v>28819.265328658381</v>
      </c>
      <c r="F21" s="99">
        <f>'X1, X2, X3 Calculation'!D24</f>
        <v>2990462</v>
      </c>
      <c r="G21" s="85">
        <f>F21/E21</f>
        <v>103.76607335046228</v>
      </c>
    </row>
    <row r="22" spans="1:7" x14ac:dyDescent="0.2">
      <c r="A22" s="44" t="s">
        <v>108</v>
      </c>
      <c r="B22" s="106">
        <f>'X1, X2, X3 Calculation'!E25/'Yen-$ Rates'!D70</f>
        <v>10859.243078968613</v>
      </c>
      <c r="C22" s="106">
        <f>'X1, X2, X3 Calculation'!F25/'Yen-$ Rates'!E72</f>
        <v>7428.1107279336375</v>
      </c>
      <c r="D22" s="106">
        <f>'X1, X2, X3 Calculation'!G25/'Yen-$ Rates'!F73</f>
        <v>9331.8326498133083</v>
      </c>
      <c r="E22" s="103">
        <f>SUM(B22:D22)</f>
        <v>27619.186456715557</v>
      </c>
      <c r="F22" s="100">
        <f>'X1, X2, X3 Calculation'!D25</f>
        <v>2956747</v>
      </c>
      <c r="G22" s="86">
        <f>F22/E22</f>
        <v>107.05409461041791</v>
      </c>
    </row>
    <row r="23" spans="1:7" x14ac:dyDescent="0.2">
      <c r="A23" s="44" t="s">
        <v>109</v>
      </c>
      <c r="B23" s="106">
        <f>'X1, X2, X3 Calculation'!E26/'Yen-$ Rates'!D74</f>
        <v>11648.40662727042</v>
      </c>
      <c r="C23" s="106" t="e">
        <f>'X1, X2, X3 Calculation'!F26/'Yen-$ Rates'!E76</f>
        <v>#VALUE!</v>
      </c>
      <c r="D23" s="106" t="e">
        <f>'X1, X2, X3 Calculation'!G26/'Yen-$ Rates'!F77</f>
        <v>#VALUE!</v>
      </c>
      <c r="E23" s="103" t="e">
        <f>SUM(B23:D23)</f>
        <v>#VALUE!</v>
      </c>
      <c r="F23" s="100">
        <f>'X1, X2, X3 Calculation'!D26</f>
        <v>3593331</v>
      </c>
      <c r="G23" s="86" t="e">
        <f t="shared" ref="G23:G32" si="2">F23/E23</f>
        <v>#VALUE!</v>
      </c>
    </row>
    <row r="24" spans="1:7" x14ac:dyDescent="0.2">
      <c r="A24" s="44" t="s">
        <v>110</v>
      </c>
      <c r="B24" s="106">
        <f>'X1, X2, X3 Calculation'!E27/'Yen-$ Rates'!D79</f>
        <v>10289.646317920267</v>
      </c>
      <c r="C24" s="106">
        <f>'X1, X2, X3 Calculation'!F27/'Yen-$ Rates'!E80</f>
        <v>11570.860174308449</v>
      </c>
      <c r="D24" s="106">
        <f>'X1, X2, X3 Calculation'!G27/'Yen-$ Rates'!F82</f>
        <v>8652.5622365461313</v>
      </c>
      <c r="E24" s="103">
        <f t="shared" ref="E24:E32" si="3">SUM(B24:D24)</f>
        <v>30513.068728774848</v>
      </c>
      <c r="F24" s="100">
        <f>'X1, X2, X3 Calculation'!D27</f>
        <v>3234880</v>
      </c>
      <c r="G24" s="86">
        <f t="shared" si="2"/>
        <v>106.01621320865048</v>
      </c>
    </row>
    <row r="25" spans="1:7" x14ac:dyDescent="0.2">
      <c r="A25" s="44" t="s">
        <v>111</v>
      </c>
      <c r="B25" s="106">
        <f>'X1, X2, X3 Calculation'!E28/'Yen-$ Rates'!D83</f>
        <v>9109.0541233686054</v>
      </c>
      <c r="C25" s="106">
        <f>'X1, X2, X3 Calculation'!F28/'Yen-$ Rates'!E84</f>
        <v>10402.81213383674</v>
      </c>
      <c r="D25" s="106">
        <f>'X1, X2, X3 Calculation'!G28/'Yen-$ Rates'!F86</f>
        <v>10974.810000917669</v>
      </c>
      <c r="E25" s="103">
        <f t="shared" si="3"/>
        <v>30486.676258123014</v>
      </c>
      <c r="F25" s="100">
        <f>'X1, X2, X3 Calculation'!D28</f>
        <v>3273584</v>
      </c>
      <c r="G25" s="86">
        <f t="shared" si="2"/>
        <v>107.37753018018063</v>
      </c>
    </row>
    <row r="26" spans="1:7" x14ac:dyDescent="0.2">
      <c r="A26" s="44" t="s">
        <v>112</v>
      </c>
      <c r="B26" s="86"/>
      <c r="C26" s="86"/>
      <c r="D26" s="86"/>
      <c r="E26" s="103">
        <f t="shared" si="3"/>
        <v>0</v>
      </c>
      <c r="F26" s="100" t="str">
        <f>'X1, X2, X3 Calculation'!D29</f>
        <v>unavailable</v>
      </c>
      <c r="G26" s="86" t="e">
        <f t="shared" si="2"/>
        <v>#VALUE!</v>
      </c>
    </row>
    <row r="27" spans="1:7" x14ac:dyDescent="0.2">
      <c r="A27" s="44" t="s">
        <v>113</v>
      </c>
      <c r="B27" s="86"/>
      <c r="C27" s="86"/>
      <c r="D27" s="86"/>
      <c r="E27" s="103">
        <f t="shared" si="3"/>
        <v>0</v>
      </c>
      <c r="F27" s="100" t="str">
        <f>'X1, X2, X3 Calculation'!D30</f>
        <v>unavailable</v>
      </c>
      <c r="G27" s="86" t="e">
        <f t="shared" si="2"/>
        <v>#VALUE!</v>
      </c>
    </row>
    <row r="28" spans="1:7" x14ac:dyDescent="0.2">
      <c r="A28" s="44" t="s">
        <v>114</v>
      </c>
      <c r="B28" s="86"/>
      <c r="C28" s="86"/>
      <c r="D28" s="86"/>
      <c r="E28" s="103">
        <f t="shared" si="3"/>
        <v>0</v>
      </c>
      <c r="F28" s="100" t="str">
        <f>'X1, X2, X3 Calculation'!D31</f>
        <v>unavailable</v>
      </c>
      <c r="G28" s="86" t="e">
        <f t="shared" si="2"/>
        <v>#VALUE!</v>
      </c>
    </row>
    <row r="29" spans="1:7" x14ac:dyDescent="0.2">
      <c r="A29" s="44" t="s">
        <v>115</v>
      </c>
      <c r="B29" s="86"/>
      <c r="C29" s="86"/>
      <c r="D29" s="86"/>
      <c r="E29" s="103">
        <f t="shared" si="3"/>
        <v>0</v>
      </c>
      <c r="F29" s="100">
        <f>'X1, X2, X3 Calculation'!D32</f>
        <v>0</v>
      </c>
      <c r="G29" s="86" t="e">
        <f t="shared" si="2"/>
        <v>#DIV/0!</v>
      </c>
    </row>
    <row r="30" spans="1:7" x14ac:dyDescent="0.2">
      <c r="A30" s="44" t="s">
        <v>116</v>
      </c>
      <c r="B30" s="86"/>
      <c r="C30" s="86"/>
      <c r="D30" s="86"/>
      <c r="E30" s="103">
        <f t="shared" si="3"/>
        <v>0</v>
      </c>
      <c r="F30" s="100">
        <f>'X1, X2, X3 Calculation'!D33</f>
        <v>0</v>
      </c>
      <c r="G30" s="86" t="e">
        <f t="shared" si="2"/>
        <v>#DIV/0!</v>
      </c>
    </row>
    <row r="31" spans="1:7" x14ac:dyDescent="0.2">
      <c r="A31" s="44" t="s">
        <v>117</v>
      </c>
      <c r="B31" s="86"/>
      <c r="C31" s="86"/>
      <c r="D31" s="86"/>
      <c r="E31" s="103">
        <f t="shared" si="3"/>
        <v>0</v>
      </c>
      <c r="F31" s="100">
        <f>'X1, X2, X3 Calculation'!D34</f>
        <v>0</v>
      </c>
      <c r="G31" s="86" t="e">
        <f t="shared" si="2"/>
        <v>#DIV/0!</v>
      </c>
    </row>
    <row r="32" spans="1:7" ht="13.5" thickBot="1" x14ac:dyDescent="0.25">
      <c r="A32" s="45" t="s">
        <v>118</v>
      </c>
      <c r="B32" s="87"/>
      <c r="C32" s="87"/>
      <c r="D32" s="87"/>
      <c r="E32" s="104">
        <f t="shared" si="3"/>
        <v>0</v>
      </c>
      <c r="F32" s="101">
        <f>'X1, X2, X3 Calculation'!D35</f>
        <v>0</v>
      </c>
      <c r="G32" s="87" t="e">
        <f t="shared" si="2"/>
        <v>#DIV/0!</v>
      </c>
    </row>
  </sheetData>
  <pageMargins left="0.75" right="0.75" top="1" bottom="1" header="0.5" footer="0.5"/>
  <pageSetup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54"/>
  <sheetViews>
    <sheetView topLeftCell="A24" workbookViewId="0"/>
  </sheetViews>
  <sheetFormatPr defaultRowHeight="12.75" x14ac:dyDescent="0.2"/>
  <cols>
    <col min="1" max="1" width="16" customWidth="1"/>
    <col min="2" max="2" width="10.140625" customWidth="1"/>
    <col min="3" max="4" width="11.28515625" bestFit="1" customWidth="1"/>
    <col min="5" max="5" width="13.5703125" customWidth="1"/>
    <col min="7" max="7" width="10.28515625" bestFit="1" customWidth="1"/>
    <col min="15" max="15" width="10.28515625" bestFit="1" customWidth="1"/>
    <col min="20" max="20" width="11.28515625" bestFit="1" customWidth="1"/>
    <col min="21" max="21" width="12.28515625" bestFit="1" customWidth="1"/>
  </cols>
  <sheetData>
    <row r="1" spans="1:21" ht="20.25" x14ac:dyDescent="0.3">
      <c r="A1" s="21" t="s">
        <v>141</v>
      </c>
    </row>
    <row r="3" spans="1:21" x14ac:dyDescent="0.2">
      <c r="A3" t="s">
        <v>142</v>
      </c>
    </row>
    <row r="4" spans="1:21" x14ac:dyDescent="0.2">
      <c r="A4" t="s">
        <v>143</v>
      </c>
    </row>
    <row r="5" spans="1:21" x14ac:dyDescent="0.2">
      <c r="A5" t="s">
        <v>144</v>
      </c>
    </row>
    <row r="6" spans="1:21" x14ac:dyDescent="0.2">
      <c r="A6" t="s">
        <v>145</v>
      </c>
    </row>
    <row r="7" spans="1:21" x14ac:dyDescent="0.2">
      <c r="A7" s="17" t="s">
        <v>146</v>
      </c>
      <c r="F7" s="35"/>
    </row>
    <row r="8" spans="1:21" x14ac:dyDescent="0.2">
      <c r="A8" s="17" t="s">
        <v>147</v>
      </c>
    </row>
    <row r="9" spans="1:21" ht="13.5" thickBot="1" x14ac:dyDescent="0.25">
      <c r="A9" s="17">
        <v>1999</v>
      </c>
    </row>
    <row r="10" spans="1:21" x14ac:dyDescent="0.2">
      <c r="A10" s="17" t="s">
        <v>148</v>
      </c>
      <c r="B10" s="110" t="s">
        <v>151</v>
      </c>
      <c r="C10" s="111"/>
      <c r="D10" s="110" t="s">
        <v>152</v>
      </c>
      <c r="E10" s="111"/>
      <c r="F10" s="110" t="s">
        <v>155</v>
      </c>
      <c r="G10" s="111"/>
      <c r="H10" s="110" t="s">
        <v>156</v>
      </c>
      <c r="I10" s="111"/>
      <c r="J10" s="110">
        <v>2710.1660000000002</v>
      </c>
      <c r="K10" s="111"/>
      <c r="L10" s="110">
        <v>2710.1689999999999</v>
      </c>
      <c r="M10" s="111"/>
      <c r="N10" s="110" t="s">
        <v>157</v>
      </c>
      <c r="O10" s="111"/>
      <c r="P10" s="110" t="s">
        <v>158</v>
      </c>
      <c r="Q10" s="111"/>
      <c r="R10" s="110" t="s">
        <v>159</v>
      </c>
      <c r="S10" s="111"/>
      <c r="T10" s="37"/>
      <c r="U10" s="38"/>
    </row>
    <row r="11" spans="1:21" x14ac:dyDescent="0.2">
      <c r="A11" s="17" t="s">
        <v>149</v>
      </c>
      <c r="B11" s="112" t="s">
        <v>160</v>
      </c>
      <c r="C11" s="113"/>
      <c r="D11" s="112" t="s">
        <v>161</v>
      </c>
      <c r="E11" s="113"/>
      <c r="F11" s="112" t="s">
        <v>162</v>
      </c>
      <c r="G11" s="113"/>
      <c r="H11" s="112" t="s">
        <v>119</v>
      </c>
      <c r="I11" s="113"/>
      <c r="J11" s="112" t="s">
        <v>163</v>
      </c>
      <c r="K11" s="113"/>
      <c r="L11" s="112" t="s">
        <v>119</v>
      </c>
      <c r="M11" s="113"/>
      <c r="N11" s="112" t="s">
        <v>162</v>
      </c>
      <c r="O11" s="113"/>
      <c r="P11" s="112" t="s">
        <v>119</v>
      </c>
      <c r="Q11" s="113"/>
      <c r="R11" s="112" t="s">
        <v>119</v>
      </c>
      <c r="S11" s="113"/>
      <c r="T11" s="114" t="s">
        <v>164</v>
      </c>
      <c r="U11" s="115"/>
    </row>
    <row r="12" spans="1:21" ht="13.5" thickBot="1" x14ac:dyDescent="0.25">
      <c r="A12" s="23" t="s">
        <v>150</v>
      </c>
      <c r="B12" s="24" t="s">
        <v>153</v>
      </c>
      <c r="C12" s="30" t="s">
        <v>154</v>
      </c>
      <c r="D12" s="24" t="s">
        <v>153</v>
      </c>
      <c r="E12" s="31" t="s">
        <v>154</v>
      </c>
      <c r="F12" s="24" t="s">
        <v>153</v>
      </c>
      <c r="G12" s="31" t="s">
        <v>154</v>
      </c>
      <c r="H12" s="24" t="s">
        <v>153</v>
      </c>
      <c r="I12" s="31" t="s">
        <v>154</v>
      </c>
      <c r="J12" s="24" t="s">
        <v>153</v>
      </c>
      <c r="K12" s="31" t="s">
        <v>154</v>
      </c>
      <c r="L12" s="24" t="s">
        <v>153</v>
      </c>
      <c r="M12" s="31" t="s">
        <v>154</v>
      </c>
      <c r="N12" s="24" t="s">
        <v>153</v>
      </c>
      <c r="O12" s="31" t="s">
        <v>154</v>
      </c>
      <c r="P12" s="24" t="s">
        <v>153</v>
      </c>
      <c r="Q12" s="31" t="s">
        <v>154</v>
      </c>
      <c r="R12" s="24" t="s">
        <v>153</v>
      </c>
      <c r="S12" s="31" t="s">
        <v>154</v>
      </c>
      <c r="T12" s="24" t="s">
        <v>153</v>
      </c>
      <c r="U12" s="25" t="s">
        <v>154</v>
      </c>
    </row>
    <row r="13" spans="1:21" x14ac:dyDescent="0.2">
      <c r="A13" s="88" t="s">
        <v>107</v>
      </c>
      <c r="B13" s="26">
        <v>164068</v>
      </c>
      <c r="C13" s="32">
        <v>1704051</v>
      </c>
      <c r="D13" s="26">
        <v>20336227</v>
      </c>
      <c r="E13" s="32">
        <f>165134836+E26</f>
        <v>165234516</v>
      </c>
      <c r="F13" s="26">
        <v>264767</v>
      </c>
      <c r="G13" s="32">
        <v>2013039</v>
      </c>
      <c r="H13" s="26">
        <v>0</v>
      </c>
      <c r="I13" s="27">
        <v>0</v>
      </c>
      <c r="J13" s="26">
        <v>21363</v>
      </c>
      <c r="K13" s="32">
        <v>363092</v>
      </c>
      <c r="L13" s="26">
        <v>0</v>
      </c>
      <c r="M13" s="32">
        <v>0</v>
      </c>
      <c r="N13" s="26">
        <v>31305</v>
      </c>
      <c r="O13" s="32">
        <v>276375</v>
      </c>
      <c r="P13" s="26">
        <v>0</v>
      </c>
      <c r="Q13" s="32">
        <v>0</v>
      </c>
      <c r="R13" s="26">
        <v>0</v>
      </c>
      <c r="S13" s="32">
        <v>0</v>
      </c>
      <c r="T13" s="39">
        <f>B13+D13+F13+H13+J13+L13+N13+P13+R13</f>
        <v>20817730</v>
      </c>
      <c r="U13" s="40">
        <f>C13+E13+G13+I13+K13+L13+M13+O13+Q13+S13</f>
        <v>169591073</v>
      </c>
    </row>
    <row r="14" spans="1:21" x14ac:dyDescent="0.2">
      <c r="A14" s="55" t="s">
        <v>108</v>
      </c>
      <c r="B14" s="26">
        <v>77631</v>
      </c>
      <c r="C14" s="33">
        <v>721284</v>
      </c>
      <c r="D14" s="26">
        <v>20699656</v>
      </c>
      <c r="E14" s="33">
        <f>170194907+E27</f>
        <v>170281672</v>
      </c>
      <c r="F14" s="26">
        <v>142506</v>
      </c>
      <c r="G14" s="33">
        <v>1117372</v>
      </c>
      <c r="H14" s="26">
        <v>0</v>
      </c>
      <c r="I14" s="27">
        <v>0</v>
      </c>
      <c r="J14" s="26">
        <v>17175</v>
      </c>
      <c r="K14" s="33">
        <v>302147</v>
      </c>
      <c r="L14" s="26">
        <v>0</v>
      </c>
      <c r="M14" s="33">
        <v>0</v>
      </c>
      <c r="N14" s="26">
        <v>18416</v>
      </c>
      <c r="O14" s="33">
        <v>165048</v>
      </c>
      <c r="P14" s="26">
        <v>0</v>
      </c>
      <c r="Q14" s="33">
        <v>0</v>
      </c>
      <c r="R14" s="26">
        <v>0</v>
      </c>
      <c r="S14" s="33">
        <v>0</v>
      </c>
      <c r="T14" s="39">
        <f t="shared" ref="T14:T24" si="0">B14+D14+F14+H14+J14+L14+N14+P14+R14</f>
        <v>20955384</v>
      </c>
      <c r="U14" s="40">
        <f t="shared" ref="U14:U24" si="1">C14+E14+G14+I14+K14+L14+M14+O14+Q14+S14</f>
        <v>172587523</v>
      </c>
    </row>
    <row r="15" spans="1:21" x14ac:dyDescent="0.2">
      <c r="A15" s="55" t="s">
        <v>109</v>
      </c>
      <c r="B15" s="26">
        <v>78135</v>
      </c>
      <c r="C15" s="33">
        <f>720454+C27</f>
        <v>721793</v>
      </c>
      <c r="D15" s="26">
        <v>22902570</v>
      </c>
      <c r="E15" s="33">
        <f>193592072+E28</f>
        <v>194202336</v>
      </c>
      <c r="F15" s="26">
        <v>47980</v>
      </c>
      <c r="G15" s="33">
        <v>403260</v>
      </c>
      <c r="H15" s="26">
        <v>0</v>
      </c>
      <c r="I15" s="27">
        <v>0</v>
      </c>
      <c r="J15" s="26">
        <v>26161</v>
      </c>
      <c r="K15" s="33">
        <v>481325</v>
      </c>
      <c r="L15" s="26">
        <v>0</v>
      </c>
      <c r="M15" s="33">
        <v>0</v>
      </c>
      <c r="N15" s="26">
        <v>0</v>
      </c>
      <c r="O15" s="33">
        <v>0</v>
      </c>
      <c r="P15" s="26">
        <v>0</v>
      </c>
      <c r="Q15" s="33">
        <v>0</v>
      </c>
      <c r="R15" s="26">
        <v>0</v>
      </c>
      <c r="S15" s="33">
        <v>0</v>
      </c>
      <c r="T15" s="39">
        <f t="shared" si="0"/>
        <v>23054846</v>
      </c>
      <c r="U15" s="40">
        <f t="shared" si="1"/>
        <v>195808714</v>
      </c>
    </row>
    <row r="16" spans="1:21" x14ac:dyDescent="0.2">
      <c r="A16" s="55" t="s">
        <v>110</v>
      </c>
      <c r="B16" s="26">
        <v>104566</v>
      </c>
      <c r="C16" s="33">
        <v>1119463</v>
      </c>
      <c r="D16" s="26">
        <v>23261186</v>
      </c>
      <c r="E16" s="33">
        <f>226679800+E29</f>
        <v>227416508</v>
      </c>
      <c r="F16" s="26">
        <v>366150</v>
      </c>
      <c r="G16" s="33">
        <v>3045118</v>
      </c>
      <c r="H16" s="26">
        <v>0</v>
      </c>
      <c r="I16" s="27">
        <v>0</v>
      </c>
      <c r="J16" s="26">
        <v>10684</v>
      </c>
      <c r="K16" s="33">
        <v>209648</v>
      </c>
      <c r="L16" s="26">
        <v>0</v>
      </c>
      <c r="M16" s="33">
        <v>0</v>
      </c>
      <c r="N16" s="26">
        <v>0</v>
      </c>
      <c r="O16" s="33">
        <v>0</v>
      </c>
      <c r="P16" s="26">
        <v>0</v>
      </c>
      <c r="Q16" s="33">
        <v>0</v>
      </c>
      <c r="R16" s="26">
        <v>0</v>
      </c>
      <c r="S16" s="33">
        <v>0</v>
      </c>
      <c r="T16" s="39">
        <f t="shared" si="0"/>
        <v>23742586</v>
      </c>
      <c r="U16" s="40">
        <f t="shared" si="1"/>
        <v>231790737</v>
      </c>
    </row>
    <row r="17" spans="1:21" x14ac:dyDescent="0.2">
      <c r="A17" s="55" t="s">
        <v>111</v>
      </c>
      <c r="B17" s="26">
        <v>129038</v>
      </c>
      <c r="C17" s="33">
        <f>1513809+C30</f>
        <v>1631591</v>
      </c>
      <c r="D17" s="26">
        <v>17052529</v>
      </c>
      <c r="E17" s="33">
        <f>200243202+E30</f>
        <v>200290008</v>
      </c>
      <c r="F17" s="26">
        <v>63445</v>
      </c>
      <c r="G17" s="33">
        <v>597494</v>
      </c>
      <c r="H17" s="26">
        <v>0</v>
      </c>
      <c r="I17" s="27">
        <v>0</v>
      </c>
      <c r="J17" s="26">
        <v>5613</v>
      </c>
      <c r="K17" s="33">
        <v>109981</v>
      </c>
      <c r="L17" s="26">
        <v>0</v>
      </c>
      <c r="M17" s="33">
        <v>0</v>
      </c>
      <c r="N17" s="26">
        <v>64020</v>
      </c>
      <c r="O17" s="33">
        <v>717395</v>
      </c>
      <c r="P17" s="26">
        <v>0</v>
      </c>
      <c r="Q17" s="33">
        <v>0</v>
      </c>
      <c r="R17" s="26">
        <v>0</v>
      </c>
      <c r="S17" s="33">
        <v>0</v>
      </c>
      <c r="T17" s="39">
        <f t="shared" si="0"/>
        <v>17314645</v>
      </c>
      <c r="U17" s="40">
        <f t="shared" si="1"/>
        <v>203346469</v>
      </c>
    </row>
    <row r="18" spans="1:21" x14ac:dyDescent="0.2">
      <c r="A18" s="55" t="s">
        <v>112</v>
      </c>
      <c r="B18" s="26">
        <v>129443</v>
      </c>
      <c r="C18" s="33">
        <v>1738300</v>
      </c>
      <c r="D18" s="26">
        <v>18797897</v>
      </c>
      <c r="E18" s="33">
        <f>234592595+E31</f>
        <v>234634263</v>
      </c>
      <c r="F18" s="26">
        <v>0</v>
      </c>
      <c r="G18" s="33">
        <v>0</v>
      </c>
      <c r="H18" s="26">
        <v>0</v>
      </c>
      <c r="I18" s="27">
        <v>0</v>
      </c>
      <c r="J18" s="26">
        <v>15265</v>
      </c>
      <c r="K18" s="33">
        <v>297515</v>
      </c>
      <c r="L18" s="26">
        <v>0</v>
      </c>
      <c r="M18" s="33">
        <v>0</v>
      </c>
      <c r="N18" s="26">
        <v>114076</v>
      </c>
      <c r="O18" s="33">
        <v>1330404</v>
      </c>
      <c r="P18" s="26">
        <v>0</v>
      </c>
      <c r="Q18" s="33">
        <v>0</v>
      </c>
      <c r="R18" s="26">
        <v>0</v>
      </c>
      <c r="S18" s="33">
        <v>0</v>
      </c>
      <c r="T18" s="39">
        <f t="shared" si="0"/>
        <v>19056681</v>
      </c>
      <c r="U18" s="40">
        <f t="shared" si="1"/>
        <v>238000482</v>
      </c>
    </row>
    <row r="19" spans="1:21" x14ac:dyDescent="0.2">
      <c r="A19" s="55" t="s">
        <v>113</v>
      </c>
      <c r="B19" s="26">
        <v>40120</v>
      </c>
      <c r="C19" s="33">
        <v>544191</v>
      </c>
      <c r="D19" s="26">
        <v>18013617</v>
      </c>
      <c r="E19" s="33">
        <f>229493277+E32</f>
        <v>229625110</v>
      </c>
      <c r="F19" s="26">
        <v>0</v>
      </c>
      <c r="G19" s="33">
        <v>0</v>
      </c>
      <c r="H19" s="26">
        <v>0</v>
      </c>
      <c r="I19" s="27">
        <v>0</v>
      </c>
      <c r="J19" s="26">
        <v>12402</v>
      </c>
      <c r="K19" s="33">
        <v>247461</v>
      </c>
      <c r="L19" s="26">
        <v>0</v>
      </c>
      <c r="M19" s="33">
        <v>0</v>
      </c>
      <c r="N19" s="26">
        <v>42227</v>
      </c>
      <c r="O19" s="33">
        <v>526502</v>
      </c>
      <c r="P19" s="26">
        <v>0</v>
      </c>
      <c r="Q19" s="33">
        <v>0</v>
      </c>
      <c r="R19" s="26">
        <v>0</v>
      </c>
      <c r="S19" s="33">
        <v>0</v>
      </c>
      <c r="T19" s="39">
        <f t="shared" si="0"/>
        <v>18108366</v>
      </c>
      <c r="U19" s="40">
        <f t="shared" si="1"/>
        <v>230943264</v>
      </c>
    </row>
    <row r="20" spans="1:21" x14ac:dyDescent="0.2">
      <c r="A20" s="55" t="s">
        <v>114</v>
      </c>
      <c r="B20" s="26">
        <v>211094</v>
      </c>
      <c r="C20" s="33">
        <v>2909235</v>
      </c>
      <c r="D20" s="26">
        <f>22255748+D33</f>
        <v>22275525</v>
      </c>
      <c r="E20" s="33">
        <f>300342757+E33</f>
        <v>301043890</v>
      </c>
      <c r="F20" s="26">
        <v>0</v>
      </c>
      <c r="G20" s="33">
        <v>0</v>
      </c>
      <c r="H20" s="26">
        <v>0</v>
      </c>
      <c r="I20" s="27">
        <v>0</v>
      </c>
      <c r="J20" s="26">
        <v>11209</v>
      </c>
      <c r="K20" s="33">
        <v>224194</v>
      </c>
      <c r="L20" s="26">
        <v>0</v>
      </c>
      <c r="M20" s="33">
        <v>0</v>
      </c>
      <c r="N20" s="26">
        <v>86464</v>
      </c>
      <c r="O20" s="33">
        <v>1125219</v>
      </c>
      <c r="P20" s="26">
        <v>0</v>
      </c>
      <c r="Q20" s="33">
        <v>0</v>
      </c>
      <c r="R20" s="26">
        <v>0</v>
      </c>
      <c r="S20" s="33">
        <v>0</v>
      </c>
      <c r="T20" s="39">
        <f t="shared" si="0"/>
        <v>22584292</v>
      </c>
      <c r="U20" s="40">
        <f t="shared" si="1"/>
        <v>305302538</v>
      </c>
    </row>
    <row r="21" spans="1:21" x14ac:dyDescent="0.2">
      <c r="A21" s="55" t="s">
        <v>115</v>
      </c>
      <c r="B21" s="26">
        <v>141119</v>
      </c>
      <c r="C21" s="33">
        <v>2179227</v>
      </c>
      <c r="D21" s="26">
        <v>19119976</v>
      </c>
      <c r="E21" s="33">
        <f>267787089+E34</f>
        <v>268121079</v>
      </c>
      <c r="F21" s="26">
        <v>139950</v>
      </c>
      <c r="G21" s="33">
        <v>1842272</v>
      </c>
      <c r="H21" s="26">
        <v>0</v>
      </c>
      <c r="I21" s="27">
        <v>0</v>
      </c>
      <c r="J21" s="26">
        <v>1074</v>
      </c>
      <c r="K21" s="33">
        <v>23642</v>
      </c>
      <c r="L21" s="26">
        <v>0</v>
      </c>
      <c r="M21" s="33">
        <v>0</v>
      </c>
      <c r="N21" s="26">
        <v>12734</v>
      </c>
      <c r="O21" s="33">
        <v>184158</v>
      </c>
      <c r="P21" s="26">
        <v>0</v>
      </c>
      <c r="Q21" s="33">
        <v>0</v>
      </c>
      <c r="R21" s="26">
        <v>0</v>
      </c>
      <c r="S21" s="33">
        <v>0</v>
      </c>
      <c r="T21" s="39">
        <f t="shared" si="0"/>
        <v>19414853</v>
      </c>
      <c r="U21" s="40">
        <f t="shared" si="1"/>
        <v>272350378</v>
      </c>
    </row>
    <row r="22" spans="1:21" x14ac:dyDescent="0.2">
      <c r="A22" s="55" t="s">
        <v>116</v>
      </c>
      <c r="B22" s="26">
        <v>93406</v>
      </c>
      <c r="C22" s="33">
        <v>1611209</v>
      </c>
      <c r="D22" s="26">
        <v>19325849</v>
      </c>
      <c r="E22" s="33">
        <f>291237020+E35</f>
        <v>291658781</v>
      </c>
      <c r="F22" s="26">
        <v>71175</v>
      </c>
      <c r="G22" s="33">
        <v>961554</v>
      </c>
      <c r="H22" s="26">
        <v>0</v>
      </c>
      <c r="I22" s="27">
        <v>0</v>
      </c>
      <c r="J22" s="26">
        <v>2153</v>
      </c>
      <c r="K22" s="33">
        <v>50795</v>
      </c>
      <c r="L22" s="26">
        <v>0</v>
      </c>
      <c r="M22" s="33">
        <v>0</v>
      </c>
      <c r="N22" s="26">
        <v>43105</v>
      </c>
      <c r="O22" s="33">
        <v>626006</v>
      </c>
      <c r="P22" s="26">
        <v>0</v>
      </c>
      <c r="Q22" s="33">
        <v>0</v>
      </c>
      <c r="R22" s="26">
        <v>0</v>
      </c>
      <c r="S22" s="33">
        <v>0</v>
      </c>
      <c r="T22" s="39">
        <f t="shared" si="0"/>
        <v>19535688</v>
      </c>
      <c r="U22" s="40">
        <f t="shared" si="1"/>
        <v>294908345</v>
      </c>
    </row>
    <row r="23" spans="1:21" x14ac:dyDescent="0.2">
      <c r="A23" s="55" t="s">
        <v>117</v>
      </c>
      <c r="B23" s="26">
        <v>112346</v>
      </c>
      <c r="C23" s="33">
        <v>1792213</v>
      </c>
      <c r="D23" s="26">
        <v>21874491</v>
      </c>
      <c r="E23" s="33">
        <f>334681643+E36</f>
        <v>334684115</v>
      </c>
      <c r="F23" s="26">
        <v>85388</v>
      </c>
      <c r="G23" s="33">
        <v>1300294</v>
      </c>
      <c r="H23" s="26">
        <v>0</v>
      </c>
      <c r="I23" s="27">
        <v>0</v>
      </c>
      <c r="J23" s="26">
        <f>2155+J36</f>
        <v>1075</v>
      </c>
      <c r="K23" s="33">
        <f>50076+K36</f>
        <v>25342</v>
      </c>
      <c r="L23" s="26">
        <f>L36</f>
        <v>1080</v>
      </c>
      <c r="M23" s="33">
        <f>M36</f>
        <v>24734</v>
      </c>
      <c r="N23" s="26">
        <v>117064</v>
      </c>
      <c r="O23" s="33">
        <v>1736646</v>
      </c>
      <c r="P23" s="26">
        <v>0</v>
      </c>
      <c r="Q23" s="33">
        <v>0</v>
      </c>
      <c r="R23" s="26">
        <v>0</v>
      </c>
      <c r="S23" s="33">
        <v>0</v>
      </c>
      <c r="T23" s="39">
        <f t="shared" si="0"/>
        <v>22191444</v>
      </c>
      <c r="U23" s="40">
        <f t="shared" si="1"/>
        <v>339564424</v>
      </c>
    </row>
    <row r="24" spans="1:21" ht="13.5" thickBot="1" x14ac:dyDescent="0.25">
      <c r="A24" s="56" t="s">
        <v>118</v>
      </c>
      <c r="B24" s="28">
        <v>76836</v>
      </c>
      <c r="C24" s="34">
        <v>1310280</v>
      </c>
      <c r="D24" s="28">
        <v>23834410</v>
      </c>
      <c r="E24" s="34">
        <f>383591280+E37</f>
        <v>383591280</v>
      </c>
      <c r="F24" s="28">
        <v>0</v>
      </c>
      <c r="G24" s="34">
        <v>0</v>
      </c>
      <c r="H24" s="28">
        <v>0</v>
      </c>
      <c r="I24" s="29">
        <v>0</v>
      </c>
      <c r="J24" s="28">
        <v>1080</v>
      </c>
      <c r="K24" s="34">
        <v>25951</v>
      </c>
      <c r="L24" s="28">
        <v>0</v>
      </c>
      <c r="M24" s="34">
        <v>0</v>
      </c>
      <c r="N24" s="28">
        <v>67275</v>
      </c>
      <c r="O24" s="34">
        <v>1020951</v>
      </c>
      <c r="P24" s="28">
        <v>0</v>
      </c>
      <c r="Q24" s="34">
        <v>0</v>
      </c>
      <c r="R24" s="28">
        <v>0</v>
      </c>
      <c r="S24" s="34">
        <v>0</v>
      </c>
      <c r="T24" s="41">
        <f t="shared" si="0"/>
        <v>23979601</v>
      </c>
      <c r="U24" s="42">
        <f t="shared" si="1"/>
        <v>385948462</v>
      </c>
    </row>
    <row r="25" spans="1:21" x14ac:dyDescent="0.2">
      <c r="A25" s="79" t="s">
        <v>207</v>
      </c>
      <c r="B25" s="17" t="s">
        <v>208</v>
      </c>
      <c r="E25" s="36"/>
      <c r="T25" s="36"/>
      <c r="U25" s="36"/>
    </row>
    <row r="26" spans="1:21" x14ac:dyDescent="0.2">
      <c r="A26" t="s">
        <v>107</v>
      </c>
      <c r="E26">
        <f>23974+9641+66065</f>
        <v>99680</v>
      </c>
    </row>
    <row r="27" spans="1:21" x14ac:dyDescent="0.2">
      <c r="A27" t="s">
        <v>108</v>
      </c>
      <c r="C27">
        <v>1339</v>
      </c>
      <c r="E27">
        <f>92310-25132+19587</f>
        <v>86765</v>
      </c>
    </row>
    <row r="28" spans="1:21" x14ac:dyDescent="0.2">
      <c r="A28" t="s">
        <v>109</v>
      </c>
      <c r="E28">
        <f>32817+67463+45723+464261</f>
        <v>610264</v>
      </c>
    </row>
    <row r="29" spans="1:21" x14ac:dyDescent="0.2">
      <c r="A29" t="s">
        <v>110</v>
      </c>
      <c r="E29">
        <f>328222+203455+205031</f>
        <v>736708</v>
      </c>
    </row>
    <row r="30" spans="1:21" x14ac:dyDescent="0.2">
      <c r="A30" t="s">
        <v>111</v>
      </c>
      <c r="C30">
        <v>117782</v>
      </c>
      <c r="E30">
        <f>34572-22995+35229</f>
        <v>46806</v>
      </c>
    </row>
    <row r="31" spans="1:21" x14ac:dyDescent="0.2">
      <c r="A31" t="s">
        <v>112</v>
      </c>
      <c r="E31">
        <f>40305+1363</f>
        <v>41668</v>
      </c>
    </row>
    <row r="32" spans="1:21" x14ac:dyDescent="0.2">
      <c r="A32" t="s">
        <v>113</v>
      </c>
      <c r="E32">
        <f>73749+58084</f>
        <v>131833</v>
      </c>
    </row>
    <row r="33" spans="1:21" x14ac:dyDescent="0.2">
      <c r="A33" t="s">
        <v>114</v>
      </c>
      <c r="D33">
        <f>19777</f>
        <v>19777</v>
      </c>
      <c r="E33">
        <f>405543+1780+49686+94190+149934</f>
        <v>701133</v>
      </c>
    </row>
    <row r="34" spans="1:21" x14ac:dyDescent="0.2">
      <c r="A34" t="s">
        <v>115</v>
      </c>
      <c r="E34">
        <f>123735+77117+17428+115710</f>
        <v>333990</v>
      </c>
    </row>
    <row r="35" spans="1:21" x14ac:dyDescent="0.2">
      <c r="A35" t="s">
        <v>116</v>
      </c>
      <c r="E35">
        <f>10528+49201+160171+191380+10481</f>
        <v>421761</v>
      </c>
    </row>
    <row r="36" spans="1:21" x14ac:dyDescent="0.2">
      <c r="A36" t="s">
        <v>117</v>
      </c>
      <c r="E36">
        <v>2472</v>
      </c>
      <c r="J36">
        <v>-1080</v>
      </c>
      <c r="K36">
        <v>-24734</v>
      </c>
      <c r="L36">
        <v>1080</v>
      </c>
      <c r="M36">
        <v>24734</v>
      </c>
    </row>
    <row r="37" spans="1:21" x14ac:dyDescent="0.2">
      <c r="A37" t="s">
        <v>118</v>
      </c>
    </row>
    <row r="39" spans="1:21" ht="13.5" thickBot="1" x14ac:dyDescent="0.25">
      <c r="A39" s="17">
        <v>2000</v>
      </c>
    </row>
    <row r="40" spans="1:21" x14ac:dyDescent="0.2">
      <c r="A40" s="17" t="s">
        <v>148</v>
      </c>
      <c r="B40" s="110" t="s">
        <v>151</v>
      </c>
      <c r="C40" s="111"/>
      <c r="D40" s="110" t="s">
        <v>152</v>
      </c>
      <c r="E40" s="111"/>
      <c r="F40" s="110" t="s">
        <v>155</v>
      </c>
      <c r="G40" s="111"/>
      <c r="H40" s="110" t="s">
        <v>156</v>
      </c>
      <c r="I40" s="111"/>
      <c r="J40" s="110">
        <v>2710.1660000000002</v>
      </c>
      <c r="K40" s="111"/>
      <c r="L40" s="110">
        <v>2710.1689999999999</v>
      </c>
      <c r="M40" s="111"/>
      <c r="N40" s="110" t="s">
        <v>157</v>
      </c>
      <c r="O40" s="111"/>
      <c r="P40" s="110" t="s">
        <v>158</v>
      </c>
      <c r="Q40" s="111"/>
      <c r="R40" s="110" t="s">
        <v>159</v>
      </c>
      <c r="S40" s="111"/>
      <c r="T40" s="37"/>
      <c r="U40" s="38"/>
    </row>
    <row r="41" spans="1:21" x14ac:dyDescent="0.2">
      <c r="A41" s="17" t="s">
        <v>149</v>
      </c>
      <c r="B41" s="112" t="s">
        <v>160</v>
      </c>
      <c r="C41" s="113"/>
      <c r="D41" s="112" t="s">
        <v>161</v>
      </c>
      <c r="E41" s="113"/>
      <c r="F41" s="112" t="s">
        <v>162</v>
      </c>
      <c r="G41" s="113"/>
      <c r="H41" s="112" t="s">
        <v>119</v>
      </c>
      <c r="I41" s="113"/>
      <c r="J41" s="112" t="s">
        <v>163</v>
      </c>
      <c r="K41" s="113"/>
      <c r="L41" s="112" t="s">
        <v>119</v>
      </c>
      <c r="M41" s="113"/>
      <c r="N41" s="112" t="s">
        <v>162</v>
      </c>
      <c r="O41" s="113"/>
      <c r="P41" s="112" t="s">
        <v>119</v>
      </c>
      <c r="Q41" s="113"/>
      <c r="R41" s="112" t="s">
        <v>119</v>
      </c>
      <c r="S41" s="113"/>
      <c r="T41" s="114" t="s">
        <v>164</v>
      </c>
      <c r="U41" s="115"/>
    </row>
    <row r="42" spans="1:21" ht="13.5" thickBot="1" x14ac:dyDescent="0.25">
      <c r="A42" s="23" t="s">
        <v>150</v>
      </c>
      <c r="B42" s="24" t="s">
        <v>153</v>
      </c>
      <c r="C42" s="30" t="s">
        <v>154</v>
      </c>
      <c r="D42" s="24" t="s">
        <v>153</v>
      </c>
      <c r="E42" s="31" t="s">
        <v>154</v>
      </c>
      <c r="F42" s="24" t="s">
        <v>153</v>
      </c>
      <c r="G42" s="31" t="s">
        <v>154</v>
      </c>
      <c r="H42" s="24" t="s">
        <v>153</v>
      </c>
      <c r="I42" s="31" t="s">
        <v>154</v>
      </c>
      <c r="J42" s="24" t="s">
        <v>153</v>
      </c>
      <c r="K42" s="31" t="s">
        <v>154</v>
      </c>
      <c r="L42" s="24" t="s">
        <v>153</v>
      </c>
      <c r="M42" s="31" t="s">
        <v>154</v>
      </c>
      <c r="N42" s="24" t="s">
        <v>153</v>
      </c>
      <c r="O42" s="31" t="s">
        <v>154</v>
      </c>
      <c r="P42" s="24" t="s">
        <v>153</v>
      </c>
      <c r="Q42" s="31" t="s">
        <v>154</v>
      </c>
      <c r="R42" s="24" t="s">
        <v>153</v>
      </c>
      <c r="S42" s="31" t="s">
        <v>154</v>
      </c>
      <c r="T42" s="24" t="s">
        <v>153</v>
      </c>
      <c r="U42" s="25" t="s">
        <v>154</v>
      </c>
    </row>
    <row r="43" spans="1:21" x14ac:dyDescent="0.2">
      <c r="A43" s="88" t="s">
        <v>107</v>
      </c>
      <c r="B43" s="26">
        <v>68428</v>
      </c>
      <c r="C43" s="32">
        <v>1121601</v>
      </c>
      <c r="D43" s="26">
        <v>20261486</v>
      </c>
      <c r="E43" s="32">
        <v>339685107</v>
      </c>
      <c r="F43" s="26">
        <v>30782</v>
      </c>
      <c r="G43" s="32">
        <v>508678</v>
      </c>
      <c r="H43" s="26">
        <v>0</v>
      </c>
      <c r="I43" s="27">
        <v>0</v>
      </c>
      <c r="J43" s="26">
        <v>2153</v>
      </c>
      <c r="K43" s="32">
        <v>52344</v>
      </c>
      <c r="L43" s="26">
        <v>0</v>
      </c>
      <c r="M43" s="32">
        <v>0</v>
      </c>
      <c r="N43" s="26">
        <v>17101</v>
      </c>
      <c r="O43" s="32">
        <v>272699</v>
      </c>
      <c r="P43" s="26">
        <v>0</v>
      </c>
      <c r="Q43" s="32">
        <v>0</v>
      </c>
      <c r="R43" s="26">
        <v>0</v>
      </c>
      <c r="S43" s="32">
        <v>0</v>
      </c>
      <c r="T43" s="95">
        <f>B43+D43+F43+H43+J43+L43+N43+P43+R43</f>
        <v>20379950</v>
      </c>
      <c r="U43" s="96">
        <f>C43+E43+G43+I43+K43+M43+O43+S43</f>
        <v>341640429</v>
      </c>
    </row>
    <row r="44" spans="1:21" x14ac:dyDescent="0.2">
      <c r="A44" s="55" t="s">
        <v>108</v>
      </c>
      <c r="B44" s="26">
        <v>170806</v>
      </c>
      <c r="C44" s="33">
        <v>3038473</v>
      </c>
      <c r="D44" s="26">
        <v>20177624</v>
      </c>
      <c r="E44" s="33">
        <v>352066940</v>
      </c>
      <c r="F44" s="26">
        <v>0</v>
      </c>
      <c r="G44" s="33">
        <v>0</v>
      </c>
      <c r="H44" s="26">
        <v>0</v>
      </c>
      <c r="I44" s="27">
        <v>0</v>
      </c>
      <c r="J44" s="26">
        <v>1077</v>
      </c>
      <c r="K44" s="33">
        <v>29985</v>
      </c>
      <c r="L44" s="26">
        <v>0</v>
      </c>
      <c r="M44" s="33">
        <v>0</v>
      </c>
      <c r="N44" s="26">
        <v>95517</v>
      </c>
      <c r="O44" s="33">
        <v>1461926</v>
      </c>
      <c r="P44" s="26">
        <v>0</v>
      </c>
      <c r="Q44" s="33">
        <v>0</v>
      </c>
      <c r="R44" s="26">
        <v>0</v>
      </c>
      <c r="S44" s="33">
        <v>0</v>
      </c>
      <c r="T44" s="39">
        <f t="shared" ref="T44:T54" si="2">B44+D44+F44+H44+J44+L44+N44+P44+R44</f>
        <v>20445024</v>
      </c>
      <c r="U44" s="40">
        <f t="shared" ref="U44:U54" si="3">C44+E44+G44+I44+K44+M44+O44+S44</f>
        <v>356597324</v>
      </c>
    </row>
    <row r="45" spans="1:21" x14ac:dyDescent="0.2">
      <c r="A45" s="55" t="s">
        <v>109</v>
      </c>
      <c r="B45" s="26">
        <v>40867</v>
      </c>
      <c r="C45" s="33">
        <v>770172</v>
      </c>
      <c r="D45" s="26">
        <v>24194372</v>
      </c>
      <c r="E45" s="33">
        <v>442005735</v>
      </c>
      <c r="F45" s="26">
        <v>0</v>
      </c>
      <c r="G45" s="33">
        <v>0</v>
      </c>
      <c r="H45" s="26">
        <v>0</v>
      </c>
      <c r="I45" s="27">
        <v>0</v>
      </c>
      <c r="J45" s="26">
        <v>1076</v>
      </c>
      <c r="K45" s="33">
        <v>32296</v>
      </c>
      <c r="L45" s="26">
        <v>0</v>
      </c>
      <c r="M45" s="33">
        <v>0</v>
      </c>
      <c r="N45" s="26">
        <v>19974</v>
      </c>
      <c r="O45" s="33">
        <v>373411</v>
      </c>
      <c r="P45" s="26">
        <v>0</v>
      </c>
      <c r="Q45" s="33">
        <v>0</v>
      </c>
      <c r="R45" s="26">
        <v>0</v>
      </c>
      <c r="S45" s="33">
        <v>0</v>
      </c>
      <c r="T45" s="39">
        <f t="shared" si="2"/>
        <v>24256289</v>
      </c>
      <c r="U45" s="40">
        <f t="shared" si="3"/>
        <v>443181614</v>
      </c>
    </row>
    <row r="46" spans="1:21" x14ac:dyDescent="0.2">
      <c r="A46" s="55" t="s">
        <v>110</v>
      </c>
      <c r="B46" s="26">
        <v>74057</v>
      </c>
      <c r="C46" s="33">
        <v>1539715</v>
      </c>
      <c r="D46" s="26">
        <v>21309798</v>
      </c>
      <c r="E46" s="33">
        <v>386890937</v>
      </c>
      <c r="F46" s="26">
        <v>0</v>
      </c>
      <c r="G46" s="33">
        <v>0</v>
      </c>
      <c r="H46" s="26">
        <v>0</v>
      </c>
      <c r="I46" s="27">
        <v>0</v>
      </c>
      <c r="J46" s="26">
        <v>0</v>
      </c>
      <c r="K46" s="33">
        <v>0</v>
      </c>
      <c r="L46" s="26">
        <v>0</v>
      </c>
      <c r="M46" s="33">
        <v>0</v>
      </c>
      <c r="N46" s="26">
        <v>132819</v>
      </c>
      <c r="O46" s="33">
        <v>2263933</v>
      </c>
      <c r="P46" s="26">
        <v>0</v>
      </c>
      <c r="Q46" s="33">
        <v>0</v>
      </c>
      <c r="R46" s="26">
        <v>0</v>
      </c>
      <c r="S46" s="33">
        <v>0</v>
      </c>
      <c r="T46" s="39">
        <f t="shared" si="2"/>
        <v>21516674</v>
      </c>
      <c r="U46" s="40">
        <f t="shared" si="3"/>
        <v>390694585</v>
      </c>
    </row>
    <row r="47" spans="1:21" x14ac:dyDescent="0.2">
      <c r="A47" s="55" t="s">
        <v>111</v>
      </c>
      <c r="B47" s="26">
        <v>93002</v>
      </c>
      <c r="C47" s="33">
        <v>1723922</v>
      </c>
      <c r="D47" s="26">
        <v>18448345</v>
      </c>
      <c r="E47" s="33">
        <v>312672838</v>
      </c>
      <c r="F47" s="26">
        <v>0</v>
      </c>
      <c r="G47" s="33">
        <v>0</v>
      </c>
      <c r="H47" s="26">
        <v>0</v>
      </c>
      <c r="I47" s="27">
        <v>0</v>
      </c>
      <c r="J47" s="26">
        <v>0</v>
      </c>
      <c r="K47" s="33">
        <v>0</v>
      </c>
      <c r="L47" s="26">
        <v>0</v>
      </c>
      <c r="M47" s="33">
        <v>0</v>
      </c>
      <c r="N47" s="26">
        <v>102114</v>
      </c>
      <c r="O47" s="33">
        <v>1871772</v>
      </c>
      <c r="P47" s="26">
        <v>0</v>
      </c>
      <c r="Q47" s="33">
        <v>0</v>
      </c>
      <c r="R47" s="26">
        <v>0</v>
      </c>
      <c r="S47" s="33">
        <v>0</v>
      </c>
      <c r="T47" s="39">
        <f t="shared" si="2"/>
        <v>18643461</v>
      </c>
      <c r="U47" s="40">
        <f t="shared" si="3"/>
        <v>316268532</v>
      </c>
    </row>
    <row r="48" spans="1:21" x14ac:dyDescent="0.2">
      <c r="A48" s="55" t="s">
        <v>112</v>
      </c>
      <c r="B48" s="26">
        <v>139214</v>
      </c>
      <c r="C48" s="33">
        <v>2709202</v>
      </c>
      <c r="D48" s="26">
        <v>18855060</v>
      </c>
      <c r="E48" s="33">
        <v>347867317</v>
      </c>
      <c r="F48" s="26">
        <v>0</v>
      </c>
      <c r="G48" s="33">
        <v>0</v>
      </c>
      <c r="H48" s="26">
        <v>0</v>
      </c>
      <c r="I48" s="27">
        <v>0</v>
      </c>
      <c r="J48" s="26">
        <v>0</v>
      </c>
      <c r="K48" s="33">
        <v>0</v>
      </c>
      <c r="L48" s="26">
        <v>0</v>
      </c>
      <c r="M48" s="33">
        <v>0</v>
      </c>
      <c r="N48" s="26">
        <v>31678</v>
      </c>
      <c r="O48" s="33">
        <v>655796</v>
      </c>
      <c r="P48" s="26">
        <v>0</v>
      </c>
      <c r="Q48" s="33">
        <v>0</v>
      </c>
      <c r="R48" s="26">
        <v>0</v>
      </c>
      <c r="S48" s="33">
        <v>0</v>
      </c>
      <c r="T48" s="39">
        <f t="shared" si="2"/>
        <v>19025952</v>
      </c>
      <c r="U48" s="40">
        <f t="shared" si="3"/>
        <v>351232315</v>
      </c>
    </row>
    <row r="49" spans="1:21" x14ac:dyDescent="0.2">
      <c r="A49" s="55" t="s">
        <v>113</v>
      </c>
      <c r="B49" s="26"/>
      <c r="C49" s="33"/>
      <c r="D49" s="26"/>
      <c r="E49" s="33"/>
      <c r="F49" s="26"/>
      <c r="G49" s="33"/>
      <c r="H49" s="26"/>
      <c r="I49" s="27"/>
      <c r="J49" s="26"/>
      <c r="K49" s="33"/>
      <c r="L49" s="26"/>
      <c r="M49" s="33"/>
      <c r="N49" s="26"/>
      <c r="O49" s="33"/>
      <c r="P49" s="26"/>
      <c r="Q49" s="33"/>
      <c r="R49" s="26"/>
      <c r="S49" s="33"/>
      <c r="T49" s="39">
        <f t="shared" si="2"/>
        <v>0</v>
      </c>
      <c r="U49" s="40">
        <f t="shared" si="3"/>
        <v>0</v>
      </c>
    </row>
    <row r="50" spans="1:21" x14ac:dyDescent="0.2">
      <c r="A50" s="55" t="s">
        <v>114</v>
      </c>
      <c r="B50" s="26"/>
      <c r="C50" s="33"/>
      <c r="D50" s="26"/>
      <c r="E50" s="33"/>
      <c r="F50" s="26"/>
      <c r="G50" s="33"/>
      <c r="H50" s="26"/>
      <c r="I50" s="27"/>
      <c r="J50" s="26"/>
      <c r="K50" s="33"/>
      <c r="L50" s="26"/>
      <c r="M50" s="33"/>
      <c r="N50" s="26"/>
      <c r="O50" s="33"/>
      <c r="P50" s="26"/>
      <c r="Q50" s="33"/>
      <c r="R50" s="26"/>
      <c r="S50" s="33"/>
      <c r="T50" s="39">
        <f t="shared" si="2"/>
        <v>0</v>
      </c>
      <c r="U50" s="40">
        <f t="shared" si="3"/>
        <v>0</v>
      </c>
    </row>
    <row r="51" spans="1:21" x14ac:dyDescent="0.2">
      <c r="A51" s="55" t="s">
        <v>115</v>
      </c>
      <c r="B51" s="26"/>
      <c r="C51" s="33"/>
      <c r="D51" s="26"/>
      <c r="E51" s="33"/>
      <c r="F51" s="26"/>
      <c r="G51" s="33"/>
      <c r="H51" s="26"/>
      <c r="I51" s="27"/>
      <c r="J51" s="26"/>
      <c r="K51" s="33"/>
      <c r="L51" s="26"/>
      <c r="M51" s="33"/>
      <c r="N51" s="26"/>
      <c r="O51" s="33"/>
      <c r="P51" s="26"/>
      <c r="Q51" s="33"/>
      <c r="R51" s="26"/>
      <c r="S51" s="33"/>
      <c r="T51" s="39">
        <f t="shared" si="2"/>
        <v>0</v>
      </c>
      <c r="U51" s="40">
        <f t="shared" si="3"/>
        <v>0</v>
      </c>
    </row>
    <row r="52" spans="1:21" x14ac:dyDescent="0.2">
      <c r="A52" s="55" t="s">
        <v>116</v>
      </c>
      <c r="B52" s="26"/>
      <c r="C52" s="33"/>
      <c r="D52" s="26"/>
      <c r="E52" s="33"/>
      <c r="F52" s="26"/>
      <c r="G52" s="33"/>
      <c r="H52" s="26"/>
      <c r="I52" s="27"/>
      <c r="J52" s="26"/>
      <c r="K52" s="33"/>
      <c r="L52" s="26"/>
      <c r="M52" s="33"/>
      <c r="N52" s="26"/>
      <c r="O52" s="33"/>
      <c r="P52" s="26"/>
      <c r="Q52" s="33"/>
      <c r="R52" s="26"/>
      <c r="S52" s="33"/>
      <c r="T52" s="39">
        <f t="shared" si="2"/>
        <v>0</v>
      </c>
      <c r="U52" s="40">
        <f t="shared" si="3"/>
        <v>0</v>
      </c>
    </row>
    <row r="53" spans="1:21" x14ac:dyDescent="0.2">
      <c r="A53" s="55" t="s">
        <v>117</v>
      </c>
      <c r="B53" s="26"/>
      <c r="C53" s="33"/>
      <c r="D53" s="26"/>
      <c r="E53" s="33"/>
      <c r="F53" s="26"/>
      <c r="G53" s="33"/>
      <c r="H53" s="26"/>
      <c r="I53" s="27"/>
      <c r="J53" s="26"/>
      <c r="K53" s="33"/>
      <c r="L53" s="26"/>
      <c r="M53" s="33"/>
      <c r="N53" s="26"/>
      <c r="O53" s="33"/>
      <c r="P53" s="26"/>
      <c r="Q53" s="33"/>
      <c r="R53" s="26"/>
      <c r="S53" s="33"/>
      <c r="T53" s="39">
        <f t="shared" si="2"/>
        <v>0</v>
      </c>
      <c r="U53" s="40">
        <f t="shared" si="3"/>
        <v>0</v>
      </c>
    </row>
    <row r="54" spans="1:21" ht="13.5" thickBot="1" x14ac:dyDescent="0.25">
      <c r="A54" s="56" t="s">
        <v>118</v>
      </c>
      <c r="B54" s="28"/>
      <c r="C54" s="34"/>
      <c r="D54" s="28"/>
      <c r="E54" s="34"/>
      <c r="F54" s="28"/>
      <c r="G54" s="34"/>
      <c r="H54" s="28"/>
      <c r="I54" s="29"/>
      <c r="J54" s="28"/>
      <c r="K54" s="34"/>
      <c r="L54" s="28"/>
      <c r="M54" s="34"/>
      <c r="N54" s="28"/>
      <c r="O54" s="34"/>
      <c r="P54" s="28"/>
      <c r="Q54" s="34"/>
      <c r="R54" s="28"/>
      <c r="S54" s="34"/>
      <c r="T54" s="41">
        <f t="shared" si="2"/>
        <v>0</v>
      </c>
      <c r="U54" s="42">
        <f t="shared" si="3"/>
        <v>0</v>
      </c>
    </row>
  </sheetData>
  <mergeCells count="38">
    <mergeCell ref="T41:U41"/>
    <mergeCell ref="R40:S40"/>
    <mergeCell ref="B41:C41"/>
    <mergeCell ref="D41:E41"/>
    <mergeCell ref="F41:G41"/>
    <mergeCell ref="H41:I41"/>
    <mergeCell ref="J41:K41"/>
    <mergeCell ref="L41:M41"/>
    <mergeCell ref="N41:O41"/>
    <mergeCell ref="P41:Q41"/>
    <mergeCell ref="B40:C40"/>
    <mergeCell ref="D40:E40"/>
    <mergeCell ref="F40:G40"/>
    <mergeCell ref="H40:I40"/>
    <mergeCell ref="R41:S41"/>
    <mergeCell ref="J40:K40"/>
    <mergeCell ref="L40:M40"/>
    <mergeCell ref="N40:O40"/>
    <mergeCell ref="P40:Q40"/>
    <mergeCell ref="T11:U11"/>
    <mergeCell ref="J10:K10"/>
    <mergeCell ref="H10:I10"/>
    <mergeCell ref="F10:G10"/>
    <mergeCell ref="R11:S11"/>
    <mergeCell ref="P11:Q11"/>
    <mergeCell ref="N11:O11"/>
    <mergeCell ref="L11:M11"/>
    <mergeCell ref="J11:K11"/>
    <mergeCell ref="H11:I11"/>
    <mergeCell ref="B10:C10"/>
    <mergeCell ref="D10:E10"/>
    <mergeCell ref="D11:E11"/>
    <mergeCell ref="B11:C11"/>
    <mergeCell ref="F11:G11"/>
    <mergeCell ref="R10:S10"/>
    <mergeCell ref="P10:Q10"/>
    <mergeCell ref="N10:O10"/>
    <mergeCell ref="L10:M10"/>
  </mergeCells>
  <pageMargins left="0.75" right="0.75" top="1" bottom="1" header="0.5" footer="0.5"/>
  <pageSetup scale="57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7</vt:i4>
      </vt:variant>
    </vt:vector>
  </HeadingPairs>
  <TitlesOfParts>
    <vt:vector size="13" baseType="lpstr">
      <vt:lpstr>JCC Calculation</vt:lpstr>
      <vt:lpstr>Equations and Inputs</vt:lpstr>
      <vt:lpstr>Yen-$ Rates</vt:lpstr>
      <vt:lpstr>X1, X2, X3 Calculation</vt:lpstr>
      <vt:lpstr>Y Calculation</vt:lpstr>
      <vt:lpstr>Japan Import</vt:lpstr>
      <vt:lpstr>'Equations and Inputs'!Print_Area</vt:lpstr>
      <vt:lpstr>'Japan Import'!Print_Area</vt:lpstr>
      <vt:lpstr>'JCC Calculation'!Print_Area</vt:lpstr>
      <vt:lpstr>'X1, X2, X3 Calculation'!Print_Area</vt:lpstr>
      <vt:lpstr>'Y Calculation'!Print_Area</vt:lpstr>
      <vt:lpstr>'Yen-$ Rates'!Print_Area</vt:lpstr>
      <vt:lpstr>'Yen-$ Rates'!Print_Titles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Jan Havlíček</cp:lastModifiedBy>
  <cp:lastPrinted>2000-08-29T20:55:14Z</cp:lastPrinted>
  <dcterms:created xsi:type="dcterms:W3CDTF">1999-10-13T20:26:10Z</dcterms:created>
  <dcterms:modified xsi:type="dcterms:W3CDTF">2023-09-13T16:27:08Z</dcterms:modified>
</cp:coreProperties>
</file>