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980A62-7FFC-45F1-A81C-AB7B3E266031}" xr6:coauthVersionLast="47" xr6:coauthVersionMax="47" xr10:uidLastSave="{00000000-0000-0000-0000-000000000000}"/>
  <bookViews>
    <workbookView xWindow="-120" yWindow="-120" windowWidth="38640" windowHeight="1572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<sst xmlns="http://schemas.openxmlformats.org/spreadsheetml/2006/main" count="373" uniqueCount="159">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</sst>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7910C551-496F-E58A-5E5D-67743EA55695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36888</v>
      </c>
      <c r="D5" s="82" t="s">
        <v>148</v>
      </c>
      <c r="E5" s="83">
        <f>+C5-1</f>
        <v>36887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-211332699</v>
      </c>
      <c r="D12" s="59">
        <v>0</v>
      </c>
      <c r="E12" s="59">
        <f>+C12-D12</f>
        <v>-211332699</v>
      </c>
      <c r="F12" s="70"/>
    </row>
    <row r="13" spans="1:6" x14ac:dyDescent="0.2">
      <c r="A13" s="68"/>
      <c r="B13" s="69" t="s">
        <v>155</v>
      </c>
      <c r="C13" s="86">
        <f>+C15-C12</f>
        <v>7890832.8000000119</v>
      </c>
      <c r="D13" s="86">
        <f>+D15-D12</f>
        <v>0</v>
      </c>
      <c r="E13" s="86">
        <f>+E15-E12</f>
        <v>7890832.8000000119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-203441866.19999999</v>
      </c>
      <c r="D15" s="87">
        <v>0</v>
      </c>
      <c r="E15" s="87">
        <f>+C15-D15</f>
        <v>-203441866.19999999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13847811.681471139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87522178.572826669</v>
      </c>
      <c r="E4" s="28">
        <f>'Hawaii Summary'!H6</f>
        <v>3954146</v>
      </c>
      <c r="F4" s="45">
        <f>'Hawaii Summary'!I6</f>
        <v>0.15</v>
      </c>
      <c r="G4" s="27">
        <f>'Hawaii Summary'!J6</f>
        <v>90</v>
      </c>
      <c r="H4" s="41">
        <f>'Hawaii Summary'!K6</f>
        <v>4001925.2641666667</v>
      </c>
      <c r="I4" s="41"/>
    </row>
    <row r="6" spans="1:9" x14ac:dyDescent="0.2">
      <c r="A6" t="s">
        <v>75</v>
      </c>
      <c r="B6" s="48">
        <f>'Hawaii Summary'!B11</f>
        <v>9.4380000000000006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79828491.600000009</v>
      </c>
      <c r="C10" s="28">
        <f>B4*B7*'Notional Analysis'!C8</f>
        <v>177622200</v>
      </c>
      <c r="E10" t="s">
        <v>122</v>
      </c>
      <c r="G10" s="20">
        <f>B4*B6*'Notional Analysis'!C8</f>
        <v>79828491.600000009</v>
      </c>
    </row>
    <row r="11" spans="1:9" x14ac:dyDescent="0.2">
      <c r="A11" t="s">
        <v>108</v>
      </c>
      <c r="B11" s="20">
        <f>D4+H4</f>
        <v>91524103.836993337</v>
      </c>
      <c r="C11" s="28">
        <f>B11</f>
        <v>91524103.836993337</v>
      </c>
      <c r="E11" t="s">
        <v>123</v>
      </c>
      <c r="G11" s="54">
        <f>D4+H4</f>
        <v>91524103.836993337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-11695612.236993328</v>
      </c>
    </row>
    <row r="13" spans="1:9" x14ac:dyDescent="0.2">
      <c r="C13" s="28"/>
      <c r="E13" t="s">
        <v>75</v>
      </c>
      <c r="F13" s="20">
        <f>B4*B6*'Notional Analysis'!C8</f>
        <v>79828491.600000009</v>
      </c>
    </row>
    <row r="14" spans="1:9" x14ac:dyDescent="0.2">
      <c r="A14" t="s">
        <v>109</v>
      </c>
      <c r="B14" s="20">
        <f>D4</f>
        <v>87522178.572826669</v>
      </c>
      <c r="C14" s="28">
        <f>B14</f>
        <v>87522178.572826669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79828491.600000009</v>
      </c>
      <c r="C15" s="59">
        <f>C10-E4+C12</f>
        <v>173668054</v>
      </c>
      <c r="F15" s="20"/>
      <c r="G15" s="20">
        <f>-F14+F13</f>
        <v>-97793708.399999991</v>
      </c>
    </row>
    <row r="16" spans="1:9" ht="13.5" thickBot="1" x14ac:dyDescent="0.25">
      <c r="A16" t="s">
        <v>117</v>
      </c>
      <c r="B16" s="20">
        <f>B15-B14</f>
        <v>-7693686.9728266597</v>
      </c>
      <c r="C16" s="60">
        <f>C15-C14</f>
        <v>86145875.427173331</v>
      </c>
      <c r="D16" s="61" t="s">
        <v>115</v>
      </c>
      <c r="F16" s="20"/>
      <c r="G16" s="17">
        <f>G12-G15</f>
        <v>86098096.163006663</v>
      </c>
      <c r="H16" s="20">
        <f>C16-G16</f>
        <v>47779.264166668057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93839562.399999991</v>
      </c>
      <c r="C20" s="28"/>
    </row>
    <row r="21" spans="1:3" x14ac:dyDescent="0.2">
      <c r="A21" t="s">
        <v>116</v>
      </c>
      <c r="B21" s="20">
        <f>-B14+B15-B19+B20</f>
        <v>86145875.427173331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36888</v>
      </c>
      <c r="J1" s="1" t="s">
        <v>86</v>
      </c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VLOOKUP(H1,C_Debt,1)</f>
        <v>36888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0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29111495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900355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29111495</v>
      </c>
      <c r="E4" s="28">
        <f>'Hawaii Summary'!H7</f>
        <v>900355</v>
      </c>
      <c r="F4" s="45">
        <f>'Hawaii Summary'!I7</f>
        <v>0.15</v>
      </c>
      <c r="G4" s="27">
        <f>'Hawaii Summary'!J7</f>
        <v>122</v>
      </c>
      <c r="H4" s="28">
        <f>'Hawaii Summary'!K7</f>
        <v>900355</v>
      </c>
      <c r="I4" s="41"/>
    </row>
    <row r="6" spans="1:9" x14ac:dyDescent="0.2">
      <c r="A6" t="s">
        <v>75</v>
      </c>
      <c r="B6" s="48">
        <f>'Hawaii Summary'!B11</f>
        <v>9.4380000000000006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26341458</v>
      </c>
      <c r="C10" s="28">
        <f>B4*B7*'Notional Analysis'!C8</f>
        <v>58611000</v>
      </c>
      <c r="E10" t="s">
        <v>122</v>
      </c>
      <c r="G10" s="20">
        <f>B4*B6*'Notional Analysis'!C8</f>
        <v>26341458</v>
      </c>
    </row>
    <row r="11" spans="1:9" x14ac:dyDescent="0.2">
      <c r="A11" t="s">
        <v>108</v>
      </c>
      <c r="B11" s="20">
        <f>D4+H4</f>
        <v>30011850</v>
      </c>
      <c r="C11" s="28">
        <f>B11</f>
        <v>30011850</v>
      </c>
      <c r="E11" t="s">
        <v>123</v>
      </c>
      <c r="G11" s="54">
        <f>D4+H4</f>
        <v>30011850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-3670392</v>
      </c>
    </row>
    <row r="13" spans="1:9" x14ac:dyDescent="0.2">
      <c r="C13" s="28"/>
      <c r="E13" t="s">
        <v>75</v>
      </c>
      <c r="F13" s="20">
        <f>B4*B6*'Notional Analysis'!C8</f>
        <v>26341458</v>
      </c>
    </row>
    <row r="14" spans="1:9" x14ac:dyDescent="0.2">
      <c r="A14" t="s">
        <v>109</v>
      </c>
      <c r="B14" s="20">
        <f>D4</f>
        <v>29111495</v>
      </c>
      <c r="C14" s="28">
        <f>B14</f>
        <v>29111495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26341458</v>
      </c>
      <c r="C15" s="59">
        <f>C10-E4+C12</f>
        <v>57710645</v>
      </c>
      <c r="F15" s="20"/>
      <c r="G15" s="20">
        <f>-F14+F13</f>
        <v>-32269542</v>
      </c>
    </row>
    <row r="16" spans="1:9" ht="13.5" thickBot="1" x14ac:dyDescent="0.25">
      <c r="A16" t="s">
        <v>117</v>
      </c>
      <c r="B16" s="20">
        <f>B15-B14</f>
        <v>-2770037</v>
      </c>
      <c r="C16" s="60">
        <f>C15-C14</f>
        <v>28599150</v>
      </c>
      <c r="D16" s="61" t="s">
        <v>115</v>
      </c>
      <c r="F16" s="20"/>
      <c r="G16" s="17">
        <f>G12-G15</f>
        <v>28599150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31369187</v>
      </c>
      <c r="C20" s="28"/>
      <c r="F20" s="20"/>
    </row>
    <row r="21" spans="1:6" x14ac:dyDescent="0.2">
      <c r="A21" t="s">
        <v>116</v>
      </c>
      <c r="B21" s="20">
        <f>-B14+B15-B19+B20</f>
        <v>28599150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36888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9.4380000000000006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36888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227623796.40000001</v>
      </c>
      <c r="D14" t="s">
        <v>6</v>
      </c>
      <c r="E14" s="27">
        <f>'50 NP'!J3</f>
        <v>51010416.666666664</v>
      </c>
    </row>
    <row r="15" spans="1:6" x14ac:dyDescent="0.2">
      <c r="A15" s="2" t="s">
        <v>8</v>
      </c>
      <c r="B15" s="27">
        <f>'50 NR'!K3</f>
        <v>10699060.527777778</v>
      </c>
      <c r="D15" t="s">
        <v>69</v>
      </c>
      <c r="E15" s="27">
        <f>'Hawaii Summary'!C18</f>
        <v>203441866.19999999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22762.379640000003</v>
      </c>
    </row>
    <row r="17" spans="1:6" x14ac:dyDescent="0.2">
      <c r="D17" t="s">
        <v>10</v>
      </c>
      <c r="E17" s="27">
        <f>IF(E21&gt;30000000,30000000,IF(E21&lt;0,0,+E21))</f>
        <v>13847811.681471152</v>
      </c>
    </row>
    <row r="18" spans="1:6" x14ac:dyDescent="0.2">
      <c r="D18" t="s">
        <v>11</v>
      </c>
      <c r="E18" s="27">
        <f>B19-SUM(E13:E17)</f>
        <v>0</v>
      </c>
    </row>
    <row r="19" spans="1:6" ht="13.5" thickBot="1" x14ac:dyDescent="0.25">
      <c r="B19" s="13">
        <f>SUM(B13:B18)</f>
        <v>268322856.9277778</v>
      </c>
      <c r="E19" s="35">
        <f>SUM(E13:E18)</f>
        <v>268322856.9277778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E21" s="12">
        <f>+B19-E13-E14-E15-E16</f>
        <v>13847811.681471152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-278850003.59999996</v>
      </c>
    </row>
    <row r="27" spans="1:6" x14ac:dyDescent="0.2">
      <c r="A27" t="s">
        <v>71</v>
      </c>
      <c r="C27" s="27">
        <f>IF(B16&lt;&gt;0,B16,-E15)</f>
        <v>-203441866.19999999</v>
      </c>
    </row>
    <row r="28" spans="1:6" x14ac:dyDescent="0.2">
      <c r="A28" t="s">
        <v>56</v>
      </c>
      <c r="C28" s="36">
        <f>'50 NR'!K4-'258 NP'!J4-'50 NP'!J4</f>
        <v>-812356.13888888876</v>
      </c>
    </row>
    <row r="29" spans="1:6" x14ac:dyDescent="0.2">
      <c r="A29" t="s">
        <v>59</v>
      </c>
      <c r="C29" s="27">
        <f>C25+C26+C27+C28</f>
        <v>13870574.06111116</v>
      </c>
    </row>
    <row r="30" spans="1:6" x14ac:dyDescent="0.2">
      <c r="A30" t="s">
        <v>57</v>
      </c>
      <c r="C30" s="27">
        <f>E18</f>
        <v>0</v>
      </c>
    </row>
    <row r="31" spans="1:6" x14ac:dyDescent="0.2">
      <c r="A31" t="s">
        <v>61</v>
      </c>
      <c r="C31" s="27">
        <f>E17</f>
        <v>13847811.681471152</v>
      </c>
    </row>
    <row r="32" spans="1:6" x14ac:dyDescent="0.2">
      <c r="A32" t="s">
        <v>58</v>
      </c>
      <c r="C32" s="36">
        <f>E16</f>
        <v>22762.379640000003</v>
      </c>
    </row>
    <row r="33" spans="1:4" x14ac:dyDescent="0.2">
      <c r="A33" t="s">
        <v>62</v>
      </c>
      <c r="C33" s="27">
        <f>C29-C30-C31-C32</f>
        <v>7.388734957203269E-9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268322856.9277778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51010416.666666664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22762.379640000003</v>
      </c>
    </row>
    <row r="41" spans="1:4" x14ac:dyDescent="0.2">
      <c r="A41" t="s">
        <v>140</v>
      </c>
      <c r="C41" s="36">
        <f>E15-B16</f>
        <v>203441866.19999999</v>
      </c>
    </row>
    <row r="42" spans="1:4" ht="13.5" thickBot="1" x14ac:dyDescent="0.25">
      <c r="C42" s="35">
        <f>C36-SUM(C38:C41)</f>
        <v>13847811.681471139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268322856.9277778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13870574.061111152</v>
      </c>
    </row>
    <row r="48" spans="1:4" x14ac:dyDescent="0.2">
      <c r="A48" t="s">
        <v>16</v>
      </c>
      <c r="C48" s="5">
        <f>C45+C46-C47</f>
        <v>255452282.86666662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7714658.9425733322</v>
      </c>
    </row>
    <row r="51" spans="1:3" x14ac:dyDescent="0.2">
      <c r="A51" t="s">
        <v>19</v>
      </c>
      <c r="C51" s="14">
        <f>+C47</f>
        <v>13870574.061111152</v>
      </c>
    </row>
    <row r="52" spans="1:3" x14ac:dyDescent="0.2">
      <c r="A52" t="s">
        <v>20</v>
      </c>
      <c r="C52" s="12">
        <f>C51-C50</f>
        <v>6155915.1185378199</v>
      </c>
    </row>
    <row r="53" spans="1:3" x14ac:dyDescent="0.2">
      <c r="A53" s="9" t="s">
        <v>21</v>
      </c>
      <c r="B53" s="10"/>
      <c r="C53" s="11">
        <f>C52/C49</f>
        <v>203838248.95820594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-174338151.04179406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36888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198060.52777777781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97</v>
      </c>
      <c r="K3" s="17">
        <f>K1+K2</f>
        <v>10699060.527777778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198060.52777777781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36888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97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36888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1010416.6666666666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97</v>
      </c>
      <c r="J3" s="17">
        <f>J1+J2</f>
        <v>51010416.666666664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1010416.6666666666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36888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18133935.191666666</v>
      </c>
      <c r="H5" s="28">
        <v>1976250</v>
      </c>
      <c r="I5" s="45">
        <v>0.15</v>
      </c>
      <c r="J5" s="27">
        <f>B2-B5</f>
        <v>272</v>
      </c>
      <c r="K5">
        <f>'A Amort'!N5</f>
        <v>1999306.25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87522178.572826669</v>
      </c>
      <c r="H6" s="28">
        <v>3954146</v>
      </c>
      <c r="I6" s="45">
        <v>0.15</v>
      </c>
      <c r="J6" s="27">
        <f>B2-B6</f>
        <v>90</v>
      </c>
      <c r="K6" s="41">
        <f>'B_D Amort'!N5</f>
        <v>4001925.2641666667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29111495</v>
      </c>
      <c r="H7" s="28">
        <v>900355</v>
      </c>
      <c r="I7" s="45">
        <v>0.15</v>
      </c>
      <c r="J7" s="27">
        <f>B2-B7</f>
        <v>122</v>
      </c>
      <c r="K7" s="41">
        <f>'C Amort'!N5</f>
        <v>900355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134767608.76449335</v>
      </c>
      <c r="H8" s="35">
        <f>SUM(H5:H7)</f>
        <v>6830751</v>
      </c>
      <c r="K8" s="35">
        <f>SUM(K5:K7)</f>
        <v>6901586.5141666662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9.4380000000000006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78233116.799999997</v>
      </c>
    </row>
    <row r="16" spans="1:11" x14ac:dyDescent="0.2">
      <c r="A16" t="s">
        <v>79</v>
      </c>
      <c r="B16" s="28">
        <f>'B_D TRS'!B19</f>
        <v>0</v>
      </c>
      <c r="C16" s="28">
        <f>'B_D TRS'!B20</f>
        <v>93839562.399999991</v>
      </c>
    </row>
    <row r="17" spans="1:3" x14ac:dyDescent="0.2">
      <c r="A17" t="s">
        <v>80</v>
      </c>
      <c r="B17" s="28">
        <f>'C TRS'!B19</f>
        <v>0</v>
      </c>
      <c r="C17" s="28">
        <f>'C TRS'!B20</f>
        <v>31369187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203441866.19999999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36888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28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110185.19166666667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23056.25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18133935.191666666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1999306.25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18133935.191666666</v>
      </c>
      <c r="E4" s="28">
        <f>'Hawaii Summary'!H5</f>
        <v>1976250</v>
      </c>
      <c r="F4" s="45">
        <f>'Hawaii Summary'!I5</f>
        <v>0.15</v>
      </c>
      <c r="G4" s="28">
        <f>'Hawaii Summary'!J5</f>
        <v>272</v>
      </c>
      <c r="H4" s="28">
        <f>'Hawaii Summary'!K5</f>
        <v>1999306.25</v>
      </c>
      <c r="I4" s="41"/>
    </row>
    <row r="6" spans="1:9" x14ac:dyDescent="0.2">
      <c r="A6" t="s">
        <v>75</v>
      </c>
      <c r="B6" s="48">
        <f>'Hawaii Summary'!B11</f>
        <v>9.4380000000000006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63861283.200000003</v>
      </c>
      <c r="C10" s="28">
        <f>B4*B7*'Notional Analysis'!C8</f>
        <v>142094400</v>
      </c>
      <c r="E10" t="s">
        <v>122</v>
      </c>
      <c r="G10" s="20">
        <f>B4*B6*'Notional Analysis'!C8</f>
        <v>63861283.200000003</v>
      </c>
    </row>
    <row r="11" spans="1:9" x14ac:dyDescent="0.2">
      <c r="A11" t="s">
        <v>108</v>
      </c>
      <c r="B11" s="20">
        <f>D4+H4</f>
        <v>20133241.441666666</v>
      </c>
      <c r="C11" s="28">
        <f>B11</f>
        <v>20133241.441666666</v>
      </c>
      <c r="E11" t="s">
        <v>123</v>
      </c>
      <c r="G11" s="54">
        <f>D4+H4</f>
        <v>20133241.441666666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43728041.75833334</v>
      </c>
    </row>
    <row r="13" spans="1:9" x14ac:dyDescent="0.2">
      <c r="C13" s="28"/>
      <c r="E13" t="s">
        <v>75</v>
      </c>
      <c r="F13" s="20">
        <f>B4*B6*'Notional Analysis'!C8</f>
        <v>63861283.200000003</v>
      </c>
    </row>
    <row r="14" spans="1:9" x14ac:dyDescent="0.2">
      <c r="A14" t="s">
        <v>109</v>
      </c>
      <c r="B14" s="20">
        <f>D4</f>
        <v>18133935.191666666</v>
      </c>
      <c r="C14" s="28">
        <f>B14</f>
        <v>18133935.191666666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61885033.200000003</v>
      </c>
      <c r="C15" s="59">
        <f>C10-E4+C12</f>
        <v>140118150</v>
      </c>
      <c r="F15" s="20"/>
      <c r="G15" s="20">
        <f>-F14+F13</f>
        <v>-78233116.799999997</v>
      </c>
    </row>
    <row r="16" spans="1:9" ht="13.5" thickBot="1" x14ac:dyDescent="0.25">
      <c r="A16" t="s">
        <v>117</v>
      </c>
      <c r="B16" s="20">
        <f>B15-B14</f>
        <v>43751098.00833334</v>
      </c>
      <c r="C16" s="60">
        <f>C15-C14</f>
        <v>121984214.80833334</v>
      </c>
      <c r="D16" s="61" t="s">
        <v>115</v>
      </c>
      <c r="F16" s="20"/>
      <c r="G16" s="17">
        <f>G12-G15</f>
        <v>121961158.55833334</v>
      </c>
      <c r="H16" s="20">
        <f>C16-G16</f>
        <v>23056.25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78233116.799999997</v>
      </c>
      <c r="C20" s="28"/>
    </row>
    <row r="21" spans="1:3" x14ac:dyDescent="0.2">
      <c r="A21" t="s">
        <v>116</v>
      </c>
      <c r="B21" s="20">
        <f>B16-B19+B20</f>
        <v>121984214.80833334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36888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29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550674.57282666664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47779.264166666668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87522178.572826669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4001925.2641666667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2023-09-13T16:28:31Z</dcterms:modified>
</cp:coreProperties>
</file>