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7A125E-AB60-4685-97C0-9DAE7D9C27D8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6" i="6"/>
  <c r="B8" i="6"/>
  <c r="B9" i="6"/>
  <c r="D9" i="6"/>
  <c r="B12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<sst xmlns="http://schemas.openxmlformats.org/spreadsheetml/2006/main" count="1173" uniqueCount="486">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</sst>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8" xfId="0" applyNumberFormat="1" applyBorder="1" applyAlignment="1"/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3"/>
      <c r="B1" s="54"/>
      <c r="C1" s="54"/>
      <c r="D1" s="54"/>
      <c r="E1" s="54"/>
      <c r="F1" s="55"/>
    </row>
    <row r="2" spans="1:6" ht="18.75" x14ac:dyDescent="0.3">
      <c r="A2" s="56"/>
      <c r="B2" s="250" t="s">
        <v>485</v>
      </c>
      <c r="C2" s="250"/>
      <c r="D2" s="250"/>
      <c r="E2" s="250"/>
      <c r="F2" s="57"/>
    </row>
    <row r="3" spans="1:6" x14ac:dyDescent="0.25">
      <c r="A3" s="56"/>
      <c r="B3" s="58"/>
      <c r="C3" s="58"/>
      <c r="D3" s="58"/>
      <c r="E3" s="58"/>
      <c r="F3" s="57"/>
    </row>
    <row r="4" spans="1:6" x14ac:dyDescent="0.25">
      <c r="A4" s="56"/>
      <c r="B4" s="69" t="s">
        <v>0</v>
      </c>
      <c r="C4" s="58"/>
      <c r="D4" s="58"/>
      <c r="E4" s="58"/>
      <c r="F4" s="57"/>
    </row>
    <row r="5" spans="1:6" x14ac:dyDescent="0.25">
      <c r="A5" s="56"/>
      <c r="B5" s="58" t="s">
        <v>13</v>
      </c>
      <c r="C5" s="60">
        <v>36888</v>
      </c>
      <c r="D5" s="61" t="s">
        <v>16</v>
      </c>
      <c r="E5" s="62">
        <f>+C5-1</f>
        <v>36887</v>
      </c>
      <c r="F5" s="57"/>
    </row>
    <row r="6" spans="1:6" x14ac:dyDescent="0.25">
      <c r="A6" s="56"/>
      <c r="B6" s="58"/>
      <c r="C6" s="58"/>
      <c r="D6" s="58"/>
      <c r="E6" s="58"/>
      <c r="F6" s="57"/>
    </row>
    <row r="7" spans="1:6" x14ac:dyDescent="0.25">
      <c r="A7" s="56"/>
      <c r="B7" s="58"/>
      <c r="C7" s="58"/>
      <c r="D7" s="58"/>
      <c r="E7" s="58"/>
      <c r="F7" s="57"/>
    </row>
    <row r="8" spans="1:6" x14ac:dyDescent="0.25">
      <c r="A8" s="56"/>
      <c r="B8" s="69" t="s">
        <v>112</v>
      </c>
      <c r="C8" s="58"/>
      <c r="D8" s="58"/>
      <c r="E8" s="58"/>
      <c r="F8" s="57"/>
    </row>
    <row r="9" spans="1:6" x14ac:dyDescent="0.25">
      <c r="A9" s="56"/>
      <c r="B9" s="59"/>
      <c r="C9" s="58"/>
      <c r="D9" s="58"/>
      <c r="E9" s="58"/>
      <c r="F9" s="57"/>
    </row>
    <row r="10" spans="1:6" x14ac:dyDescent="0.25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25">
      <c r="A11" s="56"/>
      <c r="B11" s="58"/>
      <c r="C11" s="63"/>
      <c r="D11" s="63"/>
      <c r="E11" s="63"/>
      <c r="F11" s="57"/>
    </row>
    <row r="12" spans="1:6" x14ac:dyDescent="0.25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25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25">
      <c r="A14" s="56"/>
      <c r="B14" s="58"/>
      <c r="C14" s="64"/>
      <c r="D14" s="64"/>
      <c r="E14" s="64"/>
      <c r="F14" s="57"/>
    </row>
    <row r="15" spans="1:6" ht="16.5" thickBot="1" x14ac:dyDescent="0.3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5" thickTop="1" x14ac:dyDescent="0.25">
      <c r="A16" s="56"/>
      <c r="B16" s="58"/>
      <c r="C16" s="64"/>
      <c r="D16" s="64"/>
      <c r="E16" s="64"/>
      <c r="F16" s="57"/>
    </row>
    <row r="17" spans="1:6" x14ac:dyDescent="0.25">
      <c r="A17" s="56"/>
      <c r="B17" s="58"/>
      <c r="C17" s="58"/>
      <c r="D17" s="58"/>
      <c r="E17" s="58"/>
      <c r="F17" s="57"/>
    </row>
    <row r="18" spans="1:6" x14ac:dyDescent="0.25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25">
      <c r="A19" s="56"/>
      <c r="B19" s="58"/>
      <c r="C19" s="64"/>
      <c r="D19" s="58"/>
      <c r="E19" s="58"/>
      <c r="F19" s="57"/>
    </row>
    <row r="20" spans="1:6" x14ac:dyDescent="0.25">
      <c r="A20" s="56"/>
      <c r="B20" s="58"/>
      <c r="C20" s="64"/>
      <c r="D20" s="58"/>
      <c r="E20" s="58"/>
      <c r="F20" s="57"/>
    </row>
    <row r="21" spans="1:6" x14ac:dyDescent="0.25">
      <c r="A21" s="56"/>
      <c r="B21" s="58" t="s">
        <v>2</v>
      </c>
      <c r="C21" s="64">
        <f>+Financials!I36</f>
        <v>209043078.7563889</v>
      </c>
      <c r="D21" s="58"/>
      <c r="E21" s="58"/>
      <c r="F21" s="57"/>
    </row>
    <row r="22" spans="1:6" x14ac:dyDescent="0.25">
      <c r="A22" s="56"/>
      <c r="B22" s="58"/>
      <c r="C22" s="64"/>
      <c r="D22" s="58"/>
      <c r="E22" s="58"/>
      <c r="F22" s="57"/>
    </row>
    <row r="23" spans="1:6" x14ac:dyDescent="0.25">
      <c r="A23" s="56"/>
      <c r="B23" s="58"/>
      <c r="C23" s="64"/>
      <c r="D23" s="58"/>
      <c r="E23" s="58"/>
      <c r="F23" s="57"/>
    </row>
    <row r="24" spans="1:6" x14ac:dyDescent="0.25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5" thickBot="1" x14ac:dyDescent="0.3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245" customWidth="1"/>
    <col min="3" max="3" width="10.875" style="245" customWidth="1"/>
    <col min="4" max="4" width="6.5" style="70" customWidth="1"/>
    <col min="5" max="5" width="12.125" style="4" bestFit="1" customWidth="1"/>
    <col min="6" max="6" width="5.875" style="70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240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0" s="72" customFormat="1" x14ac:dyDescent="0.25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25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25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25">
      <c r="A5" s="124"/>
      <c r="J5" s="4"/>
      <c r="L5" s="4"/>
      <c r="M5" s="4"/>
      <c r="N5" s="5"/>
      <c r="P5" s="4"/>
      <c r="Q5" s="4"/>
      <c r="R5" s="213"/>
      <c r="S5" s="126"/>
    </row>
    <row r="7" spans="1:20" ht="16.5" thickBot="1" x14ac:dyDescent="0.3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5" thickTop="1" x14ac:dyDescent="0.25"/>
    <row r="9" spans="1:20" x14ac:dyDescent="0.25">
      <c r="S9" s="5">
        <f>+I7+L7</f>
        <v>0</v>
      </c>
    </row>
    <row r="10" spans="1:20" x14ac:dyDescent="0.25">
      <c r="S10" s="203" t="e">
        <f>+S9-'MRP Raptor'!U92+SUM(#REF!)+(+#REF!+#REF!)/0.6*0.3612</f>
        <v>#REF!</v>
      </c>
    </row>
    <row r="11" spans="1:20" x14ac:dyDescent="0.25">
      <c r="S11" s="210" t="e">
        <f>+S10-S7</f>
        <v>#REF!</v>
      </c>
      <c r="T11" t="s">
        <v>466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68" activePane="bottomLeft" state="frozen"/>
      <selection pane="bottomLeft" activeCell="A87" sqref="A87:B87"/>
    </sheetView>
  </sheetViews>
  <sheetFormatPr defaultRowHeight="15.75" x14ac:dyDescent="0.25"/>
  <cols>
    <col min="1" max="1" width="10" style="1" bestFit="1" customWidth="1"/>
    <col min="2" max="2" width="9.75" style="121" bestFit="1" customWidth="1"/>
  </cols>
  <sheetData>
    <row r="1" spans="1:2" x14ac:dyDescent="0.25">
      <c r="A1" s="241" t="s">
        <v>149</v>
      </c>
      <c r="B1" s="118"/>
    </row>
    <row r="2" spans="1:2" x14ac:dyDescent="0.25">
      <c r="B2" s="119"/>
    </row>
    <row r="3" spans="1:2" x14ac:dyDescent="0.25">
      <c r="A3" s="255" t="s">
        <v>4</v>
      </c>
      <c r="B3" s="256"/>
    </row>
    <row r="4" spans="1:2" x14ac:dyDescent="0.25">
      <c r="A4" s="242" t="s">
        <v>1</v>
      </c>
      <c r="B4" s="120" t="s">
        <v>12</v>
      </c>
    </row>
    <row r="5" spans="1:2" x14ac:dyDescent="0.25">
      <c r="A5" s="1">
        <v>36769</v>
      </c>
      <c r="B5" s="121">
        <v>84.875</v>
      </c>
    </row>
    <row r="6" spans="1:2" x14ac:dyDescent="0.25">
      <c r="A6" s="1">
        <v>36770</v>
      </c>
      <c r="B6" s="121">
        <v>85.328000000000003</v>
      </c>
    </row>
    <row r="7" spans="1:2" x14ac:dyDescent="0.25">
      <c r="A7" s="1">
        <v>36774</v>
      </c>
      <c r="B7" s="121">
        <v>85</v>
      </c>
    </row>
    <row r="8" spans="1:2" x14ac:dyDescent="0.25">
      <c r="A8" s="1">
        <v>36775</v>
      </c>
      <c r="B8" s="121">
        <v>84.375</v>
      </c>
    </row>
    <row r="9" spans="1:2" x14ac:dyDescent="0.25">
      <c r="A9" s="1">
        <v>36776</v>
      </c>
      <c r="B9" s="121">
        <v>83.875</v>
      </c>
    </row>
    <row r="10" spans="1:2" x14ac:dyDescent="0.25">
      <c r="A10" s="1">
        <v>36777</v>
      </c>
      <c r="B10" s="121">
        <v>84.218999999999994</v>
      </c>
    </row>
    <row r="11" spans="1:2" x14ac:dyDescent="0.25">
      <c r="A11" s="1">
        <v>36780</v>
      </c>
      <c r="B11" s="121">
        <v>86.016000000000005</v>
      </c>
    </row>
    <row r="12" spans="1:2" x14ac:dyDescent="0.25">
      <c r="A12" s="1">
        <v>36781</v>
      </c>
      <c r="B12" s="121">
        <v>86.125</v>
      </c>
    </row>
    <row r="13" spans="1:2" x14ac:dyDescent="0.25">
      <c r="A13" s="1">
        <v>36782</v>
      </c>
      <c r="B13" s="121">
        <v>86.688000000000002</v>
      </c>
    </row>
    <row r="14" spans="1:2" x14ac:dyDescent="0.25">
      <c r="A14" s="1">
        <v>36783</v>
      </c>
      <c r="B14" s="121">
        <v>86.703000000000003</v>
      </c>
    </row>
    <row r="15" spans="1:2" x14ac:dyDescent="0.25">
      <c r="A15" s="1">
        <v>36784</v>
      </c>
      <c r="B15" s="121">
        <v>89.438000000000002</v>
      </c>
    </row>
    <row r="16" spans="1:2" x14ac:dyDescent="0.25">
      <c r="A16" s="1">
        <v>36787</v>
      </c>
      <c r="B16" s="121">
        <v>89.625</v>
      </c>
    </row>
    <row r="17" spans="1:2" x14ac:dyDescent="0.25">
      <c r="A17" s="1">
        <v>36788</v>
      </c>
      <c r="B17" s="121">
        <v>84.875</v>
      </c>
    </row>
    <row r="18" spans="1:2" x14ac:dyDescent="0.25">
      <c r="A18" s="1">
        <v>36789</v>
      </c>
      <c r="B18" s="121">
        <v>82.171999999999997</v>
      </c>
    </row>
    <row r="19" spans="1:2" x14ac:dyDescent="0.25">
      <c r="A19" s="1">
        <v>36790</v>
      </c>
      <c r="B19" s="121">
        <v>80.75</v>
      </c>
    </row>
    <row r="20" spans="1:2" x14ac:dyDescent="0.25">
      <c r="A20" s="1">
        <v>36791</v>
      </c>
      <c r="B20" s="121">
        <v>83</v>
      </c>
    </row>
    <row r="21" spans="1:2" x14ac:dyDescent="0.25">
      <c r="A21" s="1">
        <v>36794</v>
      </c>
      <c r="B21" s="121">
        <v>84.438000000000002</v>
      </c>
    </row>
    <row r="22" spans="1:2" x14ac:dyDescent="0.25">
      <c r="A22" s="1">
        <v>36795</v>
      </c>
      <c r="B22" s="121">
        <v>85.5</v>
      </c>
    </row>
    <row r="23" spans="1:2" x14ac:dyDescent="0.25">
      <c r="A23" s="1">
        <v>36796</v>
      </c>
      <c r="B23" s="121">
        <v>87.453000000000003</v>
      </c>
    </row>
    <row r="24" spans="1:2" x14ac:dyDescent="0.25">
      <c r="A24" s="1">
        <v>36797</v>
      </c>
      <c r="B24" s="121">
        <v>89.25</v>
      </c>
    </row>
    <row r="25" spans="1:2" x14ac:dyDescent="0.25">
      <c r="A25" s="1">
        <v>36798</v>
      </c>
      <c r="B25" s="121">
        <v>87.641000000000005</v>
      </c>
    </row>
    <row r="26" spans="1:2" x14ac:dyDescent="0.25">
      <c r="A26" s="1">
        <v>36801</v>
      </c>
      <c r="B26" s="121">
        <v>86.438000000000002</v>
      </c>
    </row>
    <row r="27" spans="1:2" x14ac:dyDescent="0.25">
      <c r="A27" s="1">
        <v>36802</v>
      </c>
      <c r="B27" s="121">
        <v>85.563000000000002</v>
      </c>
    </row>
    <row r="28" spans="1:2" x14ac:dyDescent="0.25">
      <c r="A28" s="1">
        <v>36803</v>
      </c>
      <c r="B28" s="121">
        <v>83.063000000000002</v>
      </c>
    </row>
    <row r="29" spans="1:2" x14ac:dyDescent="0.25">
      <c r="A29" s="1">
        <v>36804</v>
      </c>
      <c r="B29" s="121">
        <v>83</v>
      </c>
    </row>
    <row r="30" spans="1:2" x14ac:dyDescent="0.25">
      <c r="A30" s="1">
        <v>36805</v>
      </c>
      <c r="B30" s="121">
        <v>81.625</v>
      </c>
    </row>
    <row r="31" spans="1:2" x14ac:dyDescent="0.25">
      <c r="A31" s="1">
        <v>36808</v>
      </c>
      <c r="B31" s="121">
        <v>83</v>
      </c>
    </row>
    <row r="32" spans="1:2" x14ac:dyDescent="0.25">
      <c r="A32" s="1">
        <v>36809</v>
      </c>
      <c r="B32" s="121">
        <v>81.688000000000002</v>
      </c>
    </row>
    <row r="33" spans="1:2" x14ac:dyDescent="0.25">
      <c r="A33" s="1">
        <v>36810</v>
      </c>
      <c r="B33" s="121">
        <v>82.813000000000002</v>
      </c>
    </row>
    <row r="34" spans="1:2" x14ac:dyDescent="0.25">
      <c r="A34" s="1">
        <v>36811</v>
      </c>
      <c r="B34" s="121">
        <v>79.875</v>
      </c>
    </row>
    <row r="35" spans="1:2" x14ac:dyDescent="0.25">
      <c r="A35" s="1">
        <v>36812</v>
      </c>
      <c r="B35" s="121">
        <v>79.5</v>
      </c>
    </row>
    <row r="36" spans="1:2" x14ac:dyDescent="0.25">
      <c r="A36" s="240">
        <v>36815</v>
      </c>
      <c r="B36" s="121">
        <v>80</v>
      </c>
    </row>
    <row r="37" spans="1:2" x14ac:dyDescent="0.25">
      <c r="A37" s="240">
        <v>36816</v>
      </c>
      <c r="B37" s="121">
        <v>79.188000000000002</v>
      </c>
    </row>
    <row r="38" spans="1:2" x14ac:dyDescent="0.25">
      <c r="A38" s="240">
        <v>36817</v>
      </c>
      <c r="B38" s="121">
        <v>78.75</v>
      </c>
    </row>
    <row r="39" spans="1:2" x14ac:dyDescent="0.25">
      <c r="A39" s="240">
        <v>36818</v>
      </c>
      <c r="B39" s="121">
        <v>79</v>
      </c>
    </row>
    <row r="40" spans="1:2" x14ac:dyDescent="0.25">
      <c r="A40" s="240">
        <v>36819</v>
      </c>
      <c r="B40" s="121">
        <v>80.5</v>
      </c>
    </row>
    <row r="41" spans="1:2" x14ac:dyDescent="0.25">
      <c r="A41" s="240">
        <v>36822</v>
      </c>
      <c r="B41" s="121">
        <v>82</v>
      </c>
    </row>
    <row r="42" spans="1:2" x14ac:dyDescent="0.25">
      <c r="A42" s="240">
        <v>36823</v>
      </c>
      <c r="B42" s="121">
        <v>80.1875</v>
      </c>
    </row>
    <row r="43" spans="1:2" x14ac:dyDescent="0.25">
      <c r="A43" s="240">
        <v>36824</v>
      </c>
      <c r="B43" s="121">
        <v>76.125</v>
      </c>
    </row>
    <row r="44" spans="1:2" x14ac:dyDescent="0.25">
      <c r="A44" s="240">
        <v>36825</v>
      </c>
      <c r="B44" s="121">
        <v>77.5</v>
      </c>
    </row>
    <row r="45" spans="1:2" x14ac:dyDescent="0.25">
      <c r="A45" s="240">
        <v>36826</v>
      </c>
      <c r="B45" s="121">
        <v>78.875</v>
      </c>
    </row>
    <row r="46" spans="1:2" x14ac:dyDescent="0.25">
      <c r="A46" s="240">
        <v>36829</v>
      </c>
      <c r="B46" s="121">
        <v>80.688000000000002</v>
      </c>
    </row>
    <row r="47" spans="1:2" x14ac:dyDescent="0.25">
      <c r="A47" s="240">
        <v>36830</v>
      </c>
      <c r="B47" s="121">
        <v>82.063000000000002</v>
      </c>
    </row>
    <row r="48" spans="1:2" x14ac:dyDescent="0.25">
      <c r="A48" s="240">
        <v>36831</v>
      </c>
      <c r="B48" s="121">
        <v>83.25</v>
      </c>
    </row>
    <row r="49" spans="1:2" x14ac:dyDescent="0.25">
      <c r="A49" s="240">
        <v>36832</v>
      </c>
      <c r="B49" s="121">
        <v>81.75</v>
      </c>
    </row>
    <row r="50" spans="1:2" x14ac:dyDescent="0.25">
      <c r="A50" s="240">
        <v>36833</v>
      </c>
      <c r="B50" s="121">
        <v>77.375</v>
      </c>
    </row>
    <row r="51" spans="1:2" x14ac:dyDescent="0.25">
      <c r="A51" s="240">
        <v>36836</v>
      </c>
      <c r="B51" s="121">
        <v>81.563000000000002</v>
      </c>
    </row>
    <row r="52" spans="1:2" x14ac:dyDescent="0.25">
      <c r="A52" s="240">
        <v>36837</v>
      </c>
      <c r="B52" s="121">
        <v>81.813000000000002</v>
      </c>
    </row>
    <row r="53" spans="1:2" x14ac:dyDescent="0.25">
      <c r="A53" s="240">
        <v>36838</v>
      </c>
      <c r="B53" s="121">
        <v>82.125</v>
      </c>
    </row>
    <row r="54" spans="1:2" x14ac:dyDescent="0.25">
      <c r="A54" s="240">
        <v>36839</v>
      </c>
      <c r="B54" s="121">
        <v>82.938000000000002</v>
      </c>
    </row>
    <row r="55" spans="1:2" x14ac:dyDescent="0.25">
      <c r="A55" s="240">
        <v>36840</v>
      </c>
      <c r="B55" s="121">
        <f>82+0.9375</f>
        <v>82.9375</v>
      </c>
    </row>
    <row r="56" spans="1:2" x14ac:dyDescent="0.25">
      <c r="A56" s="240">
        <v>36843</v>
      </c>
      <c r="B56" s="121">
        <v>79.438000000000002</v>
      </c>
    </row>
    <row r="57" spans="1:2" x14ac:dyDescent="0.25">
      <c r="A57" s="240">
        <v>36844</v>
      </c>
      <c r="B57" s="121">
        <v>79.563000000000002</v>
      </c>
    </row>
    <row r="58" spans="1:2" x14ac:dyDescent="0.25">
      <c r="A58" s="240">
        <v>36845</v>
      </c>
      <c r="B58" s="121">
        <v>80.375</v>
      </c>
    </row>
    <row r="59" spans="1:2" x14ac:dyDescent="0.25">
      <c r="A59" s="240">
        <v>36846</v>
      </c>
      <c r="B59" s="121">
        <v>81.25</v>
      </c>
    </row>
    <row r="60" spans="1:2" x14ac:dyDescent="0.25">
      <c r="A60" s="240">
        <v>36847</v>
      </c>
      <c r="B60" s="121">
        <v>81.5</v>
      </c>
    </row>
    <row r="61" spans="1:2" x14ac:dyDescent="0.25">
      <c r="A61" s="240">
        <v>36850</v>
      </c>
      <c r="B61" s="121">
        <v>80.25</v>
      </c>
    </row>
    <row r="62" spans="1:2" x14ac:dyDescent="0.25">
      <c r="A62" s="240">
        <v>36851</v>
      </c>
      <c r="B62" s="121">
        <v>80.375</v>
      </c>
    </row>
    <row r="63" spans="1:2" x14ac:dyDescent="0.25">
      <c r="A63" s="240">
        <v>36852</v>
      </c>
      <c r="B63" s="121">
        <v>75.563000000000002</v>
      </c>
    </row>
    <row r="64" spans="1:2" x14ac:dyDescent="0.25">
      <c r="A64" s="240">
        <v>36854</v>
      </c>
      <c r="B64" s="121">
        <v>77.75</v>
      </c>
    </row>
    <row r="65" spans="1:2" x14ac:dyDescent="0.25">
      <c r="A65" s="240">
        <v>36857</v>
      </c>
      <c r="B65" s="121">
        <v>78.875</v>
      </c>
    </row>
    <row r="66" spans="1:2" x14ac:dyDescent="0.25">
      <c r="A66" s="240">
        <v>36858</v>
      </c>
      <c r="B66" s="121">
        <v>78.438000000000002</v>
      </c>
    </row>
    <row r="67" spans="1:2" x14ac:dyDescent="0.25">
      <c r="A67" s="240">
        <v>36859</v>
      </c>
      <c r="B67" s="121">
        <v>70.25</v>
      </c>
    </row>
    <row r="68" spans="1:2" x14ac:dyDescent="0.25">
      <c r="A68" s="240">
        <v>36860</v>
      </c>
      <c r="B68" s="121">
        <v>64.75</v>
      </c>
    </row>
    <row r="69" spans="1:2" x14ac:dyDescent="0.25">
      <c r="A69" s="240">
        <v>36861</v>
      </c>
      <c r="B69" s="121">
        <v>65.5</v>
      </c>
    </row>
    <row r="70" spans="1:2" x14ac:dyDescent="0.25">
      <c r="A70" s="240">
        <v>36864</v>
      </c>
      <c r="B70" s="121">
        <v>65.938000000000002</v>
      </c>
    </row>
    <row r="71" spans="1:2" x14ac:dyDescent="0.25">
      <c r="A71" s="240">
        <v>36865</v>
      </c>
      <c r="B71" s="121">
        <v>68.25</v>
      </c>
    </row>
    <row r="72" spans="1:2" x14ac:dyDescent="0.25">
      <c r="A72" s="240">
        <v>36866</v>
      </c>
      <c r="B72" s="121">
        <v>71.938000000000002</v>
      </c>
    </row>
    <row r="73" spans="1:2" x14ac:dyDescent="0.25">
      <c r="A73" s="240">
        <v>36867</v>
      </c>
      <c r="B73" s="121">
        <v>72.875</v>
      </c>
    </row>
    <row r="74" spans="1:2" x14ac:dyDescent="0.25">
      <c r="A74" s="240">
        <v>36868</v>
      </c>
      <c r="B74" s="121">
        <v>73.063000000000002</v>
      </c>
    </row>
    <row r="75" spans="1:2" x14ac:dyDescent="0.25">
      <c r="A75" s="240">
        <v>36871</v>
      </c>
      <c r="B75" s="121">
        <v>76.5</v>
      </c>
    </row>
    <row r="76" spans="1:2" x14ac:dyDescent="0.25">
      <c r="A76" s="240">
        <v>36872</v>
      </c>
      <c r="B76" s="121">
        <v>77.188000000000002</v>
      </c>
    </row>
    <row r="77" spans="1:2" x14ac:dyDescent="0.25">
      <c r="A77" s="240">
        <v>36873</v>
      </c>
      <c r="B77" s="121">
        <v>74.5</v>
      </c>
    </row>
    <row r="78" spans="1:2" x14ac:dyDescent="0.25">
      <c r="A78" s="240">
        <v>36874</v>
      </c>
      <c r="B78" s="121">
        <v>76.5</v>
      </c>
    </row>
    <row r="79" spans="1:2" x14ac:dyDescent="0.25">
      <c r="A79" s="240">
        <v>36875</v>
      </c>
      <c r="B79" s="121">
        <v>77.563000000000002</v>
      </c>
    </row>
    <row r="80" spans="1:2" x14ac:dyDescent="0.25">
      <c r="A80" s="240">
        <v>36878</v>
      </c>
      <c r="B80" s="121">
        <v>79.563000000000002</v>
      </c>
    </row>
    <row r="81" spans="1:2" x14ac:dyDescent="0.25">
      <c r="A81" s="240">
        <v>36879</v>
      </c>
      <c r="B81" s="121">
        <v>79.75</v>
      </c>
    </row>
    <row r="82" spans="1:2" x14ac:dyDescent="0.25">
      <c r="A82" s="240">
        <v>36880</v>
      </c>
      <c r="B82" s="121">
        <v>79.75</v>
      </c>
    </row>
    <row r="83" spans="1:2" x14ac:dyDescent="0.25">
      <c r="A83" s="240">
        <v>36881</v>
      </c>
      <c r="B83" s="121">
        <v>79.313000000000002</v>
      </c>
    </row>
    <row r="84" spans="1:2" x14ac:dyDescent="0.25">
      <c r="A84" s="240">
        <v>36882</v>
      </c>
      <c r="B84" s="121">
        <v>81.188000000000002</v>
      </c>
    </row>
    <row r="85" spans="1:2" x14ac:dyDescent="0.25">
      <c r="A85" s="240">
        <v>36886</v>
      </c>
      <c r="B85" s="121">
        <v>83.5</v>
      </c>
    </row>
    <row r="86" spans="1:2" x14ac:dyDescent="0.25">
      <c r="A86" s="240">
        <v>36887</v>
      </c>
      <c r="B86" s="121">
        <v>82.813000000000002</v>
      </c>
    </row>
    <row r="87" spans="1:2" x14ac:dyDescent="0.25">
      <c r="A87" s="240">
        <v>36888</v>
      </c>
      <c r="B87" s="121">
        <v>84.625</v>
      </c>
    </row>
    <row r="258" ht="14.25" customHeight="1" x14ac:dyDescent="0.25"/>
    <row r="375" spans="1:2" x14ac:dyDescent="0.25">
      <c r="A375" s="1" t="s">
        <v>155</v>
      </c>
    </row>
    <row r="378" spans="1:2" x14ac:dyDescent="0.25">
      <c r="B378"/>
    </row>
    <row r="379" spans="1:2" x14ac:dyDescent="0.25">
      <c r="B379"/>
    </row>
    <row r="380" spans="1:2" x14ac:dyDescent="0.25">
      <c r="B380"/>
    </row>
    <row r="381" spans="1:2" x14ac:dyDescent="0.25">
      <c r="B381"/>
    </row>
    <row r="382" spans="1:2" x14ac:dyDescent="0.25">
      <c r="B382"/>
    </row>
    <row r="383" spans="1:2" x14ac:dyDescent="0.25">
      <c r="B383"/>
    </row>
    <row r="384" spans="1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75" x14ac:dyDescent="0.25"/>
  <cols>
    <col min="1" max="1" width="8.75" style="240" customWidth="1"/>
  </cols>
  <sheetData>
    <row r="1" spans="1:1" x14ac:dyDescent="0.25">
      <c r="A1" s="237" t="s">
        <v>149</v>
      </c>
    </row>
    <row r="2" spans="1:1" s="96" customFormat="1" x14ac:dyDescent="0.25">
      <c r="A2" s="238"/>
    </row>
    <row r="3" spans="1:1" s="211" customFormat="1" x14ac:dyDescent="0.25">
      <c r="A3" s="239" t="s">
        <v>1</v>
      </c>
    </row>
    <row r="257" ht="14.25" customHeight="1" x14ac:dyDescent="0.25"/>
    <row r="374" spans="1:1" x14ac:dyDescent="0.25">
      <c r="A374" s="240" t="s">
        <v>155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E1" workbookViewId="0">
      <selection activeCell="I12" sqref="I12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3.5" style="7" customWidth="1"/>
    <col min="6" max="6" width="1.75" style="13" bestFit="1" customWidth="1"/>
    <col min="7" max="7" width="2" style="7" customWidth="1"/>
    <col min="8" max="8" width="41.875" style="7" bestFit="1" customWidth="1"/>
    <col min="9" max="9" width="16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78</v>
      </c>
    </row>
    <row r="2" spans="1:18" x14ac:dyDescent="0.25">
      <c r="A2" s="7" t="s">
        <v>480</v>
      </c>
      <c r="H2" s="258">
        <f>+Summary!C5</f>
        <v>36888</v>
      </c>
      <c r="I2" s="258"/>
      <c r="J2" s="90"/>
      <c r="L2" s="258">
        <f>H2</f>
        <v>36888</v>
      </c>
      <c r="M2" s="258"/>
      <c r="N2" s="258"/>
      <c r="O2" s="258"/>
      <c r="P2" s="258"/>
    </row>
    <row r="3" spans="1:18" ht="16.5" thickBot="1" x14ac:dyDescent="0.3">
      <c r="A3" s="1">
        <v>36769</v>
      </c>
      <c r="H3" s="259" t="s">
        <v>91</v>
      </c>
      <c r="I3" s="259"/>
      <c r="J3" s="91"/>
      <c r="L3" s="259" t="s">
        <v>91</v>
      </c>
      <c r="M3" s="259"/>
      <c r="N3" s="259"/>
      <c r="O3" s="259"/>
      <c r="P3" s="259"/>
    </row>
    <row r="4" spans="1:18" x14ac:dyDescent="0.25">
      <c r="A4" s="260" t="s">
        <v>482</v>
      </c>
      <c r="B4" s="260"/>
      <c r="C4" s="260"/>
      <c r="D4" s="260"/>
      <c r="E4" s="260"/>
      <c r="F4" s="260"/>
      <c r="H4" s="112" t="s">
        <v>92</v>
      </c>
      <c r="I4" s="113"/>
      <c r="J4" s="13"/>
    </row>
    <row r="5" spans="1:18" ht="16.5" thickBot="1" x14ac:dyDescent="0.3">
      <c r="A5" s="264" t="s">
        <v>28</v>
      </c>
      <c r="B5" s="264"/>
      <c r="D5" s="264" t="s">
        <v>29</v>
      </c>
      <c r="E5" s="264"/>
      <c r="H5" s="114" t="s">
        <v>93</v>
      </c>
      <c r="I5" s="122">
        <f>+VLOOKUP(+Summary!C5,ene,2)</f>
        <v>84.625</v>
      </c>
      <c r="J5" s="13"/>
      <c r="L5" s="260" t="s">
        <v>113</v>
      </c>
      <c r="M5" s="260"/>
      <c r="N5" s="260"/>
      <c r="O5" s="260"/>
      <c r="P5" s="260"/>
      <c r="Q5" s="91"/>
    </row>
    <row r="6" spans="1:18" x14ac:dyDescent="0.25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36888</v>
      </c>
      <c r="N6" s="93"/>
      <c r="O6" s="93"/>
      <c r="P6" s="93"/>
      <c r="Q6" s="94"/>
    </row>
    <row r="7" spans="1:18" ht="16.5" thickBot="1" x14ac:dyDescent="0.3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1" t="s">
        <v>150</v>
      </c>
      <c r="I7" s="262"/>
      <c r="J7" s="13"/>
      <c r="L7" s="264" t="s">
        <v>28</v>
      </c>
      <c r="M7" s="264"/>
      <c r="O7" s="264" t="s">
        <v>29</v>
      </c>
      <c r="P7" s="264"/>
    </row>
    <row r="8" spans="1:18" x14ac:dyDescent="0.25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72801131.742500037</v>
      </c>
      <c r="O8" s="7" t="s">
        <v>101</v>
      </c>
      <c r="P8" s="7">
        <f>+E6-'Cash-Int-Trans'!B4+'Cash-Int-Trans'!B8</f>
        <v>41000000</v>
      </c>
      <c r="Q8" s="17"/>
    </row>
    <row r="9" spans="1:18" x14ac:dyDescent="0.25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25">
      <c r="D10" s="7" t="s">
        <v>4</v>
      </c>
      <c r="E10" s="7">
        <v>1000</v>
      </c>
      <c r="H10" s="257" t="s">
        <v>95</v>
      </c>
      <c r="I10" s="257"/>
      <c r="J10" s="13"/>
      <c r="L10" s="7" t="s">
        <v>36</v>
      </c>
      <c r="M10" s="7">
        <f>B8+I15</f>
        <v>370314013.93207765</v>
      </c>
      <c r="N10" s="18"/>
      <c r="O10" s="7" t="s">
        <v>111</v>
      </c>
      <c r="P10" s="7">
        <f>IF(I19&gt;0,0,-I19)</f>
        <v>0</v>
      </c>
    </row>
    <row r="11" spans="1:18" ht="16.5" thickBot="1" x14ac:dyDescent="0.3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36888</v>
      </c>
      <c r="J11" s="13"/>
      <c r="L11" s="7" t="s">
        <v>40</v>
      </c>
      <c r="M11" s="7">
        <f>+Amort!B28</f>
        <v>1156944.4444444445</v>
      </c>
      <c r="O11" s="7" t="s">
        <v>34</v>
      </c>
      <c r="P11" s="7">
        <f>E7-I16+'Cash-Int-Trans'!B9</f>
        <v>409255555.55555558</v>
      </c>
      <c r="R11" s="3"/>
    </row>
    <row r="12" spans="1:18" ht="16.5" thickTop="1" x14ac:dyDescent="0.25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25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1800131.7425000002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14016534.563466549</v>
      </c>
    </row>
    <row r="14" spans="1:18" ht="16.5" thickBot="1" x14ac:dyDescent="0.3">
      <c r="C14" s="24"/>
      <c r="D14" s="25"/>
      <c r="E14" s="26"/>
      <c r="H14" s="13" t="s">
        <v>473</v>
      </c>
      <c r="I14" s="16">
        <f>+Amort!B29</f>
        <v>1156944.4444444445</v>
      </c>
      <c r="J14" s="13"/>
      <c r="L14" s="85" t="s">
        <v>7</v>
      </c>
      <c r="M14" s="12">
        <f>SUM(M8:M13)</f>
        <v>494272090.11902213</v>
      </c>
      <c r="N14" s="20"/>
      <c r="O14" s="85" t="s">
        <v>7</v>
      </c>
      <c r="P14" s="12">
        <f>SUM(P8:P13)</f>
        <v>494272090.11902213</v>
      </c>
      <c r="Q14" s="101" t="s">
        <v>143</v>
      </c>
    </row>
    <row r="15" spans="1:18" ht="16.5" thickTop="1" x14ac:dyDescent="0.25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20314013.932077624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-9255555.555555556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25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14015534.563466512</v>
      </c>
      <c r="L17" s="216" t="s">
        <v>46</v>
      </c>
      <c r="M17" s="216"/>
      <c r="P17" s="7">
        <f>M14</f>
        <v>494272090.11902213</v>
      </c>
      <c r="Q17" s="101" t="s">
        <v>143</v>
      </c>
    </row>
    <row r="18" spans="1:20" ht="16.5" thickBot="1" x14ac:dyDescent="0.3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5" thickTop="1" x14ac:dyDescent="0.25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5" thickBot="1" x14ac:dyDescent="0.3">
      <c r="A20" s="265" t="s">
        <v>56</v>
      </c>
      <c r="B20" s="265"/>
      <c r="C20" s="265"/>
      <c r="D20" s="265"/>
      <c r="E20" s="265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25">
      <c r="A21" s="263" t="s">
        <v>46</v>
      </c>
      <c r="B21" s="263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1014653619.5955846</v>
      </c>
    </row>
    <row r="22" spans="1:20" x14ac:dyDescent="0.25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5" thickBot="1" x14ac:dyDescent="0.3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14015534.563466512</v>
      </c>
      <c r="J23" s="38" t="s">
        <v>60</v>
      </c>
      <c r="L23" s="7" t="s">
        <v>51</v>
      </c>
      <c r="P23" s="7">
        <f>P21*P22</f>
        <v>30642539.311786655</v>
      </c>
    </row>
    <row r="24" spans="1:20" ht="16.5" thickTop="1" x14ac:dyDescent="0.25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25">
      <c r="A25" s="7" t="s">
        <v>64</v>
      </c>
      <c r="E25" s="3">
        <f>SUM(E21:E24)</f>
        <v>1032382529.4765625</v>
      </c>
      <c r="H25" s="257" t="s">
        <v>96</v>
      </c>
      <c r="I25" s="257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25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-642539.31178665534</v>
      </c>
    </row>
    <row r="27" spans="1:20" x14ac:dyDescent="0.25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25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25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25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25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14015534.563466512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25">
      <c r="H32" s="13" t="s">
        <v>483</v>
      </c>
      <c r="I32" s="16">
        <f>(+D15)*(I5-E15)</f>
        <v>-1581511.25</v>
      </c>
      <c r="J32" s="38"/>
      <c r="L32" s="7" t="s">
        <v>69</v>
      </c>
      <c r="M32" s="27">
        <f>E10</f>
        <v>1000</v>
      </c>
    </row>
    <row r="33" spans="1:14" x14ac:dyDescent="0.25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25">
      <c r="A34"/>
      <c r="B34"/>
      <c r="C34"/>
      <c r="D34"/>
      <c r="E34"/>
      <c r="H34" s="13" t="s">
        <v>139</v>
      </c>
      <c r="I34" s="16">
        <f>-I15</f>
        <v>-20314013.932077624</v>
      </c>
      <c r="J34" s="32" t="s">
        <v>53</v>
      </c>
      <c r="L34" s="7" t="s">
        <v>72</v>
      </c>
      <c r="M34" s="7">
        <f>I23</f>
        <v>14015534.563466512</v>
      </c>
    </row>
    <row r="35" spans="1:14" x14ac:dyDescent="0.25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5" thickBot="1" x14ac:dyDescent="0.3">
      <c r="A36"/>
      <c r="B36"/>
      <c r="C36"/>
      <c r="D36"/>
      <c r="E36"/>
      <c r="H36" s="36" t="s">
        <v>97</v>
      </c>
      <c r="I36" s="37">
        <f>SUM(I29:I35)</f>
        <v>209043078.7563889</v>
      </c>
      <c r="J36" s="13"/>
      <c r="L36" s="7" t="s">
        <v>74</v>
      </c>
      <c r="M36" s="7">
        <f>SUM(M33:M35)</f>
        <v>44016534.563466512</v>
      </c>
    </row>
    <row r="37" spans="1:14" ht="16.5" customHeight="1" thickTop="1" x14ac:dyDescent="0.25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25">
      <c r="A38"/>
      <c r="B38"/>
      <c r="C38"/>
      <c r="D38"/>
      <c r="E38"/>
      <c r="H38"/>
      <c r="I38"/>
      <c r="K38" s="7"/>
      <c r="L38" s="7" t="s">
        <v>146</v>
      </c>
      <c r="M38" s="27">
        <f>P13</f>
        <v>14016534.563466549</v>
      </c>
    </row>
    <row r="39" spans="1:14" ht="15.75" customHeight="1" x14ac:dyDescent="0.25">
      <c r="A39"/>
      <c r="B39"/>
      <c r="C39"/>
      <c r="D39"/>
      <c r="E39"/>
      <c r="H39"/>
      <c r="I39"/>
      <c r="K39" s="7"/>
      <c r="M39" s="7">
        <f>M36-M37-M38</f>
        <v>-3.7252902984619141E-8</v>
      </c>
      <c r="N39" s="42" t="str">
        <f>IF(ROUND(M39,0)=0,"OK","Not OK")</f>
        <v>OK</v>
      </c>
    </row>
    <row r="40" spans="1:14" ht="16.5" customHeight="1" x14ac:dyDescent="0.25">
      <c r="A40"/>
      <c r="B40"/>
      <c r="C40"/>
      <c r="D40"/>
      <c r="E40"/>
      <c r="H40"/>
      <c r="I40"/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  <c r="L43" s="43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A20" sqref="A20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6" max="6" width="12.5" customWidth="1"/>
    <col min="8" max="8" width="9.875" bestFit="1" customWidth="1"/>
  </cols>
  <sheetData>
    <row r="1" spans="1:8" ht="16.5" thickBot="1" x14ac:dyDescent="0.3">
      <c r="A1" s="266" t="s">
        <v>103</v>
      </c>
      <c r="B1" s="266"/>
    </row>
    <row r="3" spans="1:8" x14ac:dyDescent="0.25">
      <c r="A3" s="13" t="s">
        <v>115</v>
      </c>
      <c r="B3" s="14"/>
      <c r="C3" s="7"/>
      <c r="E3" s="248"/>
      <c r="F3" s="248"/>
      <c r="G3" s="248"/>
    </row>
    <row r="4" spans="1:8" x14ac:dyDescent="0.25">
      <c r="A4" s="8" t="s">
        <v>79</v>
      </c>
      <c r="B4" s="16"/>
      <c r="C4" s="7"/>
      <c r="D4" s="1"/>
      <c r="H4" s="1"/>
    </row>
    <row r="5" spans="1:8" x14ac:dyDescent="0.25">
      <c r="A5" s="7"/>
      <c r="B5" s="14"/>
      <c r="C5" s="7"/>
      <c r="H5" s="1"/>
    </row>
    <row r="6" spans="1:8" ht="16.5" thickBot="1" x14ac:dyDescent="0.3">
      <c r="A6" s="7" t="s">
        <v>80</v>
      </c>
      <c r="B6" s="247">
        <f>SUM(B3:B5)</f>
        <v>0</v>
      </c>
      <c r="C6" s="29" t="s">
        <v>81</v>
      </c>
      <c r="F6" s="7"/>
    </row>
    <row r="7" spans="1:8" ht="16.5" thickTop="1" x14ac:dyDescent="0.25">
      <c r="A7" s="7"/>
      <c r="B7" s="14"/>
      <c r="C7" s="7"/>
      <c r="F7" s="3"/>
    </row>
    <row r="8" spans="1:8" x14ac:dyDescent="0.25">
      <c r="A8" s="7" t="s">
        <v>89</v>
      </c>
      <c r="B8" s="14">
        <f>IF(Summary!C5&lt;'Cash-Int-Trans'!D8,0,-Financials!E6+'Cash-Int-Trans'!B4)</f>
        <v>0</v>
      </c>
      <c r="C8" s="7"/>
      <c r="D8" s="1">
        <v>36950</v>
      </c>
    </row>
    <row r="9" spans="1:8" x14ac:dyDescent="0.25">
      <c r="A9" s="7" t="s">
        <v>474</v>
      </c>
      <c r="B9" s="14">
        <f>-B8</f>
        <v>0</v>
      </c>
      <c r="C9" s="7"/>
      <c r="D9" s="1">
        <f>+D8</f>
        <v>36950</v>
      </c>
    </row>
    <row r="10" spans="1:8" x14ac:dyDescent="0.25">
      <c r="A10" s="7"/>
      <c r="B10" s="7"/>
      <c r="C10" s="7"/>
    </row>
    <row r="11" spans="1:8" x14ac:dyDescent="0.25">
      <c r="A11" s="7" t="s">
        <v>90</v>
      </c>
      <c r="B11" s="14"/>
      <c r="C11" s="7"/>
    </row>
    <row r="12" spans="1:8" x14ac:dyDescent="0.25">
      <c r="A12" s="7" t="s">
        <v>475</v>
      </c>
      <c r="B12" s="14">
        <f>IF(Summary!C5&lt;'Cash-Int-Trans'!D12,0,-41000000)</f>
        <v>0</v>
      </c>
      <c r="C12" s="7"/>
      <c r="D12" s="1">
        <f>+D8</f>
        <v>36950</v>
      </c>
    </row>
    <row r="13" spans="1:8" x14ac:dyDescent="0.25">
      <c r="A13" s="7" t="s">
        <v>476</v>
      </c>
      <c r="B13" s="14">
        <f>IF(Summary!$C$5&lt;'Cash-Int-Trans'!D13,0,0)</f>
        <v>0</v>
      </c>
      <c r="C13" s="7"/>
      <c r="D13" s="1">
        <f>+D12</f>
        <v>36950</v>
      </c>
    </row>
    <row r="14" spans="1:8" x14ac:dyDescent="0.25">
      <c r="A14" s="7"/>
      <c r="B14" s="14"/>
      <c r="C14" s="7"/>
      <c r="D14" s="1"/>
    </row>
    <row r="15" spans="1:8" x14ac:dyDescent="0.25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25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25">
      <c r="A17" s="7"/>
      <c r="B17" s="14"/>
      <c r="C17" s="7"/>
    </row>
    <row r="18" spans="1:5" ht="16.5" thickBot="1" x14ac:dyDescent="0.3">
      <c r="A18" s="266" t="s">
        <v>98</v>
      </c>
      <c r="B18" s="266"/>
    </row>
    <row r="20" spans="1:5" x14ac:dyDescent="0.25">
      <c r="A20" t="s">
        <v>23</v>
      </c>
      <c r="B20" s="7">
        <f>+Financials!B6</f>
        <v>71001000</v>
      </c>
      <c r="D20" s="1">
        <v>36769</v>
      </c>
    </row>
    <row r="22" spans="1:5" x14ac:dyDescent="0.25">
      <c r="A22" t="s">
        <v>99</v>
      </c>
      <c r="B22" s="7">
        <f>+Financials!I23</f>
        <v>14015534.563466512</v>
      </c>
    </row>
    <row r="23" spans="1:5" x14ac:dyDescent="0.25">
      <c r="A23" t="s">
        <v>100</v>
      </c>
      <c r="B23" s="7">
        <f>-Financials!I15</f>
        <v>-20314013.932077624</v>
      </c>
    </row>
    <row r="24" spans="1:5" x14ac:dyDescent="0.25">
      <c r="A24" s="7" t="str">
        <f>+Financials!H19</f>
        <v>Unrealized Gains / (Losses)</v>
      </c>
      <c r="B24" s="7">
        <f>-Financials!I19</f>
        <v>0</v>
      </c>
    </row>
    <row r="26" spans="1:5" x14ac:dyDescent="0.25">
      <c r="A26" t="s">
        <v>102</v>
      </c>
    </row>
    <row r="27" spans="1:5" x14ac:dyDescent="0.25">
      <c r="A27" t="s">
        <v>104</v>
      </c>
      <c r="B27" s="7">
        <f>+Financials!B7-Financials!M9</f>
        <v>0</v>
      </c>
    </row>
    <row r="28" spans="1:5" x14ac:dyDescent="0.25">
      <c r="A28" t="s">
        <v>40</v>
      </c>
      <c r="B28" s="7">
        <f>0-Financials!M11</f>
        <v>-1156944.4444444445</v>
      </c>
    </row>
    <row r="29" spans="1:5" x14ac:dyDescent="0.25">
      <c r="A29" t="s">
        <v>105</v>
      </c>
      <c r="B29" s="7">
        <f>-Financials!E7+Financials!P11</f>
        <v>9255555.555555582</v>
      </c>
    </row>
    <row r="30" spans="1:5" x14ac:dyDescent="0.25">
      <c r="A30" t="s">
        <v>477</v>
      </c>
      <c r="B30" s="7">
        <f>-Financials!E6+Financials!P8+Financials!P9</f>
        <v>0</v>
      </c>
      <c r="E30" s="7"/>
    </row>
    <row r="32" spans="1:5" x14ac:dyDescent="0.25">
      <c r="A32" t="s">
        <v>90</v>
      </c>
      <c r="B32" s="7">
        <f>+B12</f>
        <v>0</v>
      </c>
    </row>
    <row r="33" spans="1:6" x14ac:dyDescent="0.25">
      <c r="A33" t="s">
        <v>114</v>
      </c>
      <c r="B33" s="7">
        <f>+B13</f>
        <v>0</v>
      </c>
    </row>
    <row r="35" spans="1:6" ht="16.5" thickBot="1" x14ac:dyDescent="0.3">
      <c r="A35" t="s">
        <v>25</v>
      </c>
      <c r="B35" s="12">
        <f>SUM(B20:B34)</f>
        <v>72801131.742500037</v>
      </c>
      <c r="D35" s="7">
        <f>+B20+B12+B13+B38+B16</f>
        <v>72801131.742500007</v>
      </c>
    </row>
    <row r="36" spans="1:6" ht="16.5" thickTop="1" x14ac:dyDescent="0.25"/>
    <row r="37" spans="1:6" ht="16.5" thickBot="1" x14ac:dyDescent="0.3">
      <c r="A37" s="266" t="s">
        <v>147</v>
      </c>
      <c r="B37" s="266"/>
      <c r="C37" s="266"/>
      <c r="D37" s="266"/>
      <c r="E37" s="266"/>
      <c r="F37" s="266"/>
    </row>
    <row r="38" spans="1:6" x14ac:dyDescent="0.25">
      <c r="A38" s="104" t="s">
        <v>108</v>
      </c>
      <c r="B38" s="105">
        <f>+B44</f>
        <v>1800131.7425000002</v>
      </c>
    </row>
    <row r="39" spans="1:6" x14ac:dyDescent="0.25">
      <c r="A39" s="47"/>
      <c r="E39" s="199" t="s">
        <v>76</v>
      </c>
      <c r="F39" s="200"/>
    </row>
    <row r="40" spans="1:6" x14ac:dyDescent="0.25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25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25">
      <c r="A42" t="s">
        <v>1</v>
      </c>
      <c r="B42" s="1">
        <f>IF(Summary!$C$5&lt;'Cash-Int-Trans'!B40,+'Cash-Int-Trans'!B40,Summary!$C$5)</f>
        <v>36888</v>
      </c>
      <c r="E42" s="1">
        <v>36845</v>
      </c>
      <c r="F42" s="44"/>
    </row>
    <row r="43" spans="1:6" x14ac:dyDescent="0.25">
      <c r="A43" t="s">
        <v>75</v>
      </c>
      <c r="B43" s="3">
        <f>+B42-B40</f>
        <v>119</v>
      </c>
      <c r="E43" s="45" t="s">
        <v>77</v>
      </c>
      <c r="F43" s="46">
        <f>AVERAGE(F40:F42)</f>
        <v>7.22E-2</v>
      </c>
    </row>
    <row r="44" spans="1:6" x14ac:dyDescent="0.25">
      <c r="A44" t="s">
        <v>24</v>
      </c>
      <c r="B44" s="48">
        <f>+B41*(F43+0.0045)/360*B43</f>
        <v>1800131.7425000002</v>
      </c>
    </row>
    <row r="46" spans="1:6" ht="16.5" thickBot="1" x14ac:dyDescent="0.3">
      <c r="A46" s="266" t="s">
        <v>163</v>
      </c>
      <c r="B46" s="266"/>
      <c r="C46" s="266"/>
      <c r="D46" s="266"/>
      <c r="E46" s="266"/>
      <c r="F46" s="266"/>
    </row>
    <row r="47" spans="1:6" x14ac:dyDescent="0.25">
      <c r="A47" s="104" t="s">
        <v>160</v>
      </c>
      <c r="B47" s="105">
        <f>+B49+B56</f>
        <v>9255555.555555556</v>
      </c>
    </row>
    <row r="48" spans="1:6" x14ac:dyDescent="0.25">
      <c r="A48" s="47"/>
    </row>
    <row r="49" spans="1:6" x14ac:dyDescent="0.25">
      <c r="A49" t="s">
        <v>164</v>
      </c>
      <c r="B49" s="3">
        <f>+Amort!B61</f>
        <v>9255555.555555556</v>
      </c>
      <c r="E49" s="267"/>
      <c r="F49" s="268"/>
    </row>
    <row r="50" spans="1:6" x14ac:dyDescent="0.25">
      <c r="B50" s="3"/>
      <c r="E50" s="199"/>
      <c r="F50" s="200"/>
    </row>
    <row r="51" spans="1:6" x14ac:dyDescent="0.25">
      <c r="A51" t="s">
        <v>447</v>
      </c>
      <c r="B51" s="7"/>
      <c r="E51" s="43"/>
      <c r="F51" s="44"/>
    </row>
    <row r="52" spans="1:6" x14ac:dyDescent="0.25">
      <c r="A52" t="s">
        <v>165</v>
      </c>
      <c r="B52" s="1">
        <v>0</v>
      </c>
      <c r="E52" s="43"/>
      <c r="F52" s="44"/>
    </row>
    <row r="53" spans="1:6" x14ac:dyDescent="0.25">
      <c r="A53" t="s">
        <v>166</v>
      </c>
      <c r="B53" s="3"/>
      <c r="E53" s="43"/>
      <c r="F53" s="44"/>
    </row>
    <row r="54" spans="1:6" x14ac:dyDescent="0.25">
      <c r="A54" t="s">
        <v>1</v>
      </c>
      <c r="B54" s="1">
        <f>IF(Summary!C5&gt;Amort!A43,Amort!A43,Summary!C5)</f>
        <v>36888</v>
      </c>
    </row>
    <row r="55" spans="1:6" x14ac:dyDescent="0.25">
      <c r="A55" t="s">
        <v>75</v>
      </c>
      <c r="B55" s="3">
        <f>+B54-B52</f>
        <v>36888</v>
      </c>
    </row>
    <row r="56" spans="1:6" x14ac:dyDescent="0.25">
      <c r="A56" t="s">
        <v>446</v>
      </c>
      <c r="B56" s="48">
        <f>+B53*0.07/360*B55</f>
        <v>0</v>
      </c>
    </row>
    <row r="58" spans="1:6" ht="16.5" thickBot="1" x14ac:dyDescent="0.3">
      <c r="A58" s="266" t="s">
        <v>450</v>
      </c>
      <c r="B58" s="266"/>
      <c r="C58" s="266"/>
      <c r="D58" s="266"/>
      <c r="E58" s="266"/>
      <c r="F58" s="266"/>
    </row>
    <row r="60" spans="1:6" x14ac:dyDescent="0.25">
      <c r="A60" t="s">
        <v>118</v>
      </c>
      <c r="B60" s="1">
        <f>+Summary!C5</f>
        <v>36888</v>
      </c>
    </row>
    <row r="61" spans="1:6" x14ac:dyDescent="0.25">
      <c r="A61" t="s">
        <v>451</v>
      </c>
      <c r="B61" s="1">
        <v>36769</v>
      </c>
      <c r="D61" s="4">
        <f>IF(B60&gt;(B61-1),30000000,0)</f>
        <v>30000000</v>
      </c>
    </row>
    <row r="62" spans="1:6" x14ac:dyDescent="0.25">
      <c r="A62" t="s">
        <v>452</v>
      </c>
      <c r="B62" s="1"/>
      <c r="D62" s="4">
        <f>IF(B60&gt;(B62-1),0,0)</f>
        <v>0</v>
      </c>
    </row>
    <row r="63" spans="1:6" ht="18" x14ac:dyDescent="0.4">
      <c r="A63" t="s">
        <v>453</v>
      </c>
      <c r="B63" s="1">
        <f>+Summary!C5</f>
        <v>36888</v>
      </c>
      <c r="D63" s="202">
        <f>IF(B63&gt;B62,+(+B63-B62)/365*0.12*D62,0)</f>
        <v>0</v>
      </c>
    </row>
    <row r="64" spans="1:6" x14ac:dyDescent="0.25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157</v>
      </c>
      <c r="B1" s="6"/>
      <c r="G1" s="8"/>
      <c r="H1" s="8"/>
    </row>
    <row r="2" spans="1:9" x14ac:dyDescent="0.25">
      <c r="B2" s="106" t="s">
        <v>148</v>
      </c>
    </row>
    <row r="3" spans="1:9" x14ac:dyDescent="0.25">
      <c r="A3" s="7" t="s">
        <v>18</v>
      </c>
      <c r="B3" s="107">
        <v>50000000</v>
      </c>
    </row>
    <row r="4" spans="1:9" x14ac:dyDescent="0.25">
      <c r="A4" s="7" t="s">
        <v>19</v>
      </c>
      <c r="B4" s="108">
        <v>7.0000000000000007E-2</v>
      </c>
    </row>
    <row r="5" spans="1:9" x14ac:dyDescent="0.25">
      <c r="A5" s="7" t="s">
        <v>20</v>
      </c>
      <c r="B5" s="109">
        <f>5*12</f>
        <v>60</v>
      </c>
    </row>
    <row r="6" spans="1:9" x14ac:dyDescent="0.25">
      <c r="A6" s="7" t="s">
        <v>21</v>
      </c>
      <c r="B6" s="110">
        <v>2</v>
      </c>
    </row>
    <row r="7" spans="1:9" x14ac:dyDescent="0.25">
      <c r="A7" s="7" t="s">
        <v>22</v>
      </c>
      <c r="B7" s="7">
        <v>0</v>
      </c>
    </row>
    <row r="9" spans="1:9" s="9" customFormat="1" ht="25.5" x14ac:dyDescent="0.2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25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25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25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25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25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25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25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25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25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25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25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5" thickTop="1" x14ac:dyDescent="0.25">
      <c r="A22" s="111"/>
      <c r="B22" s="111"/>
    </row>
    <row r="23" spans="1:9" s="97" customFormat="1" x14ac:dyDescent="0.25">
      <c r="A23" s="269">
        <f>+Summary!C5</f>
        <v>36888</v>
      </c>
      <c r="B23" s="269"/>
      <c r="E23" s="97" t="s">
        <v>85</v>
      </c>
      <c r="F23" s="97">
        <f>VLOOKUP(+A23,Amort,2)</f>
        <v>0</v>
      </c>
    </row>
    <row r="24" spans="1:9" s="97" customFormat="1" x14ac:dyDescent="0.25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25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25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25">
      <c r="A27" s="111" t="s">
        <v>88</v>
      </c>
      <c r="B27" s="97">
        <f>A23-F24</f>
        <v>119</v>
      </c>
      <c r="E27" s="111"/>
    </row>
    <row r="28" spans="1:9" s="97" customFormat="1" x14ac:dyDescent="0.25">
      <c r="A28" s="111" t="s">
        <v>26</v>
      </c>
      <c r="B28" s="97">
        <f>F25*B27/(F26-F24)</f>
        <v>1156944.4444444445</v>
      </c>
    </row>
    <row r="29" spans="1:9" s="97" customFormat="1" x14ac:dyDescent="0.25">
      <c r="A29" s="111" t="s">
        <v>27</v>
      </c>
      <c r="B29" s="97">
        <f>+B25+B28</f>
        <v>1156944.4444444445</v>
      </c>
    </row>
    <row r="30" spans="1:9" s="97" customFormat="1" x14ac:dyDescent="0.25"/>
    <row r="31" spans="1:9" s="97" customFormat="1" x14ac:dyDescent="0.25"/>
    <row r="32" spans="1:9" s="97" customFormat="1" x14ac:dyDescent="0.25"/>
    <row r="33" spans="1:9" s="97" customFormat="1" x14ac:dyDescent="0.25"/>
    <row r="34" spans="1:9" s="97" customFormat="1" x14ac:dyDescent="0.25"/>
    <row r="35" spans="1:9" s="97" customFormat="1" x14ac:dyDescent="0.25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25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25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25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25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25">
      <c r="A40" s="7"/>
      <c r="B40" s="7"/>
      <c r="C40" s="7"/>
      <c r="D40" s="7"/>
      <c r="E40" s="7"/>
      <c r="F40" s="7"/>
      <c r="G40" s="7"/>
      <c r="H40" s="96"/>
    </row>
    <row r="41" spans="1:9" s="97" customFormat="1" ht="26.25" x14ac:dyDescent="0.25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25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25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25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25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25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25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25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25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25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25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25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5" thickBot="1" x14ac:dyDescent="0.3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5" thickTop="1" x14ac:dyDescent="0.25">
      <c r="A54" s="111"/>
      <c r="B54" s="111"/>
    </row>
    <row r="55" spans="1:9" s="97" customFormat="1" x14ac:dyDescent="0.25">
      <c r="A55" s="269">
        <f>+Summary!C5</f>
        <v>36888</v>
      </c>
      <c r="B55" s="269"/>
      <c r="E55" s="97" t="s">
        <v>85</v>
      </c>
      <c r="F55" s="97">
        <f>VLOOKUP(+A55,Note,2)</f>
        <v>0</v>
      </c>
    </row>
    <row r="56" spans="1:9" x14ac:dyDescent="0.25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25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25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25">
      <c r="A59" s="111" t="s">
        <v>88</v>
      </c>
      <c r="B59" s="97">
        <f>A55-F56</f>
        <v>119</v>
      </c>
      <c r="C59" s="97"/>
      <c r="D59" s="97"/>
      <c r="E59" s="111"/>
      <c r="F59" s="97"/>
      <c r="G59" s="97"/>
    </row>
    <row r="60" spans="1:9" x14ac:dyDescent="0.25">
      <c r="A60" s="111" t="s">
        <v>159</v>
      </c>
      <c r="B60" s="97">
        <f>F57*B59/(F58-F56)</f>
        <v>9255555.555555556</v>
      </c>
      <c r="C60" s="97"/>
      <c r="D60" s="97"/>
      <c r="E60" s="97"/>
      <c r="F60" s="97"/>
      <c r="G60" s="97"/>
    </row>
    <row r="61" spans="1:9" x14ac:dyDescent="0.25">
      <c r="A61" s="111" t="s">
        <v>160</v>
      </c>
      <c r="B61" s="97">
        <f>+B57+B60</f>
        <v>9255555.555555556</v>
      </c>
      <c r="C61" s="97"/>
      <c r="D61" s="97"/>
      <c r="E61" s="97"/>
      <c r="F61" s="97"/>
      <c r="G61" s="97"/>
    </row>
    <row r="63" spans="1:9" x14ac:dyDescent="0.25">
      <c r="A63" s="7" t="s">
        <v>448</v>
      </c>
    </row>
    <row r="64" spans="1:9" x14ac:dyDescent="0.25">
      <c r="A64" s="1"/>
    </row>
    <row r="65" spans="1:5" x14ac:dyDescent="0.25">
      <c r="A65" s="1"/>
      <c r="C65" s="1"/>
      <c r="D65" s="1"/>
      <c r="E65" s="97"/>
    </row>
    <row r="66" spans="1:5" x14ac:dyDescent="0.25">
      <c r="A66" s="1"/>
      <c r="E66" s="97"/>
    </row>
    <row r="67" spans="1:5" x14ac:dyDescent="0.25">
      <c r="A67" s="1"/>
      <c r="C67" s="1"/>
      <c r="D67" s="1"/>
      <c r="E67" s="201"/>
    </row>
    <row r="70" spans="1:5" x14ac:dyDescent="0.25">
      <c r="A70" s="1"/>
      <c r="D70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13.125" bestFit="1" customWidth="1"/>
    <col min="34" max="34" width="14" bestFit="1" customWidth="1"/>
    <col min="35" max="35" width="10.625" bestFit="1" customWidth="1"/>
    <col min="36" max="36" width="12.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2.75" hidden="1" customWidth="1"/>
    <col min="49" max="49" width="14" hidden="1" customWidth="1"/>
    <col min="50" max="50" width="14.875" hidden="1" customWidth="1"/>
    <col min="51" max="51" width="10.625" hidden="1" customWidth="1"/>
    <col min="52" max="52" width="12.75" hidden="1" customWidth="1"/>
    <col min="53" max="53" width="14.87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60" width="13.5" hidden="1" customWidth="1"/>
    <col min="61" max="61" width="10.625" hidden="1" customWidth="1"/>
    <col min="62" max="62" width="12.75" hidden="1" customWidth="1"/>
    <col min="63" max="63" width="13.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3.12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0" t="s">
        <v>211</v>
      </c>
      <c r="S1" s="270"/>
      <c r="T1" s="270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1" t="s">
        <v>213</v>
      </c>
      <c r="AE1" s="271"/>
      <c r="AF1" s="271"/>
      <c r="AG1" s="271"/>
      <c r="AH1" s="271"/>
      <c r="AI1" s="271"/>
      <c r="AJ1" s="271"/>
      <c r="AK1" s="271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1" t="s">
        <v>215</v>
      </c>
      <c r="AU1" s="271"/>
      <c r="AV1" s="271"/>
      <c r="AW1" s="271"/>
      <c r="AX1" s="271"/>
      <c r="AY1" s="271"/>
      <c r="AZ1" s="271"/>
      <c r="BA1" s="271"/>
      <c r="BB1" s="132" t="s">
        <v>206</v>
      </c>
      <c r="BC1" s="132" t="s">
        <v>207</v>
      </c>
      <c r="BD1" s="271" t="s">
        <v>216</v>
      </c>
      <c r="BE1" s="271"/>
      <c r="BF1" s="271"/>
      <c r="BG1" s="271"/>
      <c r="BH1" s="271"/>
      <c r="BI1" s="271"/>
      <c r="BJ1" s="271"/>
      <c r="BK1" s="271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2" t="s">
        <v>223</v>
      </c>
      <c r="CH1" s="272"/>
      <c r="CI1" s="272"/>
      <c r="CJ1" s="272"/>
      <c r="CK1" s="129" t="s">
        <v>224</v>
      </c>
      <c r="CL1" s="129" t="s">
        <v>225</v>
      </c>
    </row>
    <row r="2" spans="1:90" x14ac:dyDescent="0.25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3" t="s">
        <v>234</v>
      </c>
      <c r="AE2" s="273"/>
      <c r="AF2" s="273"/>
      <c r="AG2" s="273"/>
      <c r="AH2" s="274" t="s">
        <v>235</v>
      </c>
      <c r="AI2" s="271"/>
      <c r="AJ2" s="271"/>
      <c r="AK2" s="275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3" t="s">
        <v>241</v>
      </c>
      <c r="AU2" s="273"/>
      <c r="AV2" s="273"/>
      <c r="AW2" s="273"/>
      <c r="AX2" s="273" t="s">
        <v>236</v>
      </c>
      <c r="AY2" s="273"/>
      <c r="AZ2" s="273"/>
      <c r="BA2" s="273"/>
      <c r="BB2" s="137" t="s">
        <v>239</v>
      </c>
      <c r="BC2" s="137" t="s">
        <v>239</v>
      </c>
      <c r="BD2" s="273" t="s">
        <v>241</v>
      </c>
      <c r="BE2" s="273"/>
      <c r="BF2" s="273"/>
      <c r="BG2" s="273"/>
      <c r="BH2" s="273" t="s">
        <v>236</v>
      </c>
      <c r="BI2" s="273"/>
      <c r="BJ2" s="273"/>
      <c r="BK2" s="273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3" t="s">
        <v>249</v>
      </c>
      <c r="CH2" s="273"/>
      <c r="CI2" s="273"/>
      <c r="CJ2" s="273"/>
      <c r="CK2" s="136" t="s">
        <v>250</v>
      </c>
      <c r="CL2" s="136" t="s">
        <v>224</v>
      </c>
    </row>
    <row r="3" spans="1:90" x14ac:dyDescent="0.25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25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25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25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25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25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25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25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25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25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25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25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25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25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25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25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25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25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25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25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25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25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25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25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25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25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25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25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25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25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25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25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25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25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25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25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25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25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25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25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25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25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25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25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25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25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25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25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25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25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25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25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25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25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25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25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25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25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25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25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25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25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25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25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25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25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25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25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25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25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25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25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25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25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25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25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25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25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25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25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25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25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25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25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25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25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25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25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25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2023-09-13T16:28:41Z</dcterms:modified>
</cp:coreProperties>
</file>